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externalLinks/externalLink9.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theme/themeOverride2.xml" ContentType="application/vnd.openxmlformats-officedocument.themeOverride+xml"/>
  <Override PartName="/xl/charts/chart4.xml" ContentType="application/vnd.openxmlformats-officedocument.drawingml.chart+xml"/>
  <Override PartName="/xl/comments8.xml" ContentType="application/vnd.openxmlformats-officedocument.spreadsheetml.comments+xml"/>
  <Override PartName="/xl/worksheets/sheet7.xml" ContentType="application/vnd.openxmlformats-officedocument.spreadsheetml.worksheet+xml"/>
  <Override PartName="/xl/worksheets/sheet11.xml" ContentType="application/vnd.openxmlformats-officedocument.spreadsheetml.worksheet+xml"/>
  <Override PartName="/xl/externalLinks/externalLink7.xml" ContentType="application/vnd.openxmlformats-officedocument.spreadsheetml.externalLink+xml"/>
  <Override PartName="/xl/externalLinks/externalLink18.xml" ContentType="application/vnd.openxmlformats-officedocument.spreadsheetml.externalLink+xml"/>
  <Override PartName="/xl/externalLinks/externalLink27.xml" ContentType="application/vnd.openxmlformats-officedocument.spreadsheetml.externalLink+xml"/>
  <Override PartName="/xl/charts/chart2.xml" ContentType="application/vnd.openxmlformats-officedocument.drawingml.chart+xml"/>
  <Override PartName="/xl/comments6.xml" ContentType="application/vnd.openxmlformats-officedocument.spreadsheetml.comments+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externalLinks/externalLink16.xml" ContentType="application/vnd.openxmlformats-officedocument.spreadsheetml.externalLink+xml"/>
  <Override PartName="/xl/externalLinks/externalLink25.xml" ContentType="application/vnd.openxmlformats-officedocument.spreadsheetml.externalLink+xml"/>
  <Override PartName="/xl/drawings/drawing2.xml" ContentType="application/vnd.openxmlformats-officedocument.drawing+xml"/>
  <Override PartName="/xl/comments4.xml" ContentType="application/vnd.openxmlformats-officedocument.spreadsheetml.comments+xml"/>
  <Override PartName="/xl/worksheets/sheet3.xml" ContentType="application/vnd.openxmlformats-officedocument.spreadsheetml.worksheet+xml"/>
  <Override PartName="/xl/externalLinks/externalLink3.xml" ContentType="application/vnd.openxmlformats-officedocument.spreadsheetml.externalLink+xml"/>
  <Override PartName="/xl/externalLinks/externalLink14.xml" ContentType="application/vnd.openxmlformats-officedocument.spreadsheetml.externalLink+xml"/>
  <Override PartName="/xl/externalLinks/externalLink23.xml" ContentType="application/vnd.openxmlformats-officedocument.spreadsheetml.externalLink+xml"/>
  <Override PartName="/xl/comments2.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2.xml" ContentType="application/vnd.openxmlformats-officedocument.spreadsheetml.externalLink+xml"/>
  <Override PartName="/xl/externalLinks/externalLink21.xml" ContentType="application/vnd.openxmlformats-officedocument.spreadsheetml.externalLink+xml"/>
  <Override PartName="/xl/externalLinks/externalLink30.xml" ContentType="application/vnd.openxmlformats-officedocument.spreadsheetml.externalLink+xml"/>
  <Override PartName="/xl/externalLinks/externalLink10.xml" ContentType="application/vnd.openxmlformats-officedocument.spreadsheetml.externalLink+xml"/>
  <Override PartName="/xl/sharedStrings.xml" ContentType="application/vnd.openxmlformats-officedocument.spreadsheetml.sharedStrings+xml"/>
  <Override PartName="/xl/worksheets/sheet17.xml" ContentType="application/vnd.openxmlformats-officedocument.spreadsheetml.worksheet+xml"/>
  <Override PartName="/xl/charts/chart8.xml" ContentType="application/vnd.openxmlformats-officedocument.drawingml.chart+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worksheets/sheet14.xml" ContentType="application/vnd.openxmlformats-officedocument.spreadsheetml.worksheet+xml"/>
  <Override PartName="/xl/externalLinks/externalLink8.xml" ContentType="application/vnd.openxmlformats-officedocument.spreadsheetml.externalLink+xml"/>
  <Override PartName="/xl/externalLinks/externalLink19.xml" ContentType="application/vnd.openxmlformats-officedocument.spreadsheetml.externalLink+xml"/>
  <Override PartName="/xl/charts/chart5.xml" ContentType="application/vnd.openxmlformats-officedocument.drawingml.chart+xml"/>
  <Override PartName="/xl/comments9.xml" ContentType="application/vnd.openxmlformats-officedocument.spreadsheetml.comment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17.xml" ContentType="application/vnd.openxmlformats-officedocument.spreadsheetml.externalLink+xml"/>
  <Override PartName="/xl/externalLinks/externalLink28.xml" ContentType="application/vnd.openxmlformats-officedocument.spreadsheetml.externalLink+xml"/>
  <Override PartName="/xl/theme/themeOverride1.xml" ContentType="application/vnd.openxmlformats-officedocument.themeOverride+xml"/>
  <Override PartName="/xl/charts/chart3.xml" ContentType="application/vnd.openxmlformats-officedocument.drawingml.chart+xml"/>
  <Override PartName="/xl/comments7.xml" ContentType="application/vnd.openxmlformats-officedocument.spreadsheetml.comment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15.xml" ContentType="application/vnd.openxmlformats-officedocument.spreadsheetml.externalLink+xml"/>
  <Override PartName="/xl/externalLinks/externalLink24.xml" ContentType="application/vnd.openxmlformats-officedocument.spreadsheetml.externalLink+xml"/>
  <Override PartName="/xl/externalLinks/externalLink26.xml" ContentType="application/vnd.openxmlformats-officedocument.spreadsheetml.externalLink+xml"/>
  <Override PartName="/xl/charts/chart1.xml" ContentType="application/vnd.openxmlformats-officedocument.drawingml.chart+xml"/>
  <Override PartName="/xl/comments5.xml" ContentType="application/vnd.openxmlformats-officedocument.spreadsheetml.comments+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13.xml" ContentType="application/vnd.openxmlformats-officedocument.spreadsheetml.externalLink+xml"/>
  <Override PartName="/xl/externalLinks/externalLink22.xml" ContentType="application/vnd.openxmlformats-officedocument.spreadsheetml.externalLink+xml"/>
  <Override PartName="/xl/drawings/drawing1.xml" ContentType="application/vnd.openxmlformats-officedocument.drawing+xml"/>
  <Override PartName="/xl/comments3.xml" ContentType="application/vnd.openxmlformats-officedocument.spreadsheetml.comments+xml"/>
  <Override PartName="/xl/externalLinks/externalLink11.xml" ContentType="application/vnd.openxmlformats-officedocument.spreadsheetml.externalLink+xml"/>
  <Override PartName="/xl/externalLinks/externalLink20.xml" ContentType="application/vnd.openxmlformats-officedocument.spreadsheetml.externalLink+xml"/>
  <Override PartName="/xl/externalLinks/externalLink3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updateLinks="never" codeName="ThisWorkbook" defaultThemeVersion="124226"/>
  <bookViews>
    <workbookView xWindow="480" yWindow="390" windowWidth="15645" windowHeight="8535" tabRatio="854" firstSheet="9" activeTab="15"/>
  </bookViews>
  <sheets>
    <sheet name="Exhibit 3 Tables 1" sheetId="45" r:id="rId1"/>
    <sheet name="Exhibit 3 Tables 2" sheetId="46" r:id="rId2"/>
    <sheet name="Sheet1" sheetId="49" r:id="rId3"/>
    <sheet name="Summary" sheetId="11" r:id="rId4"/>
    <sheet name="Purchased Power Model" sheetId="36" r:id="rId5"/>
    <sheet name="Rate Class Energy Model " sheetId="38" r:id="rId6"/>
    <sheet name="Rate Class Customer Model" sheetId="48" r:id="rId7"/>
    <sheet name="Rate Class Load Model" sheetId="18" r:id="rId8"/>
    <sheet name="CDM Activity" sheetId="37" r:id="rId9"/>
    <sheet name="LRAMVA" sheetId="44" r:id="rId10"/>
    <sheet name="HDD &amp; CDD" sheetId="32" r:id="rId11"/>
    <sheet name="2017 COP Forecast" sheetId="34" r:id="rId12"/>
    <sheet name="Commodity Price" sheetId="35" r:id="rId13"/>
    <sheet name="Regression Senarios" sheetId="47" r:id="rId14"/>
    <sheet name="2015 COP Forecast" sheetId="33" r:id="rId15"/>
    <sheet name="App.2-R_Loss Factors" sheetId="39" r:id="rId16"/>
    <sheet name="Sheet2" sheetId="42"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s>
  <definedNames>
    <definedName name="_Order1" hidden="1">255</definedName>
    <definedName name="_Sort" localSheetId="15" hidden="1">[1]Sheet1!$G$40:$K$40</definedName>
    <definedName name="_Sort" localSheetId="8" hidden="1">[2]Sheet1!$G$40:$K$40</definedName>
    <definedName name="_Sort" localSheetId="10" hidden="1">[3]Sheet1!$G$40:$K$40</definedName>
    <definedName name="_Sort" localSheetId="4" hidden="1">[1]Sheet1!$G$40:$K$40</definedName>
    <definedName name="_Sort" localSheetId="5" hidden="1">[1]Sheet1!$G$40:$K$40</definedName>
    <definedName name="_Sort" localSheetId="13" hidden="1">[1]Sheet1!$G$40:$K$40</definedName>
    <definedName name="_Sort" hidden="1">[2]Sheet1!$G$40:$K$40</definedName>
    <definedName name="abc">[4]Refs!$B$8</definedName>
    <definedName name="AllVariables" localSheetId="8">'[5]5.Variables'!$B$132:$B$137</definedName>
    <definedName name="AllVariables" localSheetId="6">'[6]5.Variables'!$B$132:$B$137</definedName>
    <definedName name="AllVariables">'[7]5.Variables'!$B$132:$B$137</definedName>
    <definedName name="BI_LDCLIST">'[8]3. Rate Class Selection'!$B$19:$B$21</definedName>
    <definedName name="BridgeYear">'[9]LDC Info'!$E$26</definedName>
    <definedName name="CAfile">[10]Refs!$B$2</definedName>
    <definedName name="CArevReq">[10]Refs!$B$6</definedName>
    <definedName name="ClassRange1">[10]Refs!$B$3</definedName>
    <definedName name="ClassRange2">[10]Refs!$B$4</definedName>
    <definedName name="contactf" localSheetId="15">#REF!</definedName>
    <definedName name="contactf" localSheetId="8">#REF!</definedName>
    <definedName name="contactf" localSheetId="5">#REF!</definedName>
    <definedName name="contactf" localSheetId="13">#REF!</definedName>
    <definedName name="contactf">#REF!</definedName>
    <definedName name="CustomerAdministration">[9]lists!$Z$1:$Z$36</definedName>
    <definedName name="EBNUMBER">'[9]LDC Info'!$E$16</definedName>
    <definedName name="Fixed_Charges">[9]lists!$I$1:$I$212</definedName>
    <definedName name="FolderPath">[10]Menu!$C$8</definedName>
    <definedName name="histdate">[11]Financials!$E$76</definedName>
    <definedName name="Incr2000" localSheetId="15">#REF!</definedName>
    <definedName name="Incr2000" localSheetId="8">#REF!</definedName>
    <definedName name="Incr2000" localSheetId="5">#REF!</definedName>
    <definedName name="Incr2000" localSheetId="13">#REF!</definedName>
    <definedName name="Incr2000">#REF!</definedName>
    <definedName name="LDC_LIST">[12]lists!$AM$1:$AM$80</definedName>
    <definedName name="LIMIT" localSheetId="15">#REF!</definedName>
    <definedName name="LIMIT" localSheetId="8">#REF!</definedName>
    <definedName name="LIMIT" localSheetId="5">#REF!</definedName>
    <definedName name="LIMIT" localSheetId="13">#REF!</definedName>
    <definedName name="LIMIT">#REF!</definedName>
    <definedName name="LossFactors">[9]lists!$L$2:$L$15</definedName>
    <definedName name="man_beg_bud" localSheetId="15">#REF!</definedName>
    <definedName name="man_beg_bud" localSheetId="8">#REF!</definedName>
    <definedName name="man_beg_bud" localSheetId="5">#REF!</definedName>
    <definedName name="man_beg_bud" localSheetId="13">#REF!</definedName>
    <definedName name="man_beg_bud">#REF!</definedName>
    <definedName name="man_end_bud" localSheetId="15">#REF!</definedName>
    <definedName name="man_end_bud" localSheetId="8">#REF!</definedName>
    <definedName name="man_end_bud" localSheetId="5">#REF!</definedName>
    <definedName name="man_end_bud" localSheetId="13">#REF!</definedName>
    <definedName name="man_end_bud">#REF!</definedName>
    <definedName name="man12ACT" localSheetId="15">#REF!</definedName>
    <definedName name="man12ACT" localSheetId="8">#REF!</definedName>
    <definedName name="man12ACT" localSheetId="5">#REF!</definedName>
    <definedName name="man12ACT" localSheetId="13">#REF!</definedName>
    <definedName name="man12ACT">#REF!</definedName>
    <definedName name="MANBUD" localSheetId="15">#REF!</definedName>
    <definedName name="MANBUD" localSheetId="8">#REF!</definedName>
    <definedName name="MANBUD" localSheetId="5">#REF!</definedName>
    <definedName name="MANBUD" localSheetId="13">#REF!</definedName>
    <definedName name="MANBUD">#REF!</definedName>
    <definedName name="manCYACT" localSheetId="15">#REF!</definedName>
    <definedName name="manCYACT" localSheetId="8">#REF!</definedName>
    <definedName name="manCYACT" localSheetId="5">#REF!</definedName>
    <definedName name="manCYACT" localSheetId="13">#REF!</definedName>
    <definedName name="manCYACT">#REF!</definedName>
    <definedName name="manCYBUD" localSheetId="15">#REF!</definedName>
    <definedName name="manCYBUD" localSheetId="8">#REF!</definedName>
    <definedName name="manCYBUD" localSheetId="5">#REF!</definedName>
    <definedName name="manCYBUD" localSheetId="13">#REF!</definedName>
    <definedName name="manCYBUD">#REF!</definedName>
    <definedName name="manCYF" localSheetId="15">#REF!</definedName>
    <definedName name="manCYF" localSheetId="8">#REF!</definedName>
    <definedName name="manCYF" localSheetId="5">#REF!</definedName>
    <definedName name="manCYF" localSheetId="13">#REF!</definedName>
    <definedName name="manCYF">#REF!</definedName>
    <definedName name="MANEND" localSheetId="15">#REF!</definedName>
    <definedName name="MANEND" localSheetId="8">#REF!</definedName>
    <definedName name="MANEND" localSheetId="5">#REF!</definedName>
    <definedName name="MANEND" localSheetId="13">#REF!</definedName>
    <definedName name="MANEND">#REF!</definedName>
    <definedName name="manNYbud" localSheetId="15">#REF!</definedName>
    <definedName name="manNYbud" localSheetId="8">#REF!</definedName>
    <definedName name="manNYbud" localSheetId="5">#REF!</definedName>
    <definedName name="manNYbud" localSheetId="13">#REF!</definedName>
    <definedName name="manNYbud">#REF!</definedName>
    <definedName name="manpower_costs" localSheetId="15">#REF!</definedName>
    <definedName name="manpower_costs" localSheetId="8">#REF!</definedName>
    <definedName name="manpower_costs" localSheetId="5">#REF!</definedName>
    <definedName name="manpower_costs" localSheetId="13">#REF!</definedName>
    <definedName name="manpower_costs">#REF!</definedName>
    <definedName name="manPYACT" localSheetId="15">#REF!</definedName>
    <definedName name="manPYACT" localSheetId="8">#REF!</definedName>
    <definedName name="manPYACT" localSheetId="5">#REF!</definedName>
    <definedName name="manPYACT" localSheetId="13">#REF!</definedName>
    <definedName name="manPYACT">#REF!</definedName>
    <definedName name="MANSTART" localSheetId="15">#REF!</definedName>
    <definedName name="MANSTART" localSheetId="8">#REF!</definedName>
    <definedName name="MANSTART" localSheetId="5">#REF!</definedName>
    <definedName name="MANSTART" localSheetId="13">#REF!</definedName>
    <definedName name="MANSTART">#REF!</definedName>
    <definedName name="mat_beg_bud" localSheetId="15">#REF!</definedName>
    <definedName name="mat_beg_bud" localSheetId="8">#REF!</definedName>
    <definedName name="mat_beg_bud" localSheetId="5">#REF!</definedName>
    <definedName name="mat_beg_bud" localSheetId="13">#REF!</definedName>
    <definedName name="mat_beg_bud">#REF!</definedName>
    <definedName name="mat_end_bud" localSheetId="15">#REF!</definedName>
    <definedName name="mat_end_bud" localSheetId="8">#REF!</definedName>
    <definedName name="mat_end_bud" localSheetId="5">#REF!</definedName>
    <definedName name="mat_end_bud" localSheetId="13">#REF!</definedName>
    <definedName name="mat_end_bud">#REF!</definedName>
    <definedName name="mat12ACT" localSheetId="15">#REF!</definedName>
    <definedName name="mat12ACT" localSheetId="8">#REF!</definedName>
    <definedName name="mat12ACT" localSheetId="5">#REF!</definedName>
    <definedName name="mat12ACT" localSheetId="13">#REF!</definedName>
    <definedName name="mat12ACT">#REF!</definedName>
    <definedName name="MATBUD" localSheetId="15">#REF!</definedName>
    <definedName name="MATBUD" localSheetId="8">#REF!</definedName>
    <definedName name="MATBUD" localSheetId="5">#REF!</definedName>
    <definedName name="MATBUD" localSheetId="13">#REF!</definedName>
    <definedName name="MATBUD">#REF!</definedName>
    <definedName name="matCYACT" localSheetId="15">#REF!</definedName>
    <definedName name="matCYACT" localSheetId="8">#REF!</definedName>
    <definedName name="matCYACT" localSheetId="5">#REF!</definedName>
    <definedName name="matCYACT" localSheetId="13">#REF!</definedName>
    <definedName name="matCYACT">#REF!</definedName>
    <definedName name="matCYBUD" localSheetId="15">#REF!</definedName>
    <definedName name="matCYBUD" localSheetId="8">#REF!</definedName>
    <definedName name="matCYBUD" localSheetId="5">#REF!</definedName>
    <definedName name="matCYBUD" localSheetId="13">#REF!</definedName>
    <definedName name="matCYBUD">#REF!</definedName>
    <definedName name="matCYF" localSheetId="15">#REF!</definedName>
    <definedName name="matCYF" localSheetId="8">#REF!</definedName>
    <definedName name="matCYF" localSheetId="5">#REF!</definedName>
    <definedName name="matCYF" localSheetId="13">#REF!</definedName>
    <definedName name="matCYF">#REF!</definedName>
    <definedName name="MATEND" localSheetId="15">#REF!</definedName>
    <definedName name="MATEND" localSheetId="8">#REF!</definedName>
    <definedName name="MATEND" localSheetId="5">#REF!</definedName>
    <definedName name="MATEND" localSheetId="13">#REF!</definedName>
    <definedName name="MATEND">#REF!</definedName>
    <definedName name="material_costs" localSheetId="15">#REF!</definedName>
    <definedName name="material_costs" localSheetId="8">#REF!</definedName>
    <definedName name="material_costs" localSheetId="5">#REF!</definedName>
    <definedName name="material_costs" localSheetId="13">#REF!</definedName>
    <definedName name="material_costs">#REF!</definedName>
    <definedName name="matNYbud" localSheetId="15">#REF!</definedName>
    <definedName name="matNYbud" localSheetId="8">#REF!</definedName>
    <definedName name="matNYbud" localSheetId="5">#REF!</definedName>
    <definedName name="matNYbud" localSheetId="13">#REF!</definedName>
    <definedName name="matNYbud">#REF!</definedName>
    <definedName name="matPYACT" localSheetId="15">#REF!</definedName>
    <definedName name="matPYACT" localSheetId="8">#REF!</definedName>
    <definedName name="matPYACT" localSheetId="5">#REF!</definedName>
    <definedName name="matPYACT" localSheetId="13">#REF!</definedName>
    <definedName name="matPYACT">#REF!</definedName>
    <definedName name="MATSTART" localSheetId="15">#REF!</definedName>
    <definedName name="MATSTART" localSheetId="8">#REF!</definedName>
    <definedName name="MATSTART" localSheetId="5">#REF!</definedName>
    <definedName name="MATSTART" localSheetId="13">#REF!</definedName>
    <definedName name="MATSTART">#REF!</definedName>
    <definedName name="NewRevReq">[10]Refs!$B$8</definedName>
    <definedName name="NonPayment">[9]lists!$AA$1:$AA$71</definedName>
    <definedName name="oth_beg_bud" localSheetId="15">#REF!</definedName>
    <definedName name="oth_beg_bud" localSheetId="8">#REF!</definedName>
    <definedName name="oth_beg_bud" localSheetId="5">#REF!</definedName>
    <definedName name="oth_beg_bud" localSheetId="13">#REF!</definedName>
    <definedName name="oth_beg_bud">#REF!</definedName>
    <definedName name="oth_end_bud" localSheetId="15">#REF!</definedName>
    <definedName name="oth_end_bud" localSheetId="8">#REF!</definedName>
    <definedName name="oth_end_bud" localSheetId="5">#REF!</definedName>
    <definedName name="oth_end_bud" localSheetId="13">#REF!</definedName>
    <definedName name="oth_end_bud">#REF!</definedName>
    <definedName name="oth12ACT" localSheetId="15">#REF!</definedName>
    <definedName name="oth12ACT" localSheetId="8">#REF!</definedName>
    <definedName name="oth12ACT" localSheetId="5">#REF!</definedName>
    <definedName name="oth12ACT" localSheetId="13">#REF!</definedName>
    <definedName name="oth12ACT">#REF!</definedName>
    <definedName name="othCYACT" localSheetId="15">#REF!</definedName>
    <definedName name="othCYACT" localSheetId="8">#REF!</definedName>
    <definedName name="othCYACT" localSheetId="5">#REF!</definedName>
    <definedName name="othCYACT" localSheetId="13">#REF!</definedName>
    <definedName name="othCYACT">#REF!</definedName>
    <definedName name="othCYBUD" localSheetId="15">#REF!</definedName>
    <definedName name="othCYBUD" localSheetId="8">#REF!</definedName>
    <definedName name="othCYBUD" localSheetId="5">#REF!</definedName>
    <definedName name="othCYBUD" localSheetId="13">#REF!</definedName>
    <definedName name="othCYBUD">#REF!</definedName>
    <definedName name="othCYF" localSheetId="15">#REF!</definedName>
    <definedName name="othCYF" localSheetId="8">#REF!</definedName>
    <definedName name="othCYF" localSheetId="5">#REF!</definedName>
    <definedName name="othCYF" localSheetId="13">#REF!</definedName>
    <definedName name="othCYF">#REF!</definedName>
    <definedName name="OTHEND" localSheetId="15">#REF!</definedName>
    <definedName name="OTHEND" localSheetId="8">#REF!</definedName>
    <definedName name="OTHEND" localSheetId="5">#REF!</definedName>
    <definedName name="OTHEND" localSheetId="13">#REF!</definedName>
    <definedName name="OTHEND">#REF!</definedName>
    <definedName name="other_costs" localSheetId="15">#REF!</definedName>
    <definedName name="other_costs" localSheetId="8">#REF!</definedName>
    <definedName name="other_costs" localSheetId="5">#REF!</definedName>
    <definedName name="other_costs" localSheetId="13">#REF!</definedName>
    <definedName name="other_costs">#REF!</definedName>
    <definedName name="OTHERBUD" localSheetId="15">#REF!</definedName>
    <definedName name="OTHERBUD" localSheetId="8">#REF!</definedName>
    <definedName name="OTHERBUD" localSheetId="5">#REF!</definedName>
    <definedName name="OTHERBUD" localSheetId="13">#REF!</definedName>
    <definedName name="OTHERBUD">#REF!</definedName>
    <definedName name="othNYbud" localSheetId="15">#REF!</definedName>
    <definedName name="othNYbud" localSheetId="8">#REF!</definedName>
    <definedName name="othNYbud" localSheetId="5">#REF!</definedName>
    <definedName name="othNYbud" localSheetId="13">#REF!</definedName>
    <definedName name="othNYbud">#REF!</definedName>
    <definedName name="othPYACT" localSheetId="15">#REF!</definedName>
    <definedName name="othPYACT" localSheetId="8">#REF!</definedName>
    <definedName name="othPYACT" localSheetId="5">#REF!</definedName>
    <definedName name="othPYACT" localSheetId="13">#REF!</definedName>
    <definedName name="othPYACT">#REF!</definedName>
    <definedName name="OTHSTART" localSheetId="15">#REF!</definedName>
    <definedName name="OTHSTART" localSheetId="8">#REF!</definedName>
    <definedName name="OTHSTART" localSheetId="5">#REF!</definedName>
    <definedName name="OTHSTART" localSheetId="13">#REF!</definedName>
    <definedName name="OTHSTART">#REF!</definedName>
    <definedName name="PAGE11" localSheetId="15">#REF!</definedName>
    <definedName name="PAGE11" localSheetId="8">#REF!</definedName>
    <definedName name="PAGE11" localSheetId="10">#REF!</definedName>
    <definedName name="PAGE11" localSheetId="4">#REF!</definedName>
    <definedName name="PAGE11" localSheetId="5">#REF!</definedName>
    <definedName name="PAGE11" localSheetId="13">#REF!</definedName>
    <definedName name="PAGE11">#REF!</definedName>
    <definedName name="PAGE2" localSheetId="15">[1]Sheet1!$A$1:$I$40</definedName>
    <definedName name="PAGE2" localSheetId="8">[2]Sheet1!$A$1:$I$40</definedName>
    <definedName name="PAGE2" localSheetId="10">[3]Sheet1!$A$1:$I$40</definedName>
    <definedName name="PAGE2" localSheetId="4">[1]Sheet1!$A$1:$I$40</definedName>
    <definedName name="PAGE2" localSheetId="5">[1]Sheet1!$A$1:$I$40</definedName>
    <definedName name="PAGE2" localSheetId="13">[1]Sheet1!$A$1:$I$40</definedName>
    <definedName name="PAGE2">[2]Sheet1!$A$1:$I$40</definedName>
    <definedName name="PAGE3" localSheetId="15">#REF!</definedName>
    <definedName name="PAGE3" localSheetId="8">#REF!</definedName>
    <definedName name="PAGE3" localSheetId="10">#REF!</definedName>
    <definedName name="PAGE3" localSheetId="4">#REF!</definedName>
    <definedName name="PAGE3" localSheetId="5">#REF!</definedName>
    <definedName name="PAGE3" localSheetId="13">#REF!</definedName>
    <definedName name="PAGE3">#REF!</definedName>
    <definedName name="PAGE4" localSheetId="15">#REF!</definedName>
    <definedName name="PAGE4" localSheetId="8">#REF!</definedName>
    <definedName name="PAGE4" localSheetId="10">#REF!</definedName>
    <definedName name="PAGE4" localSheetId="4">#REF!</definedName>
    <definedName name="PAGE4" localSheetId="5">#REF!</definedName>
    <definedName name="PAGE4" localSheetId="13">#REF!</definedName>
    <definedName name="PAGE4">#REF!</definedName>
    <definedName name="PAGE7" localSheetId="15">#REF!</definedName>
    <definedName name="PAGE7" localSheetId="8">#REF!</definedName>
    <definedName name="PAGE7" localSheetId="10">#REF!</definedName>
    <definedName name="PAGE7" localSheetId="4">#REF!</definedName>
    <definedName name="PAGE7" localSheetId="5">#REF!</definedName>
    <definedName name="PAGE7" localSheetId="13">#REF!</definedName>
    <definedName name="PAGE7">#REF!</definedName>
    <definedName name="PAGE9" localSheetId="15">#REF!</definedName>
    <definedName name="PAGE9" localSheetId="8">#REF!</definedName>
    <definedName name="PAGE9" localSheetId="10">#REF!</definedName>
    <definedName name="PAGE9" localSheetId="4">#REF!</definedName>
    <definedName name="PAGE9" localSheetId="5">#REF!</definedName>
    <definedName name="PAGE9" localSheetId="13">#REF!</definedName>
    <definedName name="PAGE9">#REF!</definedName>
    <definedName name="ppp">[4]Refs!$B$6</definedName>
    <definedName name="_xlnm.Print_Area" localSheetId="15">'App.2-R_Loss Factors'!$A$1:$H$72</definedName>
    <definedName name="_xlnm.Print_Area" localSheetId="6">'Rate Class Customer Model'!$A$1:$H$42</definedName>
    <definedName name="_xlnm.Print_Area" localSheetId="5">'Rate Class Energy Model '!$A$1:$F$1</definedName>
    <definedName name="_xlnm.Print_Area" localSheetId="7">'Rate Class Load Model'!$A$1:$E$32</definedName>
    <definedName name="print_end" localSheetId="15">#REF!</definedName>
    <definedName name="print_end" localSheetId="8">#REF!</definedName>
    <definedName name="print_end" localSheetId="5">#REF!</definedName>
    <definedName name="print_end" localSheetId="13">#REF!</definedName>
    <definedName name="print_end">#REF!</definedName>
    <definedName name="Rate_Class">[9]lists!$A$1:$A$104</definedName>
    <definedName name="ratedescription">[13]hidden1!$D$1:$D$122</definedName>
    <definedName name="RebaseYear">'[9]LDC Info'!$E$28</definedName>
    <definedName name="RevReqLookupKey">[10]Refs!$B$5</definedName>
    <definedName name="RevReqRange">[10]Refs!$B$7</definedName>
    <definedName name="SALBENF" localSheetId="15">#REF!</definedName>
    <definedName name="SALBENF" localSheetId="8">#REF!</definedName>
    <definedName name="SALBENF" localSheetId="5">#REF!</definedName>
    <definedName name="SALBENF" localSheetId="13">#REF!</definedName>
    <definedName name="SALBENF">#REF!</definedName>
    <definedName name="salreg" localSheetId="15">#REF!</definedName>
    <definedName name="salreg" localSheetId="8">#REF!</definedName>
    <definedName name="salreg" localSheetId="5">#REF!</definedName>
    <definedName name="salreg" localSheetId="13">#REF!</definedName>
    <definedName name="salreg">#REF!</definedName>
    <definedName name="SALREGF" localSheetId="15">#REF!</definedName>
    <definedName name="SALREGF" localSheetId="8">#REF!</definedName>
    <definedName name="SALREGF" localSheetId="5">#REF!</definedName>
    <definedName name="SALREGF" localSheetId="13">#REF!</definedName>
    <definedName name="SALREGF">#REF!</definedName>
    <definedName name="t_Stat" localSheetId="15">'[14]Purchased Power Model'!#REF!</definedName>
    <definedName name="t_Stat" localSheetId="8">'[15]Purchased Power Model'!#REF!</definedName>
    <definedName name="t_Stat" localSheetId="6">'[16]Purchased Power Model'!#REF!</definedName>
    <definedName name="t_Stat" localSheetId="5">'[14]Purchased Power Model'!#REF!</definedName>
    <definedName name="t_Stat" localSheetId="13">'[14]Purchased Power Model'!#REF!</definedName>
    <definedName name="t_Stat">'[14]Purchased Power Model'!#REF!</definedName>
    <definedName name="TEMPA" localSheetId="15">#REF!</definedName>
    <definedName name="TEMPA" localSheetId="8">#REF!</definedName>
    <definedName name="TEMPA" localSheetId="5">#REF!</definedName>
    <definedName name="TEMPA" localSheetId="13">#REF!</definedName>
    <definedName name="TEMPA">#REF!</definedName>
    <definedName name="TestYear">'[9]LDC Info'!$E$24</definedName>
    <definedName name="total_dept" localSheetId="15">#REF!</definedName>
    <definedName name="total_dept" localSheetId="8">#REF!</definedName>
    <definedName name="total_dept" localSheetId="5">#REF!</definedName>
    <definedName name="total_dept" localSheetId="13">#REF!</definedName>
    <definedName name="total_dept">#REF!</definedName>
    <definedName name="total_manpower" localSheetId="15">#REF!</definedName>
    <definedName name="total_manpower" localSheetId="8">#REF!</definedName>
    <definedName name="total_manpower" localSheetId="5">#REF!</definedName>
    <definedName name="total_manpower" localSheetId="13">#REF!</definedName>
    <definedName name="total_manpower">#REF!</definedName>
    <definedName name="total_material" localSheetId="15">#REF!</definedName>
    <definedName name="total_material" localSheetId="8">#REF!</definedName>
    <definedName name="total_material" localSheetId="5">#REF!</definedName>
    <definedName name="total_material" localSheetId="13">#REF!</definedName>
    <definedName name="total_material">#REF!</definedName>
    <definedName name="total_other" localSheetId="15">#REF!</definedName>
    <definedName name="total_other" localSheetId="8">#REF!</definedName>
    <definedName name="total_other" localSheetId="5">#REF!</definedName>
    <definedName name="total_other" localSheetId="13">#REF!</definedName>
    <definedName name="total_other">#REF!</definedName>
    <definedName name="total_transportation" localSheetId="15">#REF!</definedName>
    <definedName name="total_transportation" localSheetId="8">#REF!</definedName>
    <definedName name="total_transportation" localSheetId="5">#REF!</definedName>
    <definedName name="total_transportation" localSheetId="13">#REF!</definedName>
    <definedName name="total_transportation">#REF!</definedName>
    <definedName name="TRANBUD" localSheetId="15">#REF!</definedName>
    <definedName name="TRANBUD" localSheetId="8">#REF!</definedName>
    <definedName name="TRANBUD" localSheetId="5">#REF!</definedName>
    <definedName name="TRANBUD" localSheetId="13">#REF!</definedName>
    <definedName name="TRANBUD">#REF!</definedName>
    <definedName name="TRANEND" localSheetId="15">#REF!</definedName>
    <definedName name="TRANEND" localSheetId="8">#REF!</definedName>
    <definedName name="TRANEND" localSheetId="5">#REF!</definedName>
    <definedName name="TRANEND" localSheetId="13">#REF!</definedName>
    <definedName name="TRANEND">#REF!</definedName>
    <definedName name="transportation_costs" localSheetId="15">#REF!</definedName>
    <definedName name="transportation_costs" localSheetId="8">#REF!</definedName>
    <definedName name="transportation_costs" localSheetId="5">#REF!</definedName>
    <definedName name="transportation_costs" localSheetId="13">#REF!</definedName>
    <definedName name="transportation_costs">#REF!</definedName>
    <definedName name="TRANSTART" localSheetId="15">#REF!</definedName>
    <definedName name="TRANSTART" localSheetId="8">#REF!</definedName>
    <definedName name="TRANSTART" localSheetId="5">#REF!</definedName>
    <definedName name="TRANSTART" localSheetId="13">#REF!</definedName>
    <definedName name="TRANSTART">#REF!</definedName>
    <definedName name="trn_beg_bud" localSheetId="15">#REF!</definedName>
    <definedName name="trn_beg_bud" localSheetId="8">#REF!</definedName>
    <definedName name="trn_beg_bud" localSheetId="5">#REF!</definedName>
    <definedName name="trn_beg_bud" localSheetId="13">#REF!</definedName>
    <definedName name="trn_beg_bud">#REF!</definedName>
    <definedName name="trn_end_bud" localSheetId="15">#REF!</definedName>
    <definedName name="trn_end_bud" localSheetId="8">#REF!</definedName>
    <definedName name="trn_end_bud" localSheetId="5">#REF!</definedName>
    <definedName name="trn_end_bud" localSheetId="13">#REF!</definedName>
    <definedName name="trn_end_bud">#REF!</definedName>
    <definedName name="trn12ACT" localSheetId="15">#REF!</definedName>
    <definedName name="trn12ACT" localSheetId="8">#REF!</definedName>
    <definedName name="trn12ACT" localSheetId="5">#REF!</definedName>
    <definedName name="trn12ACT" localSheetId="13">#REF!</definedName>
    <definedName name="trn12ACT">#REF!</definedName>
    <definedName name="trnCYACT" localSheetId="15">#REF!</definedName>
    <definedName name="trnCYACT" localSheetId="8">#REF!</definedName>
    <definedName name="trnCYACT" localSheetId="5">#REF!</definedName>
    <definedName name="trnCYACT" localSheetId="13">#REF!</definedName>
    <definedName name="trnCYACT">#REF!</definedName>
    <definedName name="trnCYBUD" localSheetId="15">#REF!</definedName>
    <definedName name="trnCYBUD" localSheetId="8">#REF!</definedName>
    <definedName name="trnCYBUD" localSheetId="5">#REF!</definedName>
    <definedName name="trnCYBUD" localSheetId="13">#REF!</definedName>
    <definedName name="trnCYBUD">#REF!</definedName>
    <definedName name="trnCYF" localSheetId="15">#REF!</definedName>
    <definedName name="trnCYF" localSheetId="8">#REF!</definedName>
    <definedName name="trnCYF" localSheetId="5">#REF!</definedName>
    <definedName name="trnCYF" localSheetId="13">#REF!</definedName>
    <definedName name="trnCYF">#REF!</definedName>
    <definedName name="trnNYbud" localSheetId="15">#REF!</definedName>
    <definedName name="trnNYbud" localSheetId="8">#REF!</definedName>
    <definedName name="trnNYbud" localSheetId="5">#REF!</definedName>
    <definedName name="trnNYbud" localSheetId="13">#REF!</definedName>
    <definedName name="trnNYbud">#REF!</definedName>
    <definedName name="trnPYACT" localSheetId="15">#REF!</definedName>
    <definedName name="trnPYACT" localSheetId="8">#REF!</definedName>
    <definedName name="trnPYACT" localSheetId="5">#REF!</definedName>
    <definedName name="trnPYACT" localSheetId="13">#REF!</definedName>
    <definedName name="trnPYACT">#REF!</definedName>
    <definedName name="Units">[9]lists!$N$2:$N$5</definedName>
    <definedName name="Utility">[11]Financials!$A$1</definedName>
    <definedName name="utitliy1">[17]Financials!$A$1</definedName>
    <definedName name="Uuu">[4]Refs!$B$5</definedName>
    <definedName name="Variable1" localSheetId="8">'[5]5.Variables'!$B$16</definedName>
    <definedName name="Variable1" localSheetId="6">'[6]5.Variables'!$B$16</definedName>
    <definedName name="Variable1">'[7]5.Variables'!$B$16</definedName>
    <definedName name="Variable2" localSheetId="8">'[5]5.Variables'!$B$43</definedName>
    <definedName name="Variable2" localSheetId="6">'[6]5.Variables'!$B$43</definedName>
    <definedName name="Variable2">'[7]5.Variables'!$B$43</definedName>
    <definedName name="Variable3" localSheetId="8">'[5]5.Variables'!$B$70</definedName>
    <definedName name="Variable3" localSheetId="6">'[6]5.Variables'!$B$70</definedName>
    <definedName name="Variable3">'[7]5.Variables'!$B$70</definedName>
    <definedName name="Variable5" localSheetId="8">'[5]5.Variables'!$B$100</definedName>
    <definedName name="Variable5" localSheetId="6">'[6]5.Variables'!$B$100</definedName>
    <definedName name="Variable5">'[7]5.Variables'!$B$100</definedName>
    <definedName name="Variable6" localSheetId="8">'[5]5.Variables'!$B$116</definedName>
    <definedName name="Variable6" localSheetId="6">'[6]5.Variables'!$B$116</definedName>
    <definedName name="Variable6">'[7]5.Variables'!$B$116</definedName>
    <definedName name="WAGBENF" localSheetId="15">#REF!</definedName>
    <definedName name="WAGBENF" localSheetId="8">#REF!</definedName>
    <definedName name="WAGBENF" localSheetId="5">#REF!</definedName>
    <definedName name="WAGBENF" localSheetId="13">#REF!</definedName>
    <definedName name="WAGBENF">#REF!</definedName>
    <definedName name="wagdob" localSheetId="15">#REF!</definedName>
    <definedName name="wagdob" localSheetId="8">#REF!</definedName>
    <definedName name="wagdob" localSheetId="5">#REF!</definedName>
    <definedName name="wagdob" localSheetId="13">#REF!</definedName>
    <definedName name="wagdob">#REF!</definedName>
    <definedName name="wagdobf" localSheetId="15">#REF!</definedName>
    <definedName name="wagdobf" localSheetId="8">#REF!</definedName>
    <definedName name="wagdobf" localSheetId="5">#REF!</definedName>
    <definedName name="wagdobf" localSheetId="13">#REF!</definedName>
    <definedName name="wagdobf">#REF!</definedName>
    <definedName name="wagreg" localSheetId="15">#REF!</definedName>
    <definedName name="wagreg" localSheetId="8">#REF!</definedName>
    <definedName name="wagreg" localSheetId="5">#REF!</definedName>
    <definedName name="wagreg" localSheetId="13">#REF!</definedName>
    <definedName name="wagreg">#REF!</definedName>
    <definedName name="wagregf" localSheetId="15">#REF!</definedName>
    <definedName name="wagregf" localSheetId="8">#REF!</definedName>
    <definedName name="wagregf" localSheetId="5">#REF!</definedName>
    <definedName name="wagregf" localSheetId="13">#REF!</definedName>
    <definedName name="wagregf">#REF!</definedName>
  </definedNames>
  <calcPr calcId="125725"/>
</workbook>
</file>

<file path=xl/calcChain.xml><?xml version="1.0" encoding="utf-8"?>
<calcChain xmlns="http://schemas.openxmlformats.org/spreadsheetml/2006/main">
  <c r="F92" i="34"/>
  <c r="F91"/>
  <c r="F90"/>
  <c r="F89"/>
  <c r="F88"/>
  <c r="F87"/>
  <c r="E41" l="1"/>
  <c r="E36"/>
  <c r="E35"/>
  <c r="D8" l="1"/>
  <c r="D7"/>
  <c r="D6"/>
  <c r="C9"/>
  <c r="C8"/>
  <c r="C7"/>
  <c r="C6"/>
  <c r="C5"/>
  <c r="C4"/>
  <c r="J34" i="38"/>
  <c r="I34"/>
  <c r="H34"/>
  <c r="G34"/>
  <c r="F34"/>
  <c r="E34"/>
  <c r="B6" i="44" l="1"/>
  <c r="B5"/>
  <c r="H21" i="39" l="1"/>
  <c r="H18"/>
  <c r="C20" a="1"/>
  <c r="C20" s="1"/>
  <c r="F20" l="1"/>
  <c r="E20"/>
  <c r="D20"/>
  <c r="H20" s="1"/>
  <c r="H22" s="1"/>
  <c r="G20"/>
  <c r="G16" l="1"/>
  <c r="G17" s="1"/>
  <c r="G19" s="1"/>
  <c r="C16"/>
  <c r="D16"/>
  <c r="D17" s="1"/>
  <c r="D19" s="1"/>
  <c r="E16"/>
  <c r="E17" s="1"/>
  <c r="E19" s="1"/>
  <c r="C185" i="36"/>
  <c r="C184"/>
  <c r="C183"/>
  <c r="C17" i="39" l="1"/>
  <c r="D9" i="49"/>
  <c r="E9"/>
  <c r="C9"/>
  <c r="C19" i="39" l="1"/>
  <c r="H93" i="34"/>
  <c r="P353" i="45"/>
  <c r="P342"/>
  <c r="P337"/>
  <c r="P331"/>
  <c r="P325"/>
  <c r="P319"/>
  <c r="P314"/>
  <c r="H10"/>
  <c r="H9"/>
  <c r="H8"/>
  <c r="H7"/>
  <c r="H6"/>
  <c r="H5"/>
  <c r="E138" i="47" l="1"/>
  <c r="C138"/>
  <c r="H138" s="1"/>
  <c r="E137"/>
  <c r="C137"/>
  <c r="H137" s="1"/>
  <c r="E136"/>
  <c r="C136"/>
  <c r="H136" s="1"/>
  <c r="E135"/>
  <c r="C135"/>
  <c r="H135" s="1"/>
  <c r="E134"/>
  <c r="C134"/>
  <c r="H134" s="1"/>
  <c r="E133"/>
  <c r="C133"/>
  <c r="H133" s="1"/>
  <c r="E132"/>
  <c r="C132"/>
  <c r="H132" s="1"/>
  <c r="E131"/>
  <c r="C131"/>
  <c r="H131" s="1"/>
  <c r="E130"/>
  <c r="C130"/>
  <c r="H130" s="1"/>
  <c r="E129"/>
  <c r="C129"/>
  <c r="H129" s="1"/>
  <c r="E128"/>
  <c r="C128"/>
  <c r="H128" s="1"/>
  <c r="E127"/>
  <c r="C127"/>
  <c r="H127" s="1"/>
  <c r="E126"/>
  <c r="C126"/>
  <c r="H126" s="1"/>
  <c r="B126"/>
  <c r="B127" s="1"/>
  <c r="B128" s="1"/>
  <c r="B129" s="1"/>
  <c r="B130" s="1"/>
  <c r="B131" s="1"/>
  <c r="B132" s="1"/>
  <c r="B133" s="1"/>
  <c r="B134" s="1"/>
  <c r="B135" s="1"/>
  <c r="B136" s="1"/>
  <c r="B137" s="1"/>
  <c r="B138" s="1"/>
  <c r="T38" i="33" l="1"/>
  <c r="T37"/>
  <c r="O38"/>
  <c r="O37"/>
  <c r="N38"/>
  <c r="M38"/>
  <c r="N37"/>
  <c r="M37"/>
  <c r="U31" i="34"/>
  <c r="S31"/>
  <c r="U30"/>
  <c r="S30"/>
  <c r="U29"/>
  <c r="S29"/>
  <c r="U28"/>
  <c r="S28"/>
  <c r="U27"/>
  <c r="S27"/>
  <c r="U26"/>
  <c r="S26"/>
  <c r="U25"/>
  <c r="S25"/>
  <c r="E4" l="1"/>
  <c r="E5"/>
  <c r="E6"/>
  <c r="E7"/>
  <c r="E8"/>
  <c r="E9"/>
  <c r="M30" i="11" l="1"/>
  <c r="M39"/>
  <c r="M34"/>
  <c r="M29"/>
  <c r="M20"/>
  <c r="M47"/>
  <c r="D4" i="48"/>
  <c r="E86" i="33"/>
  <c r="E85"/>
  <c r="E98" i="34"/>
  <c r="E97"/>
  <c r="H179" i="45"/>
  <c r="G179"/>
  <c r="F179"/>
  <c r="E179"/>
  <c r="D179"/>
  <c r="C179"/>
  <c r="M24" i="11"/>
  <c r="N33"/>
  <c r="N28"/>
  <c r="M43" l="1"/>
  <c r="M16"/>
  <c r="M11"/>
  <c r="M5"/>
  <c r="L5"/>
  <c r="B29" i="18"/>
  <c r="C29"/>
  <c r="D29"/>
  <c r="D14"/>
  <c r="C14"/>
  <c r="B14"/>
  <c r="E14" l="1"/>
  <c r="D50" i="38" l="1"/>
  <c r="H55"/>
  <c r="I55"/>
  <c r="E16" i="48"/>
  <c r="F16"/>
  <c r="L32"/>
  <c r="J32"/>
  <c r="L15"/>
  <c r="J15"/>
  <c r="B32"/>
  <c r="C32"/>
  <c r="D32"/>
  <c r="E32"/>
  <c r="F32"/>
  <c r="G32"/>
  <c r="H15"/>
  <c r="I15" s="1"/>
  <c r="F67"/>
  <c r="L14"/>
  <c r="J14"/>
  <c r="H14"/>
  <c r="G13"/>
  <c r="G52" s="1"/>
  <c r="F13"/>
  <c r="F52" s="1"/>
  <c r="E13"/>
  <c r="E31" s="1"/>
  <c r="D13"/>
  <c r="D31" s="1"/>
  <c r="C13"/>
  <c r="C52" s="1"/>
  <c r="B13"/>
  <c r="B52" s="1"/>
  <c r="G12"/>
  <c r="G51" s="1"/>
  <c r="F12"/>
  <c r="F51" s="1"/>
  <c r="E12"/>
  <c r="D12"/>
  <c r="C12"/>
  <c r="B12"/>
  <c r="G11"/>
  <c r="L11" s="1"/>
  <c r="F11"/>
  <c r="E11"/>
  <c r="D11"/>
  <c r="C11"/>
  <c r="B11"/>
  <c r="G10"/>
  <c r="F10"/>
  <c r="E10"/>
  <c r="D10"/>
  <c r="C10"/>
  <c r="B10"/>
  <c r="G9"/>
  <c r="L9" s="1"/>
  <c r="F9"/>
  <c r="E9"/>
  <c r="J9" s="1"/>
  <c r="D9"/>
  <c r="C9"/>
  <c r="B9"/>
  <c r="G8"/>
  <c r="F8"/>
  <c r="E8"/>
  <c r="D8"/>
  <c r="C8"/>
  <c r="B8"/>
  <c r="G7"/>
  <c r="F7"/>
  <c r="E7"/>
  <c r="J7" s="1"/>
  <c r="D7"/>
  <c r="C7"/>
  <c r="B7"/>
  <c r="G6"/>
  <c r="F6"/>
  <c r="E6"/>
  <c r="D6"/>
  <c r="C6"/>
  <c r="B6"/>
  <c r="G5"/>
  <c r="F5"/>
  <c r="E5"/>
  <c r="J5" s="1"/>
  <c r="D5"/>
  <c r="B23" i="11" s="1" a="1"/>
  <c r="C5" i="48"/>
  <c r="B5"/>
  <c r="G4"/>
  <c r="B38" i="11" s="1" a="1"/>
  <c r="F4" i="48"/>
  <c r="B33" i="11" s="1" a="1"/>
  <c r="E4" i="48"/>
  <c r="C4"/>
  <c r="B4"/>
  <c r="C23" i="11" l="1"/>
  <c r="M23"/>
  <c r="J23"/>
  <c r="I23"/>
  <c r="L23"/>
  <c r="K23"/>
  <c r="B23"/>
  <c r="H23"/>
  <c r="E23"/>
  <c r="G23"/>
  <c r="F23"/>
  <c r="D23"/>
  <c r="B38"/>
  <c r="E38"/>
  <c r="I38"/>
  <c r="M38"/>
  <c r="D38"/>
  <c r="C38"/>
  <c r="F38"/>
  <c r="J38"/>
  <c r="L38"/>
  <c r="K38"/>
  <c r="H38"/>
  <c r="G38"/>
  <c r="B19" a="1"/>
  <c r="F50" i="48"/>
  <c r="B33" i="11"/>
  <c r="G33"/>
  <c r="L33"/>
  <c r="K33"/>
  <c r="C33"/>
  <c r="H33"/>
  <c r="M33"/>
  <c r="D33"/>
  <c r="I33"/>
  <c r="E33"/>
  <c r="J33"/>
  <c r="F33"/>
  <c r="B28" a="1"/>
  <c r="B51" i="48"/>
  <c r="C49"/>
  <c r="G49"/>
  <c r="B46"/>
  <c r="B48"/>
  <c r="F48"/>
  <c r="B50"/>
  <c r="F43"/>
  <c r="F46"/>
  <c r="B43"/>
  <c r="D27"/>
  <c r="E28"/>
  <c r="J13"/>
  <c r="C43"/>
  <c r="G43"/>
  <c r="E29"/>
  <c r="H4"/>
  <c r="E43"/>
  <c r="B47"/>
  <c r="F47"/>
  <c r="D26"/>
  <c r="C51"/>
  <c r="C65" s="1"/>
  <c r="D43"/>
  <c r="H5"/>
  <c r="C47"/>
  <c r="G47"/>
  <c r="B49"/>
  <c r="F49"/>
  <c r="F63" s="1"/>
  <c r="D28"/>
  <c r="J11"/>
  <c r="D29"/>
  <c r="J31"/>
  <c r="G44"/>
  <c r="G23"/>
  <c r="G22"/>
  <c r="B45"/>
  <c r="B23"/>
  <c r="H6"/>
  <c r="I6" s="1"/>
  <c r="F45"/>
  <c r="F23"/>
  <c r="C46"/>
  <c r="H7"/>
  <c r="I7" s="1"/>
  <c r="C25"/>
  <c r="C24"/>
  <c r="G46"/>
  <c r="G60" s="1"/>
  <c r="G25"/>
  <c r="G24"/>
  <c r="G53"/>
  <c r="G65"/>
  <c r="C45"/>
  <c r="G45"/>
  <c r="D24"/>
  <c r="D46"/>
  <c r="D25"/>
  <c r="E26"/>
  <c r="E27"/>
  <c r="J10"/>
  <c r="E49"/>
  <c r="B63"/>
  <c r="B64"/>
  <c r="F64"/>
  <c r="C44"/>
  <c r="C57" s="1"/>
  <c r="C23"/>
  <c r="C22"/>
  <c r="D22"/>
  <c r="D44"/>
  <c r="J4"/>
  <c r="J43" s="1"/>
  <c r="E22"/>
  <c r="D23"/>
  <c r="E24"/>
  <c r="L7"/>
  <c r="E25"/>
  <c r="J8"/>
  <c r="J46" s="1"/>
  <c r="E47"/>
  <c r="B61"/>
  <c r="F61"/>
  <c r="B62"/>
  <c r="C50"/>
  <c r="C63" s="1"/>
  <c r="H11"/>
  <c r="C29"/>
  <c r="C28"/>
  <c r="G50"/>
  <c r="G63" s="1"/>
  <c r="G29"/>
  <c r="G28"/>
  <c r="H43"/>
  <c r="B44"/>
  <c r="F44"/>
  <c r="F57" s="1"/>
  <c r="L5"/>
  <c r="E23"/>
  <c r="E45"/>
  <c r="J6"/>
  <c r="J44" s="1"/>
  <c r="J57" s="1"/>
  <c r="B59"/>
  <c r="F59"/>
  <c r="B60"/>
  <c r="F60"/>
  <c r="C48"/>
  <c r="C61" s="1"/>
  <c r="H9"/>
  <c r="C27"/>
  <c r="C26"/>
  <c r="G48"/>
  <c r="G61" s="1"/>
  <c r="G27"/>
  <c r="G26"/>
  <c r="J28"/>
  <c r="B65"/>
  <c r="F53"/>
  <c r="F65"/>
  <c r="H8"/>
  <c r="I8" s="1"/>
  <c r="H10"/>
  <c r="H12"/>
  <c r="B22"/>
  <c r="F22"/>
  <c r="B24"/>
  <c r="F24"/>
  <c r="B25"/>
  <c r="F25"/>
  <c r="B26"/>
  <c r="F26"/>
  <c r="B27"/>
  <c r="F27"/>
  <c r="B28"/>
  <c r="F28"/>
  <c r="B29"/>
  <c r="F29"/>
  <c r="B30"/>
  <c r="F30"/>
  <c r="B31"/>
  <c r="F31"/>
  <c r="D45"/>
  <c r="D58" s="1"/>
  <c r="D47"/>
  <c r="D48"/>
  <c r="D49"/>
  <c r="D50"/>
  <c r="D63" s="1"/>
  <c r="D51"/>
  <c r="D52"/>
  <c r="L13"/>
  <c r="C30"/>
  <c r="G30"/>
  <c r="C31"/>
  <c r="G31"/>
  <c r="E44"/>
  <c r="E57" s="1"/>
  <c r="E46"/>
  <c r="E48"/>
  <c r="E61" s="1"/>
  <c r="J48"/>
  <c r="E50"/>
  <c r="E63" s="1"/>
  <c r="E51"/>
  <c r="E52"/>
  <c r="J52"/>
  <c r="H13"/>
  <c r="I14" s="1"/>
  <c r="D30"/>
  <c r="J12"/>
  <c r="L4"/>
  <c r="L6"/>
  <c r="L8"/>
  <c r="L25" s="1"/>
  <c r="L10"/>
  <c r="L27" s="1"/>
  <c r="L12"/>
  <c r="L29" s="1"/>
  <c r="E30"/>
  <c r="E37" l="1"/>
  <c r="C37"/>
  <c r="C28" i="11"/>
  <c r="G28"/>
  <c r="K28"/>
  <c r="B28"/>
  <c r="J28"/>
  <c r="D28"/>
  <c r="H28"/>
  <c r="L28"/>
  <c r="E28"/>
  <c r="I28"/>
  <c r="M28"/>
  <c r="F28"/>
  <c r="F37" i="48"/>
  <c r="G37"/>
  <c r="B19" i="11"/>
  <c r="M19"/>
  <c r="C19"/>
  <c r="F19"/>
  <c r="E19"/>
  <c r="I19"/>
  <c r="H19"/>
  <c r="L19"/>
  <c r="K19"/>
  <c r="D19"/>
  <c r="G19"/>
  <c r="J19"/>
  <c r="B37" i="48"/>
  <c r="D37"/>
  <c r="B46" i="11" a="1"/>
  <c r="M46" s="1"/>
  <c r="I5" i="48"/>
  <c r="G58"/>
  <c r="D60"/>
  <c r="F62"/>
  <c r="F68" s="1"/>
  <c r="D57"/>
  <c r="D64"/>
  <c r="I12"/>
  <c r="I9"/>
  <c r="G57"/>
  <c r="E59"/>
  <c r="G62"/>
  <c r="G64"/>
  <c r="D65"/>
  <c r="D61"/>
  <c r="B35"/>
  <c r="H47"/>
  <c r="L22"/>
  <c r="I11"/>
  <c r="E60"/>
  <c r="H51"/>
  <c r="L28"/>
  <c r="F58"/>
  <c r="J23"/>
  <c r="J45"/>
  <c r="J58" s="1"/>
  <c r="J25"/>
  <c r="J47"/>
  <c r="J60" s="1"/>
  <c r="E62"/>
  <c r="J26"/>
  <c r="J29"/>
  <c r="J51"/>
  <c r="E64"/>
  <c r="I10"/>
  <c r="H52"/>
  <c r="E58"/>
  <c r="B57"/>
  <c r="H44"/>
  <c r="C64"/>
  <c r="H48"/>
  <c r="J22"/>
  <c r="D35"/>
  <c r="D16" s="1"/>
  <c r="J30"/>
  <c r="J27"/>
  <c r="J49"/>
  <c r="J62" s="1"/>
  <c r="J24"/>
  <c r="C58"/>
  <c r="G59"/>
  <c r="C59"/>
  <c r="E65"/>
  <c r="L23"/>
  <c r="I13"/>
  <c r="J50"/>
  <c r="J59"/>
  <c r="L30"/>
  <c r="D62"/>
  <c r="C62"/>
  <c r="H46"/>
  <c r="H49"/>
  <c r="L24"/>
  <c r="C35"/>
  <c r="C16" s="1"/>
  <c r="H50"/>
  <c r="D59"/>
  <c r="L31"/>
  <c r="C60"/>
  <c r="B58"/>
  <c r="H45"/>
  <c r="L26"/>
  <c r="I46" i="11" l="1"/>
  <c r="G46"/>
  <c r="D46"/>
  <c r="L37" i="48"/>
  <c r="K46" i="11"/>
  <c r="F46"/>
  <c r="C46"/>
  <c r="J37" i="48"/>
  <c r="B16"/>
  <c r="B15" i="11" s="1" a="1"/>
  <c r="L46"/>
  <c r="B46"/>
  <c r="E46"/>
  <c r="N19"/>
  <c r="F55" i="38"/>
  <c r="G68" i="48"/>
  <c r="E68"/>
  <c r="J46" i="11"/>
  <c r="H46"/>
  <c r="N23"/>
  <c r="G55" i="38"/>
  <c r="D68" i="48"/>
  <c r="D67" s="1"/>
  <c r="D53" s="1"/>
  <c r="J63"/>
  <c r="J64"/>
  <c r="C68"/>
  <c r="C67" s="1"/>
  <c r="C53" s="1"/>
  <c r="L35"/>
  <c r="G35" s="1"/>
  <c r="G16" s="1"/>
  <c r="J35"/>
  <c r="J16" s="1"/>
  <c r="B68"/>
  <c r="B67" s="1"/>
  <c r="B53" s="1"/>
  <c r="J61"/>
  <c r="J68" s="1"/>
  <c r="E67" s="1"/>
  <c r="E53" s="1"/>
  <c r="J65"/>
  <c r="N38" i="11" l="1"/>
  <c r="J55" i="38"/>
  <c r="B15" i="11"/>
  <c r="L15"/>
  <c r="G15"/>
  <c r="E15"/>
  <c r="C15"/>
  <c r="N15"/>
  <c r="D15"/>
  <c r="J15"/>
  <c r="K15"/>
  <c r="F15"/>
  <c r="H15"/>
  <c r="M15"/>
  <c r="I15"/>
  <c r="E55" i="38"/>
  <c r="H53" i="48"/>
  <c r="H16"/>
  <c r="L16"/>
  <c r="N42" i="11" l="1"/>
  <c r="I16" i="48"/>
  <c r="N46" i="11"/>
  <c r="N51" s="1"/>
  <c r="A34" i="38"/>
  <c r="A35"/>
  <c r="D14"/>
  <c r="B14" l="1"/>
  <c r="C14" s="1"/>
  <c r="B59" i="37"/>
  <c r="AC45" i="36" l="1"/>
  <c r="B13" i="38" l="1"/>
  <c r="AC112" i="36"/>
  <c r="AC106"/>
  <c r="AC105"/>
  <c r="AB106"/>
  <c r="AB105"/>
  <c r="M168" l="1"/>
  <c r="N168"/>
  <c r="M169"/>
  <c r="N169"/>
  <c r="M170"/>
  <c r="N170"/>
  <c r="M171"/>
  <c r="N171"/>
  <c r="M172"/>
  <c r="N172"/>
  <c r="M173"/>
  <c r="N173"/>
  <c r="M174"/>
  <c r="N174"/>
  <c r="M175"/>
  <c r="N175"/>
  <c r="M176"/>
  <c r="N176"/>
  <c r="M177"/>
  <c r="N177"/>
  <c r="M178"/>
  <c r="N178"/>
  <c r="N167"/>
  <c r="M167"/>
  <c r="K167"/>
  <c r="K168"/>
  <c r="K169"/>
  <c r="K170"/>
  <c r="K171"/>
  <c r="K172"/>
  <c r="K173"/>
  <c r="K174"/>
  <c r="K175"/>
  <c r="K176"/>
  <c r="K177"/>
  <c r="K178"/>
  <c r="J167"/>
  <c r="J168"/>
  <c r="J169"/>
  <c r="J170"/>
  <c r="J171"/>
  <c r="J172"/>
  <c r="J173"/>
  <c r="J174"/>
  <c r="J175"/>
  <c r="J176"/>
  <c r="J177"/>
  <c r="J178"/>
  <c r="B60" i="37" l="1"/>
  <c r="H34" l="1"/>
  <c r="B54"/>
  <c r="C54"/>
  <c r="D54"/>
  <c r="E54"/>
  <c r="F54"/>
  <c r="G54"/>
  <c r="H54"/>
  <c r="I54"/>
  <c r="J54"/>
  <c r="K54"/>
  <c r="L54"/>
  <c r="M54"/>
  <c r="M53" l="1"/>
  <c r="M46"/>
  <c r="M45"/>
  <c r="M44"/>
  <c r="M43"/>
  <c r="M42"/>
  <c r="B15" l="1"/>
  <c r="M52" l="1"/>
  <c r="Q36" l="1"/>
  <c r="Q31"/>
  <c r="Q32"/>
  <c r="Q33"/>
  <c r="Q34"/>
  <c r="Q35"/>
  <c r="Q30"/>
  <c r="P35"/>
  <c r="P36" s="1"/>
  <c r="O34"/>
  <c r="O36" s="1"/>
  <c r="N33"/>
  <c r="N36" s="1"/>
  <c r="M32"/>
  <c r="M36" s="1"/>
  <c r="L31"/>
  <c r="L36" s="1"/>
  <c r="Q28"/>
  <c r="Q23"/>
  <c r="Q24"/>
  <c r="Q25"/>
  <c r="Q26"/>
  <c r="Q27"/>
  <c r="Q22"/>
  <c r="L28"/>
  <c r="M28"/>
  <c r="N28"/>
  <c r="O28"/>
  <c r="P28"/>
  <c r="P27"/>
  <c r="O26"/>
  <c r="N25"/>
  <c r="M24"/>
  <c r="L23"/>
  <c r="K36"/>
  <c r="K28"/>
  <c r="K22"/>
  <c r="M20"/>
  <c r="N150" i="36" l="1"/>
  <c r="N151"/>
  <c r="N152"/>
  <c r="N153"/>
  <c r="N154"/>
  <c r="N155"/>
  <c r="N156"/>
  <c r="N157"/>
  <c r="N158"/>
  <c r="N159"/>
  <c r="N160"/>
  <c r="N161"/>
  <c r="J150" l="1"/>
  <c r="J151"/>
  <c r="J152"/>
  <c r="J153"/>
  <c r="J154"/>
  <c r="J155"/>
  <c r="J156"/>
  <c r="J157"/>
  <c r="J158"/>
  <c r="J159"/>
  <c r="J160"/>
  <c r="J161"/>
  <c r="K150"/>
  <c r="K151"/>
  <c r="K152"/>
  <c r="K153"/>
  <c r="K154"/>
  <c r="K155"/>
  <c r="K156"/>
  <c r="K157"/>
  <c r="K158"/>
  <c r="K159"/>
  <c r="K160"/>
  <c r="K161"/>
  <c r="Z35" i="32"/>
  <c r="Y35"/>
  <c r="X35"/>
  <c r="Z34"/>
  <c r="Y34"/>
  <c r="X34"/>
  <c r="Z33"/>
  <c r="Y33"/>
  <c r="X33"/>
  <c r="Z32"/>
  <c r="Y32"/>
  <c r="X32"/>
  <c r="Z31"/>
  <c r="Y31"/>
  <c r="X31"/>
  <c r="Z30"/>
  <c r="Y30"/>
  <c r="X30"/>
  <c r="Z29"/>
  <c r="Y29"/>
  <c r="X29"/>
  <c r="Z28"/>
  <c r="Y28"/>
  <c r="X28"/>
  <c r="Z27"/>
  <c r="Y27"/>
  <c r="X27"/>
  <c r="Z26"/>
  <c r="Y26"/>
  <c r="X26"/>
  <c r="Z25"/>
  <c r="Y25"/>
  <c r="X25"/>
  <c r="Z24"/>
  <c r="Y24"/>
  <c r="X24"/>
  <c r="Z7"/>
  <c r="Z8"/>
  <c r="Z9"/>
  <c r="Z10"/>
  <c r="Z11"/>
  <c r="Z12"/>
  <c r="Z13"/>
  <c r="Z14"/>
  <c r="Z15"/>
  <c r="Z16"/>
  <c r="Z17"/>
  <c r="Z6"/>
  <c r="AB103" i="36" l="1"/>
  <c r="AB102"/>
  <c r="Y7" i="32"/>
  <c r="Y8"/>
  <c r="Y9"/>
  <c r="Y10"/>
  <c r="Y11"/>
  <c r="Y12"/>
  <c r="Y13"/>
  <c r="Y14"/>
  <c r="Y15"/>
  <c r="Y16"/>
  <c r="Y17"/>
  <c r="Y6"/>
  <c r="X7"/>
  <c r="X8"/>
  <c r="X9"/>
  <c r="X10"/>
  <c r="X11"/>
  <c r="X12"/>
  <c r="X13"/>
  <c r="X14"/>
  <c r="X15"/>
  <c r="X16"/>
  <c r="X17"/>
  <c r="X6"/>
  <c r="J139" i="36"/>
  <c r="K139"/>
  <c r="J140"/>
  <c r="K140"/>
  <c r="J141"/>
  <c r="K141"/>
  <c r="J142"/>
  <c r="K142"/>
  <c r="J143"/>
  <c r="K143"/>
  <c r="J144"/>
  <c r="K144"/>
  <c r="J145"/>
  <c r="K145"/>
  <c r="J146"/>
  <c r="K146"/>
  <c r="J147"/>
  <c r="K147"/>
  <c r="J148"/>
  <c r="K148"/>
  <c r="J149"/>
  <c r="K149"/>
  <c r="K138"/>
  <c r="J138"/>
  <c r="W37" i="32"/>
  <c r="E138" i="36" l="1"/>
  <c r="E139"/>
  <c r="E140"/>
  <c r="E141"/>
  <c r="E142"/>
  <c r="E143"/>
  <c r="E144"/>
  <c r="E145"/>
  <c r="E146"/>
  <c r="E147"/>
  <c r="E148"/>
  <c r="E149"/>
  <c r="C138"/>
  <c r="H138" s="1"/>
  <c r="C139"/>
  <c r="H139" s="1"/>
  <c r="C140"/>
  <c r="H140" s="1"/>
  <c r="C141"/>
  <c r="H141" s="1"/>
  <c r="C142"/>
  <c r="H142" s="1"/>
  <c r="C143"/>
  <c r="H143" s="1"/>
  <c r="C144"/>
  <c r="H144" s="1"/>
  <c r="C145"/>
  <c r="H145" s="1"/>
  <c r="C146"/>
  <c r="H146" s="1"/>
  <c r="C147"/>
  <c r="H147" s="1"/>
  <c r="C148"/>
  <c r="H148" s="1"/>
  <c r="C149"/>
  <c r="H149" s="1"/>
  <c r="N138"/>
  <c r="F15" i="34" l="1"/>
  <c r="B43" i="35"/>
  <c r="E40"/>
  <c r="D46"/>
  <c r="D44"/>
  <c r="D49" s="1"/>
  <c r="E15" l="1"/>
  <c r="D19" l="1"/>
  <c r="D21"/>
  <c r="D24" l="1"/>
  <c r="F25" i="34" s="1"/>
  <c r="W7" i="47"/>
  <c r="X7"/>
  <c r="W8"/>
  <c r="X8"/>
  <c r="W9"/>
  <c r="X9"/>
  <c r="W10"/>
  <c r="X10"/>
  <c r="W11"/>
  <c r="X11"/>
  <c r="W12"/>
  <c r="X12"/>
  <c r="W13"/>
  <c r="X13"/>
  <c r="W14"/>
  <c r="X14"/>
  <c r="W15"/>
  <c r="X15"/>
  <c r="W16"/>
  <c r="X16"/>
  <c r="W17"/>
  <c r="X17"/>
  <c r="W18"/>
  <c r="X18"/>
  <c r="W19"/>
  <c r="X19"/>
  <c r="W20"/>
  <c r="X20"/>
  <c r="W21"/>
  <c r="X21"/>
  <c r="W22"/>
  <c r="X22"/>
  <c r="W23"/>
  <c r="X23"/>
  <c r="W24"/>
  <c r="X24"/>
  <c r="W25"/>
  <c r="X25"/>
  <c r="W26"/>
  <c r="X26"/>
  <c r="W27"/>
  <c r="X27"/>
  <c r="W28"/>
  <c r="X28"/>
  <c r="W29"/>
  <c r="X29"/>
  <c r="W30"/>
  <c r="X30"/>
  <c r="W31"/>
  <c r="X31"/>
  <c r="W32"/>
  <c r="X32"/>
  <c r="W33"/>
  <c r="X33"/>
  <c r="W34"/>
  <c r="X34"/>
  <c r="W35"/>
  <c r="X35"/>
  <c r="W36"/>
  <c r="X36"/>
  <c r="W37"/>
  <c r="X37"/>
  <c r="W38"/>
  <c r="X38"/>
  <c r="W39"/>
  <c r="X39"/>
  <c r="W40"/>
  <c r="X40"/>
  <c r="W41"/>
  <c r="X41"/>
  <c r="W42"/>
  <c r="X42"/>
  <c r="W43"/>
  <c r="X43"/>
  <c r="W44"/>
  <c r="X44"/>
  <c r="W45"/>
  <c r="X45"/>
  <c r="W46"/>
  <c r="X46"/>
  <c r="W47"/>
  <c r="X47"/>
  <c r="W48"/>
  <c r="X48"/>
  <c r="W49"/>
  <c r="X49"/>
  <c r="W50"/>
  <c r="X50"/>
  <c r="W51"/>
  <c r="X51"/>
  <c r="W52"/>
  <c r="X52"/>
  <c r="W53"/>
  <c r="X53"/>
  <c r="W54"/>
  <c r="X54"/>
  <c r="W55"/>
  <c r="X55"/>
  <c r="W56"/>
  <c r="X56"/>
  <c r="W57"/>
  <c r="X57"/>
  <c r="W58"/>
  <c r="X58"/>
  <c r="W59"/>
  <c r="X59"/>
  <c r="W60"/>
  <c r="X60"/>
  <c r="W61"/>
  <c r="X61"/>
  <c r="W62"/>
  <c r="X62"/>
  <c r="W63"/>
  <c r="X63"/>
  <c r="W64"/>
  <c r="X64"/>
  <c r="W65"/>
  <c r="X65"/>
  <c r="W66"/>
  <c r="X66"/>
  <c r="W67"/>
  <c r="X67"/>
  <c r="W68"/>
  <c r="X68"/>
  <c r="W69"/>
  <c r="X69"/>
  <c r="W70"/>
  <c r="X70"/>
  <c r="W71"/>
  <c r="X71"/>
  <c r="W72"/>
  <c r="X72"/>
  <c r="W73"/>
  <c r="X73"/>
  <c r="W74"/>
  <c r="X74"/>
  <c r="W75"/>
  <c r="X75"/>
  <c r="W76"/>
  <c r="X76"/>
  <c r="W77"/>
  <c r="X77"/>
  <c r="W78"/>
  <c r="X78"/>
  <c r="W79"/>
  <c r="X79"/>
  <c r="W80"/>
  <c r="X80"/>
  <c r="W81"/>
  <c r="X81"/>
  <c r="W82"/>
  <c r="X82"/>
  <c r="W83"/>
  <c r="X83"/>
  <c r="W84"/>
  <c r="X84"/>
  <c r="W85"/>
  <c r="X85"/>
  <c r="W86"/>
  <c r="X86"/>
  <c r="W87"/>
  <c r="X87"/>
  <c r="W88"/>
  <c r="X88"/>
  <c r="W89"/>
  <c r="X89"/>
  <c r="W90"/>
  <c r="X90"/>
  <c r="W91"/>
  <c r="X91"/>
  <c r="W92"/>
  <c r="X92"/>
  <c r="W93"/>
  <c r="X93"/>
  <c r="W94"/>
  <c r="X94"/>
  <c r="W95"/>
  <c r="X95"/>
  <c r="W96"/>
  <c r="X96"/>
  <c r="W97"/>
  <c r="X97"/>
  <c r="W98"/>
  <c r="X98"/>
  <c r="W99"/>
  <c r="X99"/>
  <c r="W100"/>
  <c r="X100"/>
  <c r="W101"/>
  <c r="X101"/>
  <c r="W102"/>
  <c r="X102"/>
  <c r="W103"/>
  <c r="X103"/>
  <c r="W104"/>
  <c r="X104"/>
  <c r="W105"/>
  <c r="X105"/>
  <c r="W106"/>
  <c r="X106"/>
  <c r="W107"/>
  <c r="X107"/>
  <c r="W108"/>
  <c r="X108"/>
  <c r="W109"/>
  <c r="X109"/>
  <c r="W110"/>
  <c r="X110"/>
  <c r="W111"/>
  <c r="X111"/>
  <c r="W112"/>
  <c r="X112"/>
  <c r="W113"/>
  <c r="X113"/>
  <c r="W114"/>
  <c r="X114"/>
  <c r="W115"/>
  <c r="X115"/>
  <c r="W116"/>
  <c r="X116"/>
  <c r="W117"/>
  <c r="X117"/>
  <c r="W118"/>
  <c r="X118"/>
  <c r="W119"/>
  <c r="X119"/>
  <c r="W120"/>
  <c r="X120"/>
  <c r="W121"/>
  <c r="X121"/>
  <c r="W122"/>
  <c r="X122"/>
  <c r="W123"/>
  <c r="X123"/>
  <c r="W124"/>
  <c r="X124"/>
  <c r="W125"/>
  <c r="X125"/>
  <c r="X6"/>
  <c r="W6" l="1"/>
  <c r="N125"/>
  <c r="K125"/>
  <c r="J125"/>
  <c r="E125"/>
  <c r="C125"/>
  <c r="N124"/>
  <c r="K124"/>
  <c r="J124"/>
  <c r="E124"/>
  <c r="C124"/>
  <c r="N123"/>
  <c r="K123"/>
  <c r="J123"/>
  <c r="E123"/>
  <c r="C123"/>
  <c r="N122"/>
  <c r="K122"/>
  <c r="J122"/>
  <c r="E122"/>
  <c r="C122"/>
  <c r="N121"/>
  <c r="K121"/>
  <c r="J121"/>
  <c r="E121"/>
  <c r="C121"/>
  <c r="N120"/>
  <c r="K120"/>
  <c r="J120"/>
  <c r="E120"/>
  <c r="C120"/>
  <c r="N119"/>
  <c r="K119"/>
  <c r="J119"/>
  <c r="E119"/>
  <c r="C119"/>
  <c r="N118"/>
  <c r="K118"/>
  <c r="J118"/>
  <c r="E118"/>
  <c r="C118"/>
  <c r="N117"/>
  <c r="K117"/>
  <c r="J117"/>
  <c r="E117"/>
  <c r="C117"/>
  <c r="N116"/>
  <c r="K116"/>
  <c r="J116"/>
  <c r="E116"/>
  <c r="C116"/>
  <c r="N115"/>
  <c r="K115"/>
  <c r="J115"/>
  <c r="E115"/>
  <c r="C115"/>
  <c r="N114"/>
  <c r="K114"/>
  <c r="J114"/>
  <c r="E114"/>
  <c r="C114"/>
  <c r="N113"/>
  <c r="K113"/>
  <c r="J113"/>
  <c r="E113"/>
  <c r="C113"/>
  <c r="N112"/>
  <c r="K112"/>
  <c r="J112"/>
  <c r="E112"/>
  <c r="C112"/>
  <c r="N111"/>
  <c r="K111"/>
  <c r="J111"/>
  <c r="E111"/>
  <c r="C111"/>
  <c r="N110"/>
  <c r="K110"/>
  <c r="J110"/>
  <c r="E110"/>
  <c r="C110"/>
  <c r="N109"/>
  <c r="K109"/>
  <c r="J109"/>
  <c r="E109"/>
  <c r="C109"/>
  <c r="N108"/>
  <c r="K108"/>
  <c r="J108"/>
  <c r="E108"/>
  <c r="C108"/>
  <c r="N107"/>
  <c r="K107"/>
  <c r="J107"/>
  <c r="E107"/>
  <c r="C107"/>
  <c r="N106"/>
  <c r="K106"/>
  <c r="J106"/>
  <c r="E106"/>
  <c r="C106"/>
  <c r="N105"/>
  <c r="K105"/>
  <c r="J105"/>
  <c r="E105"/>
  <c r="C105"/>
  <c r="N104"/>
  <c r="K104"/>
  <c r="J104"/>
  <c r="E104"/>
  <c r="C104"/>
  <c r="N103"/>
  <c r="K103"/>
  <c r="J103"/>
  <c r="E103"/>
  <c r="C103"/>
  <c r="N102"/>
  <c r="K102"/>
  <c r="J102"/>
  <c r="E102"/>
  <c r="C102"/>
  <c r="N101"/>
  <c r="K101"/>
  <c r="J101"/>
  <c r="E101"/>
  <c r="C101"/>
  <c r="N100"/>
  <c r="K100"/>
  <c r="J100"/>
  <c r="E100"/>
  <c r="C100"/>
  <c r="N99"/>
  <c r="K99"/>
  <c r="J99"/>
  <c r="E99"/>
  <c r="C99"/>
  <c r="N98"/>
  <c r="K98"/>
  <c r="J98"/>
  <c r="E98"/>
  <c r="C98"/>
  <c r="N97"/>
  <c r="K97"/>
  <c r="J97"/>
  <c r="E97"/>
  <c r="C97"/>
  <c r="N96"/>
  <c r="K96"/>
  <c r="J96"/>
  <c r="E96"/>
  <c r="C96"/>
  <c r="N95"/>
  <c r="K95"/>
  <c r="J95"/>
  <c r="E95"/>
  <c r="C95"/>
  <c r="N94"/>
  <c r="K94"/>
  <c r="J94"/>
  <c r="E94"/>
  <c r="C94"/>
  <c r="N93"/>
  <c r="K93"/>
  <c r="J93"/>
  <c r="E93"/>
  <c r="C93"/>
  <c r="N92"/>
  <c r="K92"/>
  <c r="J92"/>
  <c r="E92"/>
  <c r="C92"/>
  <c r="N91"/>
  <c r="K91"/>
  <c r="J91"/>
  <c r="E91"/>
  <c r="C91"/>
  <c r="N90"/>
  <c r="K90"/>
  <c r="J90"/>
  <c r="E90"/>
  <c r="C90"/>
  <c r="N89"/>
  <c r="K89"/>
  <c r="J89"/>
  <c r="E89"/>
  <c r="C89"/>
  <c r="N88"/>
  <c r="K88"/>
  <c r="J88"/>
  <c r="E88"/>
  <c r="C88"/>
  <c r="N87"/>
  <c r="K87"/>
  <c r="J87"/>
  <c r="E87"/>
  <c r="C87"/>
  <c r="N86"/>
  <c r="K86"/>
  <c r="J86"/>
  <c r="E86"/>
  <c r="C86"/>
  <c r="N85"/>
  <c r="K85"/>
  <c r="J85"/>
  <c r="E85"/>
  <c r="C85"/>
  <c r="N84"/>
  <c r="K84"/>
  <c r="J84"/>
  <c r="E84"/>
  <c r="C84"/>
  <c r="N83"/>
  <c r="K83"/>
  <c r="J83"/>
  <c r="E83"/>
  <c r="C83"/>
  <c r="N82"/>
  <c r="K82"/>
  <c r="J82"/>
  <c r="E82"/>
  <c r="C82"/>
  <c r="N81"/>
  <c r="K81"/>
  <c r="J81"/>
  <c r="E81"/>
  <c r="C81"/>
  <c r="N80"/>
  <c r="K80"/>
  <c r="J80"/>
  <c r="E80"/>
  <c r="C80"/>
  <c r="N79"/>
  <c r="K79"/>
  <c r="J79"/>
  <c r="E79"/>
  <c r="C79"/>
  <c r="N78"/>
  <c r="K78"/>
  <c r="J78"/>
  <c r="E78"/>
  <c r="C78"/>
  <c r="N77"/>
  <c r="K77"/>
  <c r="J77"/>
  <c r="H77"/>
  <c r="N76"/>
  <c r="K76"/>
  <c r="J76"/>
  <c r="H76"/>
  <c r="N75"/>
  <c r="K75"/>
  <c r="J75"/>
  <c r="H75"/>
  <c r="N74"/>
  <c r="K74"/>
  <c r="J74"/>
  <c r="H74"/>
  <c r="N73"/>
  <c r="K73"/>
  <c r="J73"/>
  <c r="H73"/>
  <c r="N72"/>
  <c r="K72"/>
  <c r="J72"/>
  <c r="H72"/>
  <c r="N71"/>
  <c r="K71"/>
  <c r="J71"/>
  <c r="H71"/>
  <c r="N70"/>
  <c r="K70"/>
  <c r="J70"/>
  <c r="H70"/>
  <c r="N69"/>
  <c r="K69"/>
  <c r="J69"/>
  <c r="H69"/>
  <c r="N68"/>
  <c r="K68"/>
  <c r="J68"/>
  <c r="H68"/>
  <c r="N67"/>
  <c r="K67"/>
  <c r="J67"/>
  <c r="H67"/>
  <c r="N66"/>
  <c r="K66"/>
  <c r="J66"/>
  <c r="H66"/>
  <c r="N65"/>
  <c r="K65"/>
  <c r="J65"/>
  <c r="H65"/>
  <c r="N64"/>
  <c r="K64"/>
  <c r="J64"/>
  <c r="H64"/>
  <c r="N63"/>
  <c r="K63"/>
  <c r="J63"/>
  <c r="H63"/>
  <c r="N62"/>
  <c r="K62"/>
  <c r="J62"/>
  <c r="H62"/>
  <c r="N61"/>
  <c r="K61"/>
  <c r="J61"/>
  <c r="H61"/>
  <c r="N60"/>
  <c r="K60"/>
  <c r="J60"/>
  <c r="H60"/>
  <c r="N59"/>
  <c r="K59"/>
  <c r="J59"/>
  <c r="H59"/>
  <c r="N58"/>
  <c r="K58"/>
  <c r="J58"/>
  <c r="H58"/>
  <c r="N57"/>
  <c r="K57"/>
  <c r="J57"/>
  <c r="H57"/>
  <c r="N56"/>
  <c r="K56"/>
  <c r="J56"/>
  <c r="H56"/>
  <c r="N55"/>
  <c r="K55"/>
  <c r="J55"/>
  <c r="H55"/>
  <c r="N54"/>
  <c r="K54"/>
  <c r="J54"/>
  <c r="H54"/>
  <c r="N53"/>
  <c r="K53"/>
  <c r="J53"/>
  <c r="H53"/>
  <c r="N52"/>
  <c r="K52"/>
  <c r="J52"/>
  <c r="H52"/>
  <c r="N51"/>
  <c r="K51"/>
  <c r="J51"/>
  <c r="H51"/>
  <c r="N50"/>
  <c r="K50"/>
  <c r="J50"/>
  <c r="H50"/>
  <c r="N49"/>
  <c r="K49"/>
  <c r="J49"/>
  <c r="H49"/>
  <c r="N48"/>
  <c r="K48"/>
  <c r="J48"/>
  <c r="H48"/>
  <c r="N47"/>
  <c r="K47"/>
  <c r="J47"/>
  <c r="H47"/>
  <c r="N46"/>
  <c r="K46"/>
  <c r="J46"/>
  <c r="H46"/>
  <c r="N45"/>
  <c r="K45"/>
  <c r="J45"/>
  <c r="H45"/>
  <c r="N44"/>
  <c r="K44"/>
  <c r="J44"/>
  <c r="H44"/>
  <c r="N43"/>
  <c r="K43"/>
  <c r="J43"/>
  <c r="H43"/>
  <c r="N42"/>
  <c r="K42"/>
  <c r="J42"/>
  <c r="H42"/>
  <c r="N41"/>
  <c r="K41"/>
  <c r="J41"/>
  <c r="H41"/>
  <c r="N40"/>
  <c r="K40"/>
  <c r="J40"/>
  <c r="H40"/>
  <c r="N39"/>
  <c r="K39"/>
  <c r="J39"/>
  <c r="H39"/>
  <c r="N38"/>
  <c r="K38"/>
  <c r="J38"/>
  <c r="H38"/>
  <c r="N37"/>
  <c r="K37"/>
  <c r="J37"/>
  <c r="H37"/>
  <c r="N36"/>
  <c r="K36"/>
  <c r="J36"/>
  <c r="H36"/>
  <c r="N35"/>
  <c r="K35"/>
  <c r="J35"/>
  <c r="H35"/>
  <c r="N34"/>
  <c r="K34"/>
  <c r="J34"/>
  <c r="H34"/>
  <c r="N33"/>
  <c r="K33"/>
  <c r="J33"/>
  <c r="H33"/>
  <c r="N32"/>
  <c r="K32"/>
  <c r="J32"/>
  <c r="H32"/>
  <c r="N31"/>
  <c r="K31"/>
  <c r="J31"/>
  <c r="H31"/>
  <c r="N30"/>
  <c r="K30"/>
  <c r="J30"/>
  <c r="H30"/>
  <c r="N29"/>
  <c r="K29"/>
  <c r="J29"/>
  <c r="H29"/>
  <c r="N28"/>
  <c r="K28"/>
  <c r="J28"/>
  <c r="H28"/>
  <c r="N27"/>
  <c r="K27"/>
  <c r="J27"/>
  <c r="H27"/>
  <c r="N26"/>
  <c r="K26"/>
  <c r="J26"/>
  <c r="H26"/>
  <c r="N25"/>
  <c r="K25"/>
  <c r="J25"/>
  <c r="H25"/>
  <c r="N24"/>
  <c r="K24"/>
  <c r="J24"/>
  <c r="H24"/>
  <c r="N23"/>
  <c r="K23"/>
  <c r="J23"/>
  <c r="H23"/>
  <c r="N22"/>
  <c r="K22"/>
  <c r="J22"/>
  <c r="H22"/>
  <c r="N21"/>
  <c r="K21"/>
  <c r="J21"/>
  <c r="H21"/>
  <c r="N20"/>
  <c r="K20"/>
  <c r="J20"/>
  <c r="H20"/>
  <c r="N19"/>
  <c r="K19"/>
  <c r="J19"/>
  <c r="H19"/>
  <c r="N18"/>
  <c r="K18"/>
  <c r="J18"/>
  <c r="D18"/>
  <c r="C18"/>
  <c r="N17"/>
  <c r="K17"/>
  <c r="J17"/>
  <c r="D17"/>
  <c r="C17"/>
  <c r="N16"/>
  <c r="K16"/>
  <c r="J16"/>
  <c r="D16"/>
  <c r="C16"/>
  <c r="N15"/>
  <c r="K15"/>
  <c r="J15"/>
  <c r="D15"/>
  <c r="C15"/>
  <c r="N14"/>
  <c r="K14"/>
  <c r="J14"/>
  <c r="D14"/>
  <c r="C14"/>
  <c r="N13"/>
  <c r="K13"/>
  <c r="J13"/>
  <c r="D13"/>
  <c r="C13"/>
  <c r="N12"/>
  <c r="K12"/>
  <c r="J12"/>
  <c r="D12"/>
  <c r="C12"/>
  <c r="N11"/>
  <c r="K11"/>
  <c r="J11"/>
  <c r="D11"/>
  <c r="C11"/>
  <c r="N10"/>
  <c r="K10"/>
  <c r="J10"/>
  <c r="D10"/>
  <c r="C10"/>
  <c r="N9"/>
  <c r="K9"/>
  <c r="J9"/>
  <c r="D9"/>
  <c r="C9"/>
  <c r="N8"/>
  <c r="K8"/>
  <c r="J8"/>
  <c r="D8"/>
  <c r="C8"/>
  <c r="N7"/>
  <c r="K7"/>
  <c r="J7"/>
  <c r="D7"/>
  <c r="C7"/>
  <c r="B7"/>
  <c r="B8" s="1"/>
  <c r="N6"/>
  <c r="L6"/>
  <c r="K6"/>
  <c r="J6"/>
  <c r="D6"/>
  <c r="C6"/>
  <c r="H90" l="1"/>
  <c r="H98"/>
  <c r="H102"/>
  <c r="H110"/>
  <c r="H107"/>
  <c r="H111"/>
  <c r="H113"/>
  <c r="H117"/>
  <c r="H121"/>
  <c r="H7"/>
  <c r="H78"/>
  <c r="H10"/>
  <c r="H14"/>
  <c r="H18"/>
  <c r="H85"/>
  <c r="H89"/>
  <c r="H95"/>
  <c r="H99"/>
  <c r="H6"/>
  <c r="H120"/>
  <c r="H124"/>
  <c r="H8"/>
  <c r="H11"/>
  <c r="H12"/>
  <c r="H15"/>
  <c r="H16"/>
  <c r="H83"/>
  <c r="H91"/>
  <c r="H105"/>
  <c r="H109"/>
  <c r="H108"/>
  <c r="H112"/>
  <c r="H125"/>
  <c r="H13"/>
  <c r="H17"/>
  <c r="H82"/>
  <c r="H94"/>
  <c r="H9"/>
  <c r="H116"/>
  <c r="H80"/>
  <c r="H87"/>
  <c r="H93"/>
  <c r="H96"/>
  <c r="H101"/>
  <c r="H106"/>
  <c r="H115"/>
  <c r="H123"/>
  <c r="H79"/>
  <c r="H81"/>
  <c r="H86"/>
  <c r="H92"/>
  <c r="H97"/>
  <c r="H100"/>
  <c r="H103"/>
  <c r="H104"/>
  <c r="H114"/>
  <c r="H119"/>
  <c r="H122"/>
  <c r="B9"/>
  <c r="L8"/>
  <c r="L7"/>
  <c r="H88"/>
  <c r="H84"/>
  <c r="H118"/>
  <c r="B10" l="1"/>
  <c r="L9"/>
  <c r="B11" l="1"/>
  <c r="L10"/>
  <c r="B12" l="1"/>
  <c r="L11"/>
  <c r="B13" l="1"/>
  <c r="L12"/>
  <c r="B14" l="1"/>
  <c r="L13"/>
  <c r="B15" l="1"/>
  <c r="L14"/>
  <c r="B16" l="1"/>
  <c r="L15"/>
  <c r="B17" l="1"/>
  <c r="L16"/>
  <c r="B18" l="1"/>
  <c r="L17"/>
  <c r="B19" l="1"/>
  <c r="L18"/>
  <c r="L19" l="1"/>
  <c r="B20"/>
  <c r="L20" l="1"/>
  <c r="B21"/>
  <c r="L21" l="1"/>
  <c r="B22"/>
  <c r="B23" l="1"/>
  <c r="L22"/>
  <c r="L23" l="1"/>
  <c r="B24"/>
  <c r="L24" l="1"/>
  <c r="B25"/>
  <c r="L25" l="1"/>
  <c r="B26"/>
  <c r="B27" l="1"/>
  <c r="L26"/>
  <c r="L27" l="1"/>
  <c r="B28"/>
  <c r="L28" l="1"/>
  <c r="B29"/>
  <c r="L29" l="1"/>
  <c r="B30"/>
  <c r="B31" l="1"/>
  <c r="L30"/>
  <c r="L31" l="1"/>
  <c r="B32"/>
  <c r="L32" l="1"/>
  <c r="B33"/>
  <c r="L33" l="1"/>
  <c r="B34"/>
  <c r="B35" l="1"/>
  <c r="L34"/>
  <c r="L35" l="1"/>
  <c r="B36"/>
  <c r="B37" l="1"/>
  <c r="L36"/>
  <c r="B38" l="1"/>
  <c r="L37"/>
  <c r="L38" l="1"/>
  <c r="B39"/>
  <c r="B40" l="1"/>
  <c r="L39"/>
  <c r="L40" l="1"/>
  <c r="B41"/>
  <c r="B42" l="1"/>
  <c r="L41"/>
  <c r="B43" l="1"/>
  <c r="L42"/>
  <c r="L43" l="1"/>
  <c r="B44"/>
  <c r="L44" l="1"/>
  <c r="B45"/>
  <c r="B46" l="1"/>
  <c r="L45"/>
  <c r="B47" l="1"/>
  <c r="L46"/>
  <c r="B48" l="1"/>
  <c r="L47"/>
  <c r="B49" l="1"/>
  <c r="L48"/>
  <c r="L49" l="1"/>
  <c r="B50"/>
  <c r="B51" l="1"/>
  <c r="L50"/>
  <c r="B52" l="1"/>
  <c r="L51"/>
  <c r="B53" l="1"/>
  <c r="L52"/>
  <c r="B54" l="1"/>
  <c r="L53"/>
  <c r="L54" l="1"/>
  <c r="B55"/>
  <c r="L55" l="1"/>
  <c r="B56"/>
  <c r="L56" l="1"/>
  <c r="B57"/>
  <c r="B58" l="1"/>
  <c r="L57"/>
  <c r="L58" l="1"/>
  <c r="B59"/>
  <c r="B60" l="1"/>
  <c r="L59"/>
  <c r="L60" l="1"/>
  <c r="B61"/>
  <c r="B62" l="1"/>
  <c r="L61"/>
  <c r="L62" l="1"/>
  <c r="B63"/>
  <c r="L63" l="1"/>
  <c r="B64"/>
  <c r="L64" l="1"/>
  <c r="B65"/>
  <c r="B66" l="1"/>
  <c r="L65"/>
  <c r="B67" l="1"/>
  <c r="L66"/>
  <c r="L67" l="1"/>
  <c r="B68"/>
  <c r="L68" l="1"/>
  <c r="B69"/>
  <c r="L69" l="1"/>
  <c r="B70"/>
  <c r="B71" l="1"/>
  <c r="L70"/>
  <c r="L71" l="1"/>
  <c r="B72"/>
  <c r="L72" l="1"/>
  <c r="B73"/>
  <c r="L73" l="1"/>
  <c r="B74"/>
  <c r="B75" l="1"/>
  <c r="L74"/>
  <c r="L75" l="1"/>
  <c r="B76"/>
  <c r="L76" l="1"/>
  <c r="B77"/>
  <c r="L77" l="1"/>
  <c r="B78"/>
  <c r="B79" l="1"/>
  <c r="L78"/>
  <c r="L79" l="1"/>
  <c r="B80"/>
  <c r="L80" l="1"/>
  <c r="B81"/>
  <c r="L81" l="1"/>
  <c r="B82"/>
  <c r="B83" l="1"/>
  <c r="L82"/>
  <c r="B84" l="1"/>
  <c r="L83"/>
  <c r="L84" l="1"/>
  <c r="B85"/>
  <c r="L85" l="1"/>
  <c r="B86"/>
  <c r="B87" l="1"/>
  <c r="L86"/>
  <c r="B88" l="1"/>
  <c r="L87"/>
  <c r="B89" l="1"/>
  <c r="L88"/>
  <c r="L89" l="1"/>
  <c r="B90"/>
  <c r="B91" l="1"/>
  <c r="L90"/>
  <c r="L91" l="1"/>
  <c r="B92"/>
  <c r="L92" l="1"/>
  <c r="B93"/>
  <c r="L93" l="1"/>
  <c r="B94"/>
  <c r="B95" l="1"/>
  <c r="L94"/>
  <c r="L95" l="1"/>
  <c r="B96"/>
  <c r="L96" l="1"/>
  <c r="B97"/>
  <c r="L97" l="1"/>
  <c r="B98"/>
  <c r="B99" l="1"/>
  <c r="L98"/>
  <c r="L99" l="1"/>
  <c r="B100"/>
  <c r="L100" l="1"/>
  <c r="B101"/>
  <c r="L101" l="1"/>
  <c r="B102"/>
  <c r="L102" l="1"/>
  <c r="B103"/>
  <c r="L103" l="1"/>
  <c r="B104"/>
  <c r="L104" l="1"/>
  <c r="B105"/>
  <c r="L105" l="1"/>
  <c r="B106"/>
  <c r="L106" l="1"/>
  <c r="B107"/>
  <c r="L107" l="1"/>
  <c r="B108"/>
  <c r="L108" l="1"/>
  <c r="B109"/>
  <c r="L109" l="1"/>
  <c r="B110"/>
  <c r="L110" l="1"/>
  <c r="B111"/>
  <c r="L111" l="1"/>
  <c r="B112"/>
  <c r="L112" l="1"/>
  <c r="B113"/>
  <c r="B114" l="1"/>
  <c r="L113"/>
  <c r="B115" l="1"/>
  <c r="L114"/>
  <c r="L115" l="1"/>
  <c r="B116"/>
  <c r="L116" l="1"/>
  <c r="B117"/>
  <c r="B118" l="1"/>
  <c r="L117"/>
  <c r="B119" l="1"/>
  <c r="L118"/>
  <c r="L119" l="1"/>
  <c r="B120"/>
  <c r="L120" l="1"/>
  <c r="B121"/>
  <c r="B122" l="1"/>
  <c r="L121"/>
  <c r="L122" l="1"/>
  <c r="B123"/>
  <c r="L123" l="1"/>
  <c r="B124"/>
  <c r="L124" l="1"/>
  <c r="B125"/>
  <c r="L125" l="1"/>
  <c r="G26" i="44" l="1"/>
  <c r="F26"/>
  <c r="D26"/>
  <c r="E26"/>
  <c r="C26"/>
  <c r="E24"/>
  <c r="D24"/>
  <c r="C24"/>
  <c r="J537" i="45" l="1"/>
  <c r="J536"/>
  <c r="J535"/>
  <c r="K537" s="1"/>
  <c r="J534"/>
  <c r="J533"/>
  <c r="J532"/>
  <c r="J531"/>
  <c r="J530"/>
  <c r="J529"/>
  <c r="J528"/>
  <c r="J527"/>
  <c r="K528" s="1"/>
  <c r="J526"/>
  <c r="E717"/>
  <c r="E718"/>
  <c r="E719"/>
  <c r="E720"/>
  <c r="E721"/>
  <c r="E722"/>
  <c r="E723"/>
  <c r="E724"/>
  <c r="E725"/>
  <c r="E726"/>
  <c r="E727"/>
  <c r="E728"/>
  <c r="K534" l="1"/>
  <c r="B345" l="1"/>
  <c r="D71" i="46" l="1"/>
  <c r="D72"/>
  <c r="C71"/>
  <c r="C72"/>
  <c r="E78"/>
  <c r="E79"/>
  <c r="E80"/>
  <c r="E71" l="1"/>
  <c r="E72"/>
  <c r="G556" i="45" l="1"/>
  <c r="G561"/>
  <c r="G567"/>
  <c r="G573"/>
  <c r="G579"/>
  <c r="G584"/>
  <c r="G467" l="1"/>
  <c r="G472"/>
  <c r="G478"/>
  <c r="G484"/>
  <c r="G490"/>
  <c r="G495"/>
  <c r="G419"/>
  <c r="G424"/>
  <c r="G430"/>
  <c r="G436"/>
  <c r="G442"/>
  <c r="G447"/>
  <c r="G370"/>
  <c r="G375"/>
  <c r="G381"/>
  <c r="G387"/>
  <c r="G393"/>
  <c r="G398"/>
  <c r="F68" i="34" l="1"/>
  <c r="F69" s="1"/>
  <c r="F70" s="1"/>
  <c r="F71" s="1"/>
  <c r="F72" s="1"/>
  <c r="B67"/>
  <c r="F58" l="1"/>
  <c r="F59" s="1"/>
  <c r="F60" s="1"/>
  <c r="F61" s="1"/>
  <c r="F62" s="1"/>
  <c r="C193" i="45" l="1"/>
  <c r="D193"/>
  <c r="E193"/>
  <c r="F193"/>
  <c r="G193"/>
  <c r="A14" i="11" l="1"/>
  <c r="A18"/>
  <c r="A22"/>
  <c r="A27"/>
  <c r="A32"/>
  <c r="A37"/>
  <c r="C615" i="45" l="1"/>
  <c r="C613"/>
  <c r="C612"/>
  <c r="C607"/>
  <c r="C610"/>
  <c r="C609"/>
  <c r="C326" l="1"/>
  <c r="C606"/>
  <c r="C603"/>
  <c r="C600"/>
  <c r="L555"/>
  <c r="M555"/>
  <c r="C582"/>
  <c r="V326" l="1"/>
  <c r="U326"/>
  <c r="W326" l="1"/>
  <c r="K13" i="34" l="1"/>
  <c r="J13"/>
  <c r="C171" i="45" l="1"/>
  <c r="D171"/>
  <c r="G107" l="1"/>
  <c r="G108"/>
  <c r="G109"/>
  <c r="G110"/>
  <c r="G111"/>
  <c r="G112"/>
  <c r="G113"/>
  <c r="G114"/>
  <c r="G115"/>
  <c r="G116"/>
  <c r="G117"/>
  <c r="G118"/>
  <c r="H47" l="1"/>
  <c r="H48"/>
  <c r="H49"/>
  <c r="H50"/>
  <c r="H51"/>
  <c r="H52"/>
  <c r="H53"/>
  <c r="H54"/>
  <c r="H55"/>
  <c r="H56"/>
  <c r="H57"/>
  <c r="H46"/>
  <c r="G47"/>
  <c r="G48"/>
  <c r="G49"/>
  <c r="G50"/>
  <c r="G51"/>
  <c r="G52"/>
  <c r="G53"/>
  <c r="G54"/>
  <c r="G55"/>
  <c r="G56"/>
  <c r="G57"/>
  <c r="G46"/>
  <c r="F47"/>
  <c r="F48"/>
  <c r="F49"/>
  <c r="F50"/>
  <c r="F51"/>
  <c r="F52"/>
  <c r="F53"/>
  <c r="F54"/>
  <c r="F55"/>
  <c r="F56"/>
  <c r="F57"/>
  <c r="F46"/>
  <c r="E47"/>
  <c r="E48"/>
  <c r="E49"/>
  <c r="E50"/>
  <c r="E51"/>
  <c r="E52"/>
  <c r="E53"/>
  <c r="E54"/>
  <c r="E55"/>
  <c r="E56"/>
  <c r="E57"/>
  <c r="E46"/>
  <c r="D47"/>
  <c r="D48"/>
  <c r="D49"/>
  <c r="D50"/>
  <c r="D51"/>
  <c r="D52"/>
  <c r="D53"/>
  <c r="D54"/>
  <c r="D55"/>
  <c r="D56"/>
  <c r="D57"/>
  <c r="H58" l="1"/>
  <c r="G58"/>
  <c r="F58"/>
  <c r="E58"/>
  <c r="D122" i="46"/>
  <c r="D138" s="1"/>
  <c r="D125"/>
  <c r="D127"/>
  <c r="D128"/>
  <c r="D130"/>
  <c r="D131"/>
  <c r="D132"/>
  <c r="C125"/>
  <c r="C127"/>
  <c r="C128"/>
  <c r="C131"/>
  <c r="C132"/>
  <c r="D97"/>
  <c r="D99"/>
  <c r="D100"/>
  <c r="D103"/>
  <c r="D104"/>
  <c r="C99"/>
  <c r="C100"/>
  <c r="E125" l="1"/>
  <c r="F125" s="1"/>
  <c r="E131"/>
  <c r="E128"/>
  <c r="E132"/>
  <c r="E100"/>
  <c r="D43" l="1"/>
  <c r="D44"/>
  <c r="C43"/>
  <c r="C28"/>
  <c r="C27"/>
  <c r="C26"/>
  <c r="C25"/>
  <c r="C29" l="1"/>
  <c r="C554" i="45"/>
  <c r="C559"/>
  <c r="C565"/>
  <c r="C571"/>
  <c r="C577"/>
  <c r="K564"/>
  <c r="M563"/>
  <c r="L563"/>
  <c r="M562"/>
  <c r="L562"/>
  <c r="K556"/>
  <c r="M554"/>
  <c r="L554"/>
  <c r="K519" l="1"/>
  <c r="M518"/>
  <c r="L518"/>
  <c r="M517"/>
  <c r="L517"/>
  <c r="L510"/>
  <c r="M510"/>
  <c r="L509"/>
  <c r="M509"/>
  <c r="D509" l="1"/>
  <c r="D514"/>
  <c r="D520"/>
  <c r="D526"/>
  <c r="D532"/>
  <c r="D537"/>
  <c r="C509"/>
  <c r="E509" s="1"/>
  <c r="F509" s="1"/>
  <c r="C514"/>
  <c r="C520"/>
  <c r="C526"/>
  <c r="C532"/>
  <c r="E532" s="1"/>
  <c r="F532" s="1"/>
  <c r="C537"/>
  <c r="K511"/>
  <c r="M474"/>
  <c r="L474"/>
  <c r="L473"/>
  <c r="M472"/>
  <c r="K475"/>
  <c r="K467"/>
  <c r="E520" l="1"/>
  <c r="F520" s="1"/>
  <c r="E526"/>
  <c r="F526" s="1"/>
  <c r="E514"/>
  <c r="F514" s="1"/>
  <c r="E537"/>
  <c r="F537" s="1"/>
  <c r="L466" l="1"/>
  <c r="M466"/>
  <c r="L465"/>
  <c r="M465"/>
  <c r="M464"/>
  <c r="C465" l="1"/>
  <c r="C470"/>
  <c r="C476"/>
  <c r="C482"/>
  <c r="C488"/>
  <c r="C493"/>
  <c r="D465"/>
  <c r="E465" s="1"/>
  <c r="F465" s="1"/>
  <c r="D470"/>
  <c r="D476"/>
  <c r="D482"/>
  <c r="D488"/>
  <c r="E488" s="1"/>
  <c r="F488" s="1"/>
  <c r="D493"/>
  <c r="K434"/>
  <c r="K436"/>
  <c r="K433"/>
  <c r="K432"/>
  <c r="K431"/>
  <c r="E482" l="1"/>
  <c r="F482" s="1"/>
  <c r="E476"/>
  <c r="F476" s="1"/>
  <c r="E493"/>
  <c r="F493" s="1"/>
  <c r="E470"/>
  <c r="F470" s="1"/>
  <c r="K437"/>
  <c r="D417" l="1"/>
  <c r="D422"/>
  <c r="D428"/>
  <c r="D434"/>
  <c r="D440"/>
  <c r="D445"/>
  <c r="D368"/>
  <c r="D373"/>
  <c r="D379"/>
  <c r="D385"/>
  <c r="D391"/>
  <c r="D396"/>
  <c r="C417"/>
  <c r="C422"/>
  <c r="C428"/>
  <c r="C434"/>
  <c r="C440"/>
  <c r="C445"/>
  <c r="H412"/>
  <c r="L412"/>
  <c r="M412"/>
  <c r="H420"/>
  <c r="H421"/>
  <c r="H428"/>
  <c r="H430"/>
  <c r="H435"/>
  <c r="L435"/>
  <c r="M435"/>
  <c r="H436"/>
  <c r="H437"/>
  <c r="L437"/>
  <c r="M437"/>
  <c r="K438"/>
  <c r="L438"/>
  <c r="M438"/>
  <c r="H439"/>
  <c r="K439"/>
  <c r="L439"/>
  <c r="M439"/>
  <c r="L442"/>
  <c r="M442"/>
  <c r="K443"/>
  <c r="L443"/>
  <c r="M443"/>
  <c r="K444"/>
  <c r="L444"/>
  <c r="M444"/>
  <c r="K445"/>
  <c r="L445"/>
  <c r="M445"/>
  <c r="H446"/>
  <c r="I446"/>
  <c r="J446"/>
  <c r="L446"/>
  <c r="M446"/>
  <c r="H447"/>
  <c r="I447"/>
  <c r="J447"/>
  <c r="K447"/>
  <c r="L447"/>
  <c r="M447"/>
  <c r="H448"/>
  <c r="I448"/>
  <c r="J448"/>
  <c r="K448"/>
  <c r="L448"/>
  <c r="M448"/>
  <c r="I449"/>
  <c r="J449"/>
  <c r="L449"/>
  <c r="M449"/>
  <c r="I450"/>
  <c r="J450"/>
  <c r="L450"/>
  <c r="M450"/>
  <c r="I451"/>
  <c r="J451"/>
  <c r="L451"/>
  <c r="M451"/>
  <c r="I452"/>
  <c r="J452"/>
  <c r="L452"/>
  <c r="M452"/>
  <c r="I453"/>
  <c r="J453"/>
  <c r="L453"/>
  <c r="M453"/>
  <c r="I454"/>
  <c r="J454"/>
  <c r="L454"/>
  <c r="M454"/>
  <c r="I455"/>
  <c r="J455"/>
  <c r="L455"/>
  <c r="M455"/>
  <c r="E434" l="1"/>
  <c r="F434" s="1"/>
  <c r="E428"/>
  <c r="F428" s="1"/>
  <c r="E445"/>
  <c r="F445" s="1"/>
  <c r="E422"/>
  <c r="F422" s="1"/>
  <c r="E417"/>
  <c r="F417" s="1"/>
  <c r="E440"/>
  <c r="F440" s="1"/>
  <c r="C346" l="1"/>
  <c r="K405"/>
  <c r="K454" s="1"/>
  <c r="K406"/>
  <c r="K455" s="1"/>
  <c r="K404"/>
  <c r="K453" s="1"/>
  <c r="K403"/>
  <c r="K452" s="1"/>
  <c r="M392"/>
  <c r="M441" s="1"/>
  <c r="M391"/>
  <c r="K393"/>
  <c r="K442" s="1"/>
  <c r="M384"/>
  <c r="M383"/>
  <c r="M382"/>
  <c r="L367"/>
  <c r="M367"/>
  <c r="M375"/>
  <c r="M374"/>
  <c r="K382" l="1"/>
  <c r="M440"/>
  <c r="K367"/>
  <c r="M373"/>
  <c r="K373" l="1"/>
  <c r="M366"/>
  <c r="M365"/>
  <c r="M364"/>
  <c r="K364" l="1"/>
  <c r="C363"/>
  <c r="E363"/>
  <c r="E412" s="1"/>
  <c r="F363"/>
  <c r="C366"/>
  <c r="C367"/>
  <c r="B368"/>
  <c r="B417" s="1"/>
  <c r="C368"/>
  <c r="E368" s="1"/>
  <c r="F368" s="1"/>
  <c r="B369"/>
  <c r="B418" s="1"/>
  <c r="C371"/>
  <c r="C372"/>
  <c r="B373"/>
  <c r="B422" s="1"/>
  <c r="C373"/>
  <c r="E373" s="1"/>
  <c r="F373" s="1"/>
  <c r="B374"/>
  <c r="B423" s="1"/>
  <c r="C376"/>
  <c r="C377"/>
  <c r="C378"/>
  <c r="B379"/>
  <c r="B428" s="1"/>
  <c r="C379"/>
  <c r="E379" s="1"/>
  <c r="F379" s="1"/>
  <c r="B380"/>
  <c r="B429" s="1"/>
  <c r="C382"/>
  <c r="C383"/>
  <c r="C384"/>
  <c r="B385"/>
  <c r="B434" s="1"/>
  <c r="C385"/>
  <c r="E385" s="1"/>
  <c r="F385" s="1"/>
  <c r="B386"/>
  <c r="B435" s="1"/>
  <c r="C388"/>
  <c r="C389"/>
  <c r="C390"/>
  <c r="B391"/>
  <c r="B440" s="1"/>
  <c r="C391"/>
  <c r="E391" s="1"/>
  <c r="F391" s="1"/>
  <c r="B392"/>
  <c r="B441" s="1"/>
  <c r="C394"/>
  <c r="C395"/>
  <c r="B396"/>
  <c r="B445" s="1"/>
  <c r="C396"/>
  <c r="E396" s="1"/>
  <c r="F396" s="1"/>
  <c r="B397"/>
  <c r="B446" s="1"/>
  <c r="B402"/>
  <c r="B451" s="1"/>
  <c r="C343"/>
  <c r="C397" s="1"/>
  <c r="C338"/>
  <c r="C392" s="1"/>
  <c r="C332"/>
  <c r="C386" s="1"/>
  <c r="C380"/>
  <c r="C320"/>
  <c r="C374" s="1"/>
  <c r="C315"/>
  <c r="C369" s="1"/>
  <c r="D309"/>
  <c r="B312"/>
  <c r="B366" s="1"/>
  <c r="B415" s="1"/>
  <c r="B313"/>
  <c r="B367" s="1"/>
  <c r="B416" s="1"/>
  <c r="E314"/>
  <c r="F314" s="1"/>
  <c r="B317"/>
  <c r="B371" s="1"/>
  <c r="B420" s="1"/>
  <c r="B318"/>
  <c r="B372" s="1"/>
  <c r="B421" s="1"/>
  <c r="E319"/>
  <c r="F319" s="1"/>
  <c r="B322"/>
  <c r="B376" s="1"/>
  <c r="B425" s="1"/>
  <c r="B323"/>
  <c r="B377" s="1"/>
  <c r="B426" s="1"/>
  <c r="B324"/>
  <c r="B378" s="1"/>
  <c r="B427" s="1"/>
  <c r="E325"/>
  <c r="F325" s="1"/>
  <c r="B328"/>
  <c r="B382" s="1"/>
  <c r="B431" s="1"/>
  <c r="B329"/>
  <c r="B383" s="1"/>
  <c r="B432" s="1"/>
  <c r="B330"/>
  <c r="B384" s="1"/>
  <c r="B433" s="1"/>
  <c r="E331"/>
  <c r="F331" s="1"/>
  <c r="B334"/>
  <c r="B388" s="1"/>
  <c r="B437" s="1"/>
  <c r="B335"/>
  <c r="B389" s="1"/>
  <c r="B438" s="1"/>
  <c r="B336"/>
  <c r="B390" s="1"/>
  <c r="B439" s="1"/>
  <c r="E337"/>
  <c r="F337" s="1"/>
  <c r="B340"/>
  <c r="B394" s="1"/>
  <c r="B443" s="1"/>
  <c r="B341"/>
  <c r="B395" s="1"/>
  <c r="B444" s="1"/>
  <c r="E342"/>
  <c r="F342" s="1"/>
  <c r="B344"/>
  <c r="B398" s="1"/>
  <c r="B447" s="1"/>
  <c r="B399"/>
  <c r="B448" s="1"/>
  <c r="C345"/>
  <c r="C399" s="1"/>
  <c r="B346"/>
  <c r="B400" s="1"/>
  <c r="B449" s="1"/>
  <c r="C400"/>
  <c r="B347"/>
  <c r="B401" s="1"/>
  <c r="B450" s="1"/>
  <c r="C347"/>
  <c r="C401" s="1"/>
  <c r="C348"/>
  <c r="C402" s="1"/>
  <c r="D348"/>
  <c r="M353"/>
  <c r="J353"/>
  <c r="D353"/>
  <c r="D352"/>
  <c r="C352"/>
  <c r="C351"/>
  <c r="C350"/>
  <c r="M348"/>
  <c r="J348"/>
  <c r="G348"/>
  <c r="G396" l="1"/>
  <c r="G368"/>
  <c r="G391"/>
  <c r="G379"/>
  <c r="G385"/>
  <c r="G373"/>
  <c r="C357"/>
  <c r="C355"/>
  <c r="D499"/>
  <c r="C543"/>
  <c r="C588"/>
  <c r="D543"/>
  <c r="D402"/>
  <c r="E402" s="1"/>
  <c r="F402" s="1"/>
  <c r="C451"/>
  <c r="G358"/>
  <c r="C499"/>
  <c r="D451"/>
  <c r="C412"/>
  <c r="D363"/>
  <c r="D358"/>
  <c r="C356"/>
  <c r="M358"/>
  <c r="K348"/>
  <c r="L348" s="1"/>
  <c r="E348"/>
  <c r="H348"/>
  <c r="I348" s="1"/>
  <c r="J358"/>
  <c r="N348"/>
  <c r="O348" s="1"/>
  <c r="E499" l="1"/>
  <c r="F499" s="1"/>
  <c r="G499" s="1"/>
  <c r="E543"/>
  <c r="F543" s="1"/>
  <c r="E451"/>
  <c r="F451" s="1"/>
  <c r="G451" s="1"/>
  <c r="F348"/>
  <c r="G402" s="1"/>
  <c r="C353" l="1"/>
  <c r="C358" s="1"/>
  <c r="T18" i="32" l="1"/>
  <c r="U18"/>
  <c r="V18"/>
  <c r="L18"/>
  <c r="M18"/>
  <c r="O18"/>
  <c r="P18"/>
  <c r="Q18"/>
  <c r="R18"/>
  <c r="S18"/>
  <c r="N18"/>
  <c r="N342" i="45" l="1"/>
  <c r="O342" s="1"/>
  <c r="N337"/>
  <c r="O337" s="1"/>
  <c r="N331"/>
  <c r="O331" s="1"/>
  <c r="N325"/>
  <c r="O325" s="1"/>
  <c r="N319"/>
  <c r="O319" s="1"/>
  <c r="N314"/>
  <c r="O314" s="1"/>
  <c r="K314"/>
  <c r="L314" s="1"/>
  <c r="G465" s="1"/>
  <c r="K319"/>
  <c r="L319" s="1"/>
  <c r="G470" s="1"/>
  <c r="K325"/>
  <c r="L325" s="1"/>
  <c r="G476" s="1"/>
  <c r="K331"/>
  <c r="L331" s="1"/>
  <c r="G482" s="1"/>
  <c r="K337"/>
  <c r="L337" s="1"/>
  <c r="G488" s="1"/>
  <c r="K342"/>
  <c r="L342" s="1"/>
  <c r="G493" s="1"/>
  <c r="H314"/>
  <c r="I314" s="1"/>
  <c r="G417" s="1"/>
  <c r="H319"/>
  <c r="I319" s="1"/>
  <c r="G422" s="1"/>
  <c r="H325"/>
  <c r="I325" s="1"/>
  <c r="G428" s="1"/>
  <c r="H331"/>
  <c r="I331" s="1"/>
  <c r="G434" s="1"/>
  <c r="H337"/>
  <c r="I337" s="1"/>
  <c r="G440" s="1"/>
  <c r="H342"/>
  <c r="I342" s="1"/>
  <c r="G445" s="1"/>
  <c r="G309" l="1"/>
  <c r="J309"/>
  <c r="D460" s="1"/>
  <c r="D412" l="1"/>
  <c r="C460"/>
  <c r="F228" l="1"/>
  <c r="B194" l="1"/>
  <c r="B195"/>
  <c r="B196"/>
  <c r="B197"/>
  <c r="B198"/>
  <c r="B200"/>
  <c r="B201"/>
  <c r="B202"/>
  <c r="B203"/>
  <c r="B204"/>
  <c r="B281" l="1"/>
  <c r="B282"/>
  <c r="B283"/>
  <c r="B284"/>
  <c r="B285"/>
  <c r="B286"/>
  <c r="B287"/>
  <c r="B288"/>
  <c r="B289"/>
  <c r="B290"/>
  <c r="B291"/>
  <c r="B263" l="1"/>
  <c r="B264"/>
  <c r="B265"/>
  <c r="B266"/>
  <c r="B267"/>
  <c r="B268"/>
  <c r="B269"/>
  <c r="B270"/>
  <c r="B271"/>
  <c r="B272"/>
  <c r="B273"/>
  <c r="G252" l="1"/>
  <c r="G219"/>
  <c r="E4" i="33"/>
  <c r="E5"/>
  <c r="E6"/>
  <c r="E7"/>
  <c r="E8"/>
  <c r="E9"/>
  <c r="G222" i="45" l="1"/>
  <c r="D13" i="18"/>
  <c r="E273" i="45" s="1"/>
  <c r="C13" i="18"/>
  <c r="L30" i="11" s="1"/>
  <c r="B13" i="18"/>
  <c r="C273" i="45" s="1"/>
  <c r="D273" l="1"/>
  <c r="F273" s="1"/>
  <c r="J13" i="38"/>
  <c r="I13"/>
  <c r="H13"/>
  <c r="G13"/>
  <c r="F13"/>
  <c r="E13"/>
  <c r="L16" i="11" l="1"/>
  <c r="E33" i="38"/>
  <c r="D161" i="45" s="1"/>
  <c r="L39" i="11"/>
  <c r="J33" i="38"/>
  <c r="L29" i="11"/>
  <c r="H33" i="38"/>
  <c r="L34" i="11"/>
  <c r="I33" i="38"/>
  <c r="H161" i="45" s="1"/>
  <c r="L20" i="11"/>
  <c r="F33" i="38"/>
  <c r="E161" i="45" s="1"/>
  <c r="L24" i="11"/>
  <c r="G33" i="38"/>
  <c r="M329" i="45"/>
  <c r="D28" i="18"/>
  <c r="E291" i="45" s="1"/>
  <c r="B28" i="18"/>
  <c r="C291" i="45" s="1"/>
  <c r="D13" i="38"/>
  <c r="G161" i="45"/>
  <c r="C28" i="18"/>
  <c r="D291" i="45" s="1"/>
  <c r="M323" l="1"/>
  <c r="M335"/>
  <c r="J48" i="38"/>
  <c r="F161" i="45"/>
  <c r="G48" i="38"/>
  <c r="F48"/>
  <c r="H48"/>
  <c r="E48"/>
  <c r="I48"/>
  <c r="I161" i="45"/>
  <c r="L11" i="11"/>
  <c r="C13" i="38"/>
  <c r="S13"/>
  <c r="O13"/>
  <c r="Q13"/>
  <c r="R13"/>
  <c r="N13"/>
  <c r="P13"/>
  <c r="C569" i="45"/>
  <c r="D524"/>
  <c r="C563"/>
  <c r="D518"/>
  <c r="C575"/>
  <c r="D530"/>
  <c r="M318"/>
  <c r="M341"/>
  <c r="M313"/>
  <c r="L47" i="11"/>
  <c r="M13" i="38" l="1"/>
  <c r="C581" i="45"/>
  <c r="D536"/>
  <c r="L513"/>
  <c r="C558"/>
  <c r="M558" s="1"/>
  <c r="K560" s="1"/>
  <c r="D513"/>
  <c r="C553"/>
  <c r="M550" s="1"/>
  <c r="K552" s="1"/>
  <c r="D508"/>
  <c r="M346"/>
  <c r="K517" l="1"/>
  <c r="M356"/>
  <c r="C586"/>
  <c r="D541"/>
  <c r="L505"/>
  <c r="K509" l="1"/>
  <c r="C87" l="1"/>
  <c r="D87"/>
  <c r="E87"/>
  <c r="F87"/>
  <c r="G87"/>
  <c r="H87"/>
  <c r="I87"/>
  <c r="J87"/>
  <c r="K87"/>
  <c r="L87"/>
  <c r="M87"/>
  <c r="C17"/>
  <c r="H14"/>
  <c r="F11"/>
  <c r="E11"/>
  <c r="C11"/>
  <c r="D11"/>
  <c r="C19" l="1"/>
  <c r="F59" l="1"/>
  <c r="B31" i="37" l="1"/>
  <c r="C203" i="45" s="1"/>
  <c r="C31" i="37"/>
  <c r="D203" i="45" s="1"/>
  <c r="D31" i="37"/>
  <c r="E203" i="45" s="1"/>
  <c r="B30" i="37"/>
  <c r="C202" i="45" s="1"/>
  <c r="D25" i="37" l="1"/>
  <c r="E197" i="45" s="1"/>
  <c r="C25" i="37"/>
  <c r="D197" i="45" s="1"/>
  <c r="E137" i="36" l="1"/>
  <c r="C137"/>
  <c r="M57" i="45" s="1"/>
  <c r="E136" i="36"/>
  <c r="C136"/>
  <c r="M56" i="45" s="1"/>
  <c r="E135" i="36"/>
  <c r="C135"/>
  <c r="M55" i="45" s="1"/>
  <c r="E134" i="36"/>
  <c r="C134"/>
  <c r="M54" i="45" s="1"/>
  <c r="E133" i="36"/>
  <c r="C133"/>
  <c r="M53" i="45" s="1"/>
  <c r="E132" i="36"/>
  <c r="C132"/>
  <c r="M52" i="45" s="1"/>
  <c r="E131" i="36"/>
  <c r="C131"/>
  <c r="M51" i="45" s="1"/>
  <c r="E130" i="36"/>
  <c r="C130"/>
  <c r="M50" i="45" s="1"/>
  <c r="E129" i="36"/>
  <c r="C129"/>
  <c r="M49" i="45" s="1"/>
  <c r="E128" i="36"/>
  <c r="C128"/>
  <c r="M48" i="45" s="1"/>
  <c r="E127" i="36"/>
  <c r="C127"/>
  <c r="M47" i="45" s="1"/>
  <c r="E126" i="36"/>
  <c r="C126"/>
  <c r="M46" i="45" s="1"/>
  <c r="E125" i="36"/>
  <c r="C125"/>
  <c r="E124"/>
  <c r="C124"/>
  <c r="E123"/>
  <c r="C123"/>
  <c r="E122"/>
  <c r="C122"/>
  <c r="E121"/>
  <c r="C121"/>
  <c r="E120"/>
  <c r="C120"/>
  <c r="E119"/>
  <c r="C119"/>
  <c r="E118"/>
  <c r="C118"/>
  <c r="E117"/>
  <c r="C117"/>
  <c r="E116"/>
  <c r="C116"/>
  <c r="E115"/>
  <c r="C115"/>
  <c r="E114"/>
  <c r="C114"/>
  <c r="E113"/>
  <c r="C113"/>
  <c r="E112"/>
  <c r="C112"/>
  <c r="E111"/>
  <c r="C111"/>
  <c r="E110"/>
  <c r="C110"/>
  <c r="E109"/>
  <c r="C109"/>
  <c r="E108"/>
  <c r="C108"/>
  <c r="E107"/>
  <c r="C107"/>
  <c r="E106"/>
  <c r="C106"/>
  <c r="E105"/>
  <c r="C105"/>
  <c r="E104"/>
  <c r="C104"/>
  <c r="E103"/>
  <c r="C103"/>
  <c r="E102"/>
  <c r="C102"/>
  <c r="E101"/>
  <c r="C101"/>
  <c r="E100"/>
  <c r="C100"/>
  <c r="E99"/>
  <c r="C99"/>
  <c r="E98"/>
  <c r="C98"/>
  <c r="E97"/>
  <c r="C97"/>
  <c r="E96"/>
  <c r="C96"/>
  <c r="E95"/>
  <c r="C95"/>
  <c r="E94"/>
  <c r="C94"/>
  <c r="E93"/>
  <c r="C93"/>
  <c r="E92"/>
  <c r="C92"/>
  <c r="E91"/>
  <c r="C91"/>
  <c r="E90"/>
  <c r="C90"/>
  <c r="E89"/>
  <c r="C89"/>
  <c r="E88"/>
  <c r="C88"/>
  <c r="E87"/>
  <c r="C87"/>
  <c r="E86"/>
  <c r="C86"/>
  <c r="E85"/>
  <c r="C85"/>
  <c r="E84"/>
  <c r="C84"/>
  <c r="E83"/>
  <c r="C83"/>
  <c r="E82"/>
  <c r="C82"/>
  <c r="E81"/>
  <c r="C81"/>
  <c r="E80"/>
  <c r="C80"/>
  <c r="E79"/>
  <c r="C79"/>
  <c r="E78"/>
  <c r="C78"/>
  <c r="D18"/>
  <c r="C18"/>
  <c r="D17"/>
  <c r="C17"/>
  <c r="D16"/>
  <c r="C16"/>
  <c r="D15"/>
  <c r="C15"/>
  <c r="D14"/>
  <c r="C14"/>
  <c r="D13"/>
  <c r="C13"/>
  <c r="D12"/>
  <c r="C12"/>
  <c r="D11"/>
  <c r="C11"/>
  <c r="D10"/>
  <c r="C10"/>
  <c r="D9"/>
  <c r="C9"/>
  <c r="D8"/>
  <c r="C8"/>
  <c r="D7"/>
  <c r="C7"/>
  <c r="D6"/>
  <c r="C6"/>
  <c r="M58" i="45" l="1"/>
  <c r="D46"/>
  <c r="D58" s="1"/>
  <c r="E59" s="1"/>
  <c r="J57"/>
  <c r="L49"/>
  <c r="C49"/>
  <c r="C53"/>
  <c r="C57"/>
  <c r="I48"/>
  <c r="I52"/>
  <c r="I56"/>
  <c r="J48"/>
  <c r="J52"/>
  <c r="J56"/>
  <c r="K48"/>
  <c r="K52"/>
  <c r="K56"/>
  <c r="L48"/>
  <c r="L52"/>
  <c r="L56"/>
  <c r="C54"/>
  <c r="I49"/>
  <c r="J49"/>
  <c r="K53"/>
  <c r="C55"/>
  <c r="I54"/>
  <c r="J50"/>
  <c r="K50"/>
  <c r="C46"/>
  <c r="I57"/>
  <c r="K49"/>
  <c r="L53"/>
  <c r="C51"/>
  <c r="I50"/>
  <c r="J54"/>
  <c r="K54"/>
  <c r="L50"/>
  <c r="L54"/>
  <c r="C48"/>
  <c r="C52"/>
  <c r="C56"/>
  <c r="I47"/>
  <c r="I51"/>
  <c r="I55"/>
  <c r="J47"/>
  <c r="J51"/>
  <c r="J55"/>
  <c r="K47"/>
  <c r="K51"/>
  <c r="K55"/>
  <c r="L47"/>
  <c r="L51"/>
  <c r="L55"/>
  <c r="C50"/>
  <c r="I53"/>
  <c r="J53"/>
  <c r="K57"/>
  <c r="L57"/>
  <c r="C47"/>
  <c r="K46"/>
  <c r="L46"/>
  <c r="F16" i="39"/>
  <c r="I46" i="45"/>
  <c r="J46"/>
  <c r="G59"/>
  <c r="H102" i="36"/>
  <c r="H104"/>
  <c r="H106"/>
  <c r="H108"/>
  <c r="H110"/>
  <c r="H112"/>
  <c r="H103"/>
  <c r="H105"/>
  <c r="H107"/>
  <c r="H109"/>
  <c r="H111"/>
  <c r="H113"/>
  <c r="K126"/>
  <c r="K127"/>
  <c r="K128"/>
  <c r="K129"/>
  <c r="K130"/>
  <c r="K131"/>
  <c r="K132"/>
  <c r="K133"/>
  <c r="K134"/>
  <c r="K135"/>
  <c r="K136"/>
  <c r="K137"/>
  <c r="J126"/>
  <c r="J127"/>
  <c r="J128"/>
  <c r="J129"/>
  <c r="J130"/>
  <c r="J131"/>
  <c r="J132"/>
  <c r="J133"/>
  <c r="J134"/>
  <c r="J135"/>
  <c r="J136"/>
  <c r="J137"/>
  <c r="V37" i="32"/>
  <c r="E108" i="45"/>
  <c r="E109"/>
  <c r="E110"/>
  <c r="E111"/>
  <c r="E112"/>
  <c r="E113"/>
  <c r="E114"/>
  <c r="E115"/>
  <c r="E116"/>
  <c r="E117"/>
  <c r="E118"/>
  <c r="D108"/>
  <c r="D109"/>
  <c r="D110"/>
  <c r="D111"/>
  <c r="D112"/>
  <c r="D113"/>
  <c r="D114"/>
  <c r="D115"/>
  <c r="D116"/>
  <c r="D117"/>
  <c r="D118"/>
  <c r="V19" i="32"/>
  <c r="H137" i="36"/>
  <c r="M76" i="45" s="1"/>
  <c r="H136" i="36"/>
  <c r="M75" i="45" s="1"/>
  <c r="H135" i="36"/>
  <c r="M74" i="45" s="1"/>
  <c r="H134" i="36"/>
  <c r="M73" i="45" s="1"/>
  <c r="H133" i="36"/>
  <c r="M72" i="45" s="1"/>
  <c r="H132" i="36"/>
  <c r="M71" i="45" s="1"/>
  <c r="H131" i="36"/>
  <c r="M70" i="45" s="1"/>
  <c r="H130" i="36"/>
  <c r="M69" i="45" s="1"/>
  <c r="H129" i="36"/>
  <c r="M68" i="45" s="1"/>
  <c r="H128" i="36"/>
  <c r="M67" i="45" s="1"/>
  <c r="H127" i="36"/>
  <c r="M66" i="45" s="1"/>
  <c r="H126" i="36"/>
  <c r="F17" i="39" l="1"/>
  <c r="H16"/>
  <c r="AC102" i="36"/>
  <c r="AC103"/>
  <c r="M65" i="45"/>
  <c r="AC44" i="36"/>
  <c r="D107" i="45"/>
  <c r="E107"/>
  <c r="M77"/>
  <c r="L58"/>
  <c r="M59" s="1"/>
  <c r="C58"/>
  <c r="D59" s="1"/>
  <c r="K73"/>
  <c r="J58"/>
  <c r="K66"/>
  <c r="K71"/>
  <c r="K58"/>
  <c r="K69"/>
  <c r="K72"/>
  <c r="K67"/>
  <c r="I58"/>
  <c r="I59" s="1"/>
  <c r="K70"/>
  <c r="K65"/>
  <c r="K75"/>
  <c r="K76"/>
  <c r="K74"/>
  <c r="K68"/>
  <c r="H59"/>
  <c r="F19" i="39" l="1"/>
  <c r="H17"/>
  <c r="H19" s="1"/>
  <c r="H23" s="1"/>
  <c r="L59" i="45"/>
  <c r="K59"/>
  <c r="L60"/>
  <c r="M60" s="1"/>
  <c r="K77"/>
  <c r="J59"/>
  <c r="B6" i="34"/>
  <c r="B321" i="45"/>
  <c r="B375" s="1"/>
  <c r="B424" s="1"/>
  <c r="T25" i="34" l="1"/>
  <c r="T26" l="1"/>
  <c r="T28"/>
  <c r="V25"/>
  <c r="V26"/>
  <c r="V27"/>
  <c r="V28"/>
  <c r="V29"/>
  <c r="V30"/>
  <c r="V31"/>
  <c r="T27"/>
  <c r="T29"/>
  <c r="T30"/>
  <c r="T31"/>
  <c r="Z22" l="1"/>
  <c r="P38"/>
  <c r="P37"/>
  <c r="T39" i="33" l="1"/>
  <c r="U37" s="1"/>
  <c r="O39"/>
  <c r="P37" s="1"/>
  <c r="P38" s="1"/>
  <c r="U38" l="1"/>
  <c r="U39" s="1"/>
  <c r="P39" i="34"/>
  <c r="Q37" s="1"/>
  <c r="Q38" s="1"/>
  <c r="S39" i="33" l="1"/>
  <c r="R39"/>
  <c r="F70" i="38" l="1"/>
  <c r="E70"/>
  <c r="E80" l="1"/>
  <c r="D221" i="45" l="1"/>
  <c r="B19" i="44"/>
  <c r="F97" i="34"/>
  <c r="D92"/>
  <c r="D91"/>
  <c r="D90"/>
  <c r="D89"/>
  <c r="D88"/>
  <c r="D87"/>
  <c r="F78"/>
  <c r="F79" s="1"/>
  <c r="F80" s="1"/>
  <c r="F81" s="1"/>
  <c r="F82" s="1"/>
  <c r="F25" i="33" l="1"/>
  <c r="F15"/>
  <c r="B4" i="34" l="1"/>
  <c r="B5"/>
  <c r="B7"/>
  <c r="B8"/>
  <c r="B9"/>
  <c r="D48" i="33" l="1"/>
  <c r="Q39" i="34" l="1"/>
  <c r="N39" i="33" l="1"/>
  <c r="F47" s="1"/>
  <c r="M39"/>
  <c r="F37" s="1"/>
  <c r="P39"/>
  <c r="F86" l="1"/>
  <c r="F98" i="34" s="1"/>
  <c r="D75" i="33"/>
  <c r="D76"/>
  <c r="D77"/>
  <c r="D78"/>
  <c r="D79"/>
  <c r="D80"/>
  <c r="F56"/>
  <c r="F66"/>
  <c r="F67" s="1"/>
  <c r="F68" s="1"/>
  <c r="F69" s="1"/>
  <c r="F70" s="1"/>
  <c r="F57" l="1"/>
  <c r="F26"/>
  <c r="F27" s="1"/>
  <c r="F28" s="1"/>
  <c r="F29" s="1"/>
  <c r="F30" s="1"/>
  <c r="F58" l="1"/>
  <c r="E125" i="45"/>
  <c r="E126"/>
  <c r="E127"/>
  <c r="E128"/>
  <c r="E129"/>
  <c r="E130"/>
  <c r="E131"/>
  <c r="E132"/>
  <c r="E133"/>
  <c r="E134"/>
  <c r="E135"/>
  <c r="E136"/>
  <c r="D125"/>
  <c r="D126"/>
  <c r="D127"/>
  <c r="D128"/>
  <c r="D129"/>
  <c r="D130"/>
  <c r="D131"/>
  <c r="D132"/>
  <c r="D133"/>
  <c r="D134"/>
  <c r="D135"/>
  <c r="D136"/>
  <c r="G125"/>
  <c r="G126"/>
  <c r="G127"/>
  <c r="G128"/>
  <c r="G129"/>
  <c r="G130"/>
  <c r="G131"/>
  <c r="G132"/>
  <c r="G133"/>
  <c r="G134"/>
  <c r="G135"/>
  <c r="G136"/>
  <c r="F16" i="33"/>
  <c r="F17" s="1"/>
  <c r="F18" s="1"/>
  <c r="F19" s="1"/>
  <c r="F20" s="1"/>
  <c r="B327" i="45"/>
  <c r="B381" s="1"/>
  <c r="B430" s="1"/>
  <c r="E31" i="18"/>
  <c r="F59" i="33" l="1"/>
  <c r="D12" i="18"/>
  <c r="E272" i="45" s="1"/>
  <c r="C12" i="18"/>
  <c r="K30" i="11" s="1"/>
  <c r="B12" i="18"/>
  <c r="C272" i="45" s="1"/>
  <c r="D11" i="18"/>
  <c r="E271" i="45" s="1"/>
  <c r="C11" i="18"/>
  <c r="J30" i="11" s="1"/>
  <c r="B11" i="18"/>
  <c r="C271" i="45" s="1"/>
  <c r="D10" i="18"/>
  <c r="E270" i="45" s="1"/>
  <c r="C10" i="18"/>
  <c r="I30" i="11" s="1"/>
  <c r="B10" i="18"/>
  <c r="C270" i="45" s="1"/>
  <c r="D9" i="18"/>
  <c r="E269" i="45" s="1"/>
  <c r="C9" i="18"/>
  <c r="H30" i="11" s="1"/>
  <c r="B9" i="18"/>
  <c r="C269" i="45" s="1"/>
  <c r="D8" i="18"/>
  <c r="E268" i="45" s="1"/>
  <c r="C8" i="18"/>
  <c r="G30" i="11" s="1"/>
  <c r="B8" i="18"/>
  <c r="C268" i="45" s="1"/>
  <c r="D7" i="18"/>
  <c r="E267" i="45" s="1"/>
  <c r="C7" i="18"/>
  <c r="F30" i="11" s="1"/>
  <c r="B7" i="18"/>
  <c r="C267" i="45" s="1"/>
  <c r="D6" i="18"/>
  <c r="E266" i="45" s="1"/>
  <c r="C6" i="18"/>
  <c r="E30" i="11" s="1"/>
  <c r="B6" i="18"/>
  <c r="C266" i="45" s="1"/>
  <c r="D5" i="18"/>
  <c r="E265" i="45" s="1"/>
  <c r="C5" i="18"/>
  <c r="D30" i="11" s="1"/>
  <c r="B5" i="18"/>
  <c r="C265" i="45" s="1"/>
  <c r="D4" i="18"/>
  <c r="E264" i="45" s="1"/>
  <c r="C4" i="18"/>
  <c r="C30" i="11" s="1"/>
  <c r="B4" i="18"/>
  <c r="C264" i="45" s="1"/>
  <c r="D3" i="18"/>
  <c r="C3"/>
  <c r="B30" i="11" s="1"/>
  <c r="B3" i="18"/>
  <c r="J12" i="38"/>
  <c r="J32" s="1"/>
  <c r="I12"/>
  <c r="I32" s="1"/>
  <c r="H12"/>
  <c r="H32" s="1"/>
  <c r="G12"/>
  <c r="G32" s="1"/>
  <c r="F12"/>
  <c r="F32" s="1"/>
  <c r="E12"/>
  <c r="E32" s="1"/>
  <c r="J11"/>
  <c r="J31" s="1"/>
  <c r="I11"/>
  <c r="I31" s="1"/>
  <c r="H11"/>
  <c r="H31" s="1"/>
  <c r="G11"/>
  <c r="G31" s="1"/>
  <c r="F11"/>
  <c r="F31" s="1"/>
  <c r="E11"/>
  <c r="E31" s="1"/>
  <c r="J10"/>
  <c r="J30" s="1"/>
  <c r="I10"/>
  <c r="I30" s="1"/>
  <c r="H10"/>
  <c r="H30" s="1"/>
  <c r="G10"/>
  <c r="G30" s="1"/>
  <c r="F10"/>
  <c r="F30" s="1"/>
  <c r="E10"/>
  <c r="E30" s="1"/>
  <c r="J9"/>
  <c r="J29" s="1"/>
  <c r="I9"/>
  <c r="I29" s="1"/>
  <c r="H9"/>
  <c r="H29" s="1"/>
  <c r="G9"/>
  <c r="G29" s="1"/>
  <c r="F9"/>
  <c r="F29" s="1"/>
  <c r="E9"/>
  <c r="E29" s="1"/>
  <c r="J8"/>
  <c r="J28" s="1"/>
  <c r="I8"/>
  <c r="I28" s="1"/>
  <c r="H8"/>
  <c r="H28" s="1"/>
  <c r="G8"/>
  <c r="G28" s="1"/>
  <c r="F8"/>
  <c r="F28" s="1"/>
  <c r="E8"/>
  <c r="E28" s="1"/>
  <c r="J7"/>
  <c r="J27" s="1"/>
  <c r="I7"/>
  <c r="I27" s="1"/>
  <c r="H7"/>
  <c r="H27" s="1"/>
  <c r="G7"/>
  <c r="G27" s="1"/>
  <c r="F7"/>
  <c r="F27" s="1"/>
  <c r="E7"/>
  <c r="E27" s="1"/>
  <c r="J6"/>
  <c r="J26" s="1"/>
  <c r="I6"/>
  <c r="I26" s="1"/>
  <c r="H6"/>
  <c r="H26" s="1"/>
  <c r="G6"/>
  <c r="G26" s="1"/>
  <c r="F6"/>
  <c r="F26" s="1"/>
  <c r="E6"/>
  <c r="E26" s="1"/>
  <c r="J5"/>
  <c r="J25" s="1"/>
  <c r="I5"/>
  <c r="I25" s="1"/>
  <c r="H5"/>
  <c r="H25" s="1"/>
  <c r="G5"/>
  <c r="G25" s="1"/>
  <c r="F5"/>
  <c r="F25" s="1"/>
  <c r="E5"/>
  <c r="E25" s="1"/>
  <c r="J4"/>
  <c r="J24" s="1"/>
  <c r="I4"/>
  <c r="I24" s="1"/>
  <c r="H4"/>
  <c r="H24" s="1"/>
  <c r="G4"/>
  <c r="G24" s="1"/>
  <c r="F4"/>
  <c r="F24" s="1"/>
  <c r="E4"/>
  <c r="E24" s="1"/>
  <c r="J3"/>
  <c r="J23" s="1"/>
  <c r="I3"/>
  <c r="I23" s="1"/>
  <c r="H3"/>
  <c r="H23" s="1"/>
  <c r="G3"/>
  <c r="G23" s="1"/>
  <c r="F3"/>
  <c r="F23" s="1"/>
  <c r="E3"/>
  <c r="E23" s="1"/>
  <c r="F46" l="1"/>
  <c r="F47"/>
  <c r="J46"/>
  <c r="J47"/>
  <c r="H46"/>
  <c r="H47"/>
  <c r="G46"/>
  <c r="G47"/>
  <c r="E46"/>
  <c r="E47"/>
  <c r="I46"/>
  <c r="I47"/>
  <c r="B34" i="11" a="1"/>
  <c r="I34" s="1"/>
  <c r="B16" a="1"/>
  <c r="C16" s="1"/>
  <c r="B29" a="1"/>
  <c r="E29" s="1"/>
  <c r="B20" a="1"/>
  <c r="B39" a="1"/>
  <c r="B24" a="1"/>
  <c r="D265" i="45"/>
  <c r="F265" s="1"/>
  <c r="D269"/>
  <c r="F269" s="1"/>
  <c r="C263"/>
  <c r="D264"/>
  <c r="F264" s="1"/>
  <c r="D268"/>
  <c r="F268" s="1"/>
  <c r="D272"/>
  <c r="F272" s="1"/>
  <c r="D263"/>
  <c r="D267"/>
  <c r="F267" s="1"/>
  <c r="D271"/>
  <c r="F271" s="1"/>
  <c r="E263"/>
  <c r="D266"/>
  <c r="F266" s="1"/>
  <c r="D270"/>
  <c r="F270" s="1"/>
  <c r="I154"/>
  <c r="I152"/>
  <c r="G153"/>
  <c r="I151"/>
  <c r="G152"/>
  <c r="E153"/>
  <c r="I153"/>
  <c r="G154"/>
  <c r="I155"/>
  <c r="G156"/>
  <c r="G155"/>
  <c r="D153"/>
  <c r="F153"/>
  <c r="D154"/>
  <c r="D156"/>
  <c r="I156"/>
  <c r="G159"/>
  <c r="I158"/>
  <c r="G157"/>
  <c r="E155"/>
  <c r="F155"/>
  <c r="E158"/>
  <c r="E152"/>
  <c r="E154"/>
  <c r="E156"/>
  <c r="H157"/>
  <c r="F158"/>
  <c r="D159"/>
  <c r="H159"/>
  <c r="F60" i="33"/>
  <c r="F152" i="45"/>
  <c r="F154"/>
  <c r="F156"/>
  <c r="H152"/>
  <c r="H154"/>
  <c r="H156"/>
  <c r="F157"/>
  <c r="D158"/>
  <c r="H158"/>
  <c r="F159"/>
  <c r="H153"/>
  <c r="H155"/>
  <c r="E157"/>
  <c r="I157"/>
  <c r="G158"/>
  <c r="E159"/>
  <c r="I159"/>
  <c r="D25" i="39"/>
  <c r="E34" i="11" l="1"/>
  <c r="K16"/>
  <c r="J34"/>
  <c r="H34"/>
  <c r="D16"/>
  <c r="F29"/>
  <c r="F34"/>
  <c r="H16"/>
  <c r="C34"/>
  <c r="B16"/>
  <c r="D34"/>
  <c r="G16"/>
  <c r="B34"/>
  <c r="F16"/>
  <c r="G34"/>
  <c r="E16"/>
  <c r="J29"/>
  <c r="K34"/>
  <c r="I16"/>
  <c r="H29"/>
  <c r="J16"/>
  <c r="B29"/>
  <c r="C29"/>
  <c r="I29"/>
  <c r="K29"/>
  <c r="D29"/>
  <c r="G29"/>
  <c r="E40" i="38"/>
  <c r="F263" i="45"/>
  <c r="E24" i="11"/>
  <c r="K24"/>
  <c r="H24"/>
  <c r="J24"/>
  <c r="F24"/>
  <c r="B24"/>
  <c r="G24"/>
  <c r="D24"/>
  <c r="C24"/>
  <c r="I24"/>
  <c r="B39"/>
  <c r="D39"/>
  <c r="G39"/>
  <c r="J39"/>
  <c r="K39"/>
  <c r="C39"/>
  <c r="F39"/>
  <c r="H39"/>
  <c r="I39"/>
  <c r="E39"/>
  <c r="D20"/>
  <c r="E20"/>
  <c r="F20"/>
  <c r="H20"/>
  <c r="B20"/>
  <c r="G20"/>
  <c r="I20"/>
  <c r="C20"/>
  <c r="J20"/>
  <c r="K20"/>
  <c r="E25" i="39"/>
  <c r="E43" i="38"/>
  <c r="D157" i="45"/>
  <c r="E160"/>
  <c r="G160"/>
  <c r="H160"/>
  <c r="D160"/>
  <c r="E42" i="38"/>
  <c r="D155" i="45"/>
  <c r="I160"/>
  <c r="F160"/>
  <c r="E39" i="38"/>
  <c r="D152" i="45"/>
  <c r="E45" i="38"/>
  <c r="E41"/>
  <c r="E44"/>
  <c r="E53" l="1"/>
  <c r="F25" i="39"/>
  <c r="L46" i="37"/>
  <c r="K46"/>
  <c r="J46"/>
  <c r="I46"/>
  <c r="H46"/>
  <c r="G46"/>
  <c r="F46"/>
  <c r="P8" s="1"/>
  <c r="L45"/>
  <c r="K45"/>
  <c r="J45"/>
  <c r="I45"/>
  <c r="H45"/>
  <c r="G45"/>
  <c r="F45"/>
  <c r="E45"/>
  <c r="P7" s="1"/>
  <c r="L44"/>
  <c r="K44"/>
  <c r="J44"/>
  <c r="I44"/>
  <c r="H44"/>
  <c r="G44"/>
  <c r="F44"/>
  <c r="E44"/>
  <c r="D44"/>
  <c r="P6" s="1"/>
  <c r="L43"/>
  <c r="K43"/>
  <c r="J43"/>
  <c r="I43"/>
  <c r="H43"/>
  <c r="G43"/>
  <c r="F43"/>
  <c r="E43"/>
  <c r="D43"/>
  <c r="C43"/>
  <c r="P5" s="1"/>
  <c r="L42"/>
  <c r="K42"/>
  <c r="J42"/>
  <c r="I42"/>
  <c r="H42"/>
  <c r="G42"/>
  <c r="F42"/>
  <c r="E42"/>
  <c r="D42"/>
  <c r="C42"/>
  <c r="B42"/>
  <c r="P4" s="1"/>
  <c r="G25" i="39" l="1"/>
  <c r="H25"/>
  <c r="B29" i="37"/>
  <c r="C201" i="45" s="1"/>
  <c r="C29" i="37"/>
  <c r="D201" i="45" s="1"/>
  <c r="D29" i="37"/>
  <c r="E201" i="45" s="1"/>
  <c r="E29" i="37"/>
  <c r="F201" i="45" s="1"/>
  <c r="C30" i="37"/>
  <c r="D202" i="45" s="1"/>
  <c r="D30" i="37"/>
  <c r="E202" i="45" s="1"/>
  <c r="E30" i="37"/>
  <c r="F202" i="45" s="1"/>
  <c r="E31" i="37"/>
  <c r="F203" i="45" s="1"/>
  <c r="C28" i="37"/>
  <c r="D200" i="45" s="1"/>
  <c r="D28" i="37"/>
  <c r="E200" i="45" s="1"/>
  <c r="E28" i="37"/>
  <c r="F200" i="45" s="1"/>
  <c r="B28" i="37"/>
  <c r="C200" i="45" s="1"/>
  <c r="P9" i="37" l="1"/>
  <c r="N6" i="36"/>
  <c r="N9"/>
  <c r="N10"/>
  <c r="N11"/>
  <c r="N12"/>
  <c r="N13"/>
  <c r="N14"/>
  <c r="N15"/>
  <c r="N16"/>
  <c r="N17"/>
  <c r="N18"/>
  <c r="N20"/>
  <c r="N22"/>
  <c r="N23"/>
  <c r="N24"/>
  <c r="N25"/>
  <c r="N26"/>
  <c r="N27"/>
  <c r="N28"/>
  <c r="N29"/>
  <c r="N30"/>
  <c r="N32"/>
  <c r="N34"/>
  <c r="N35"/>
  <c r="N36"/>
  <c r="N37"/>
  <c r="N38"/>
  <c r="N39"/>
  <c r="N40"/>
  <c r="N41"/>
  <c r="N42"/>
  <c r="N45"/>
  <c r="N46"/>
  <c r="N47"/>
  <c r="N48"/>
  <c r="N49"/>
  <c r="N50"/>
  <c r="N51"/>
  <c r="N52"/>
  <c r="N53"/>
  <c r="N54"/>
  <c r="N56"/>
  <c r="N58"/>
  <c r="N59"/>
  <c r="N60"/>
  <c r="N61"/>
  <c r="N62"/>
  <c r="N63"/>
  <c r="N64"/>
  <c r="N65"/>
  <c r="N66"/>
  <c r="N68"/>
  <c r="N70"/>
  <c r="N71"/>
  <c r="N72"/>
  <c r="N73"/>
  <c r="N74"/>
  <c r="N75"/>
  <c r="N76"/>
  <c r="N77"/>
  <c r="N78"/>
  <c r="N80"/>
  <c r="N82"/>
  <c r="N83"/>
  <c r="N84"/>
  <c r="N85"/>
  <c r="N86"/>
  <c r="N87"/>
  <c r="N88"/>
  <c r="N89"/>
  <c r="N90"/>
  <c r="N92"/>
  <c r="N94"/>
  <c r="N95"/>
  <c r="N96"/>
  <c r="N97"/>
  <c r="N98"/>
  <c r="N99"/>
  <c r="N100"/>
  <c r="N101"/>
  <c r="N102"/>
  <c r="N104"/>
  <c r="N106"/>
  <c r="N107"/>
  <c r="N108"/>
  <c r="N109"/>
  <c r="N110"/>
  <c r="N111"/>
  <c r="N112"/>
  <c r="N113"/>
  <c r="N114"/>
  <c r="N116"/>
  <c r="N118"/>
  <c r="N119"/>
  <c r="N120"/>
  <c r="N121"/>
  <c r="N122"/>
  <c r="N123"/>
  <c r="N124"/>
  <c r="N125"/>
  <c r="N126"/>
  <c r="N128"/>
  <c r="N130"/>
  <c r="N131"/>
  <c r="N132"/>
  <c r="N133"/>
  <c r="N134"/>
  <c r="N135"/>
  <c r="N136"/>
  <c r="N137"/>
  <c r="H107" i="45"/>
  <c r="N141" i="36"/>
  <c r="N142"/>
  <c r="N143"/>
  <c r="N144"/>
  <c r="N145"/>
  <c r="N146"/>
  <c r="N147"/>
  <c r="N148"/>
  <c r="N149"/>
  <c r="H135" i="45" l="1"/>
  <c r="H117"/>
  <c r="H130"/>
  <c r="H112"/>
  <c r="H133"/>
  <c r="H115"/>
  <c r="H129"/>
  <c r="H111"/>
  <c r="H131"/>
  <c r="H113"/>
  <c r="H134"/>
  <c r="H116"/>
  <c r="H136"/>
  <c r="H118"/>
  <c r="H132"/>
  <c r="H114"/>
  <c r="H128"/>
  <c r="H110"/>
  <c r="H125"/>
  <c r="C19" i="32"/>
  <c r="D19"/>
  <c r="E19"/>
  <c r="B19"/>
  <c r="B339" i="45" l="1"/>
  <c r="B393" s="1"/>
  <c r="B442" s="1"/>
  <c r="B333"/>
  <c r="B387" s="1"/>
  <c r="B436" s="1"/>
  <c r="D341" l="1"/>
  <c r="J341"/>
  <c r="G341"/>
  <c r="D335"/>
  <c r="J335"/>
  <c r="G335"/>
  <c r="D329"/>
  <c r="J329"/>
  <c r="G329"/>
  <c r="B316"/>
  <c r="B370" s="1"/>
  <c r="B419" s="1"/>
  <c r="B311"/>
  <c r="B365" s="1"/>
  <c r="B414" s="1"/>
  <c r="C438" l="1"/>
  <c r="E335"/>
  <c r="F335" s="1"/>
  <c r="D389"/>
  <c r="E389" s="1"/>
  <c r="F389" s="1"/>
  <c r="E341"/>
  <c r="F341" s="1"/>
  <c r="C444"/>
  <c r="D395"/>
  <c r="E395" s="1"/>
  <c r="F395" s="1"/>
  <c r="D383"/>
  <c r="E383" s="1"/>
  <c r="F383" s="1"/>
  <c r="C432"/>
  <c r="E329"/>
  <c r="F329" s="1"/>
  <c r="D486"/>
  <c r="C530"/>
  <c r="E530" s="1"/>
  <c r="F530" s="1"/>
  <c r="D480"/>
  <c r="C524"/>
  <c r="E524" s="1"/>
  <c r="F524" s="1"/>
  <c r="D492"/>
  <c r="C536"/>
  <c r="E536" s="1"/>
  <c r="F536" s="1"/>
  <c r="D444"/>
  <c r="C492"/>
  <c r="D432"/>
  <c r="C480"/>
  <c r="D438"/>
  <c r="C486"/>
  <c r="H329"/>
  <c r="I329" s="1"/>
  <c r="H341"/>
  <c r="I341" s="1"/>
  <c r="K329"/>
  <c r="L329" s="1"/>
  <c r="N329"/>
  <c r="O329" s="1"/>
  <c r="K335"/>
  <c r="L335" s="1"/>
  <c r="N335"/>
  <c r="O335" s="1"/>
  <c r="H335"/>
  <c r="I335" s="1"/>
  <c r="K341"/>
  <c r="L341" s="1"/>
  <c r="N341"/>
  <c r="O341" s="1"/>
  <c r="B43" i="11"/>
  <c r="D323" i="45"/>
  <c r="J323"/>
  <c r="G323"/>
  <c r="D318"/>
  <c r="J318"/>
  <c r="G318"/>
  <c r="J313"/>
  <c r="G313"/>
  <c r="D313"/>
  <c r="G389" l="1"/>
  <c r="G383"/>
  <c r="G395"/>
  <c r="E438"/>
  <c r="F438" s="1"/>
  <c r="G438" s="1"/>
  <c r="E444"/>
  <c r="F444" s="1"/>
  <c r="G444" s="1"/>
  <c r="E486"/>
  <c r="F486" s="1"/>
  <c r="G486" s="1"/>
  <c r="E432"/>
  <c r="F432" s="1"/>
  <c r="G432" s="1"/>
  <c r="E318"/>
  <c r="F318" s="1"/>
  <c r="D372"/>
  <c r="C421"/>
  <c r="C426"/>
  <c r="E323"/>
  <c r="F323" s="1"/>
  <c r="D377"/>
  <c r="E377" s="1"/>
  <c r="F377" s="1"/>
  <c r="D367"/>
  <c r="C416"/>
  <c r="E313"/>
  <c r="F313" s="1"/>
  <c r="D346"/>
  <c r="D356" s="1"/>
  <c r="E492"/>
  <c r="F492" s="1"/>
  <c r="G492" s="1"/>
  <c r="E480"/>
  <c r="F480" s="1"/>
  <c r="G480" s="1"/>
  <c r="D464"/>
  <c r="L461" s="1"/>
  <c r="C508"/>
  <c r="D474"/>
  <c r="C518"/>
  <c r="E518" s="1"/>
  <c r="F518" s="1"/>
  <c r="D469"/>
  <c r="L469" s="1"/>
  <c r="C513"/>
  <c r="D416"/>
  <c r="C464"/>
  <c r="M461" s="1"/>
  <c r="K463" s="1"/>
  <c r="D421"/>
  <c r="C469"/>
  <c r="M469" s="1"/>
  <c r="K471" s="1"/>
  <c r="D426"/>
  <c r="C474"/>
  <c r="G346"/>
  <c r="C497" s="1"/>
  <c r="J346"/>
  <c r="H323"/>
  <c r="I323" s="1"/>
  <c r="K313"/>
  <c r="L313" s="1"/>
  <c r="N313"/>
  <c r="O313" s="1"/>
  <c r="K318"/>
  <c r="L318" s="1"/>
  <c r="N318"/>
  <c r="O318" s="1"/>
  <c r="H313"/>
  <c r="I313" s="1"/>
  <c r="H318"/>
  <c r="I318" s="1"/>
  <c r="K323"/>
  <c r="L323" s="1"/>
  <c r="N323"/>
  <c r="O323" s="1"/>
  <c r="F43" i="11"/>
  <c r="D43"/>
  <c r="C43"/>
  <c r="I43"/>
  <c r="J43"/>
  <c r="E43"/>
  <c r="G43"/>
  <c r="H43"/>
  <c r="K43"/>
  <c r="G377" i="45" l="1"/>
  <c r="E421"/>
  <c r="F421" s="1"/>
  <c r="G421" s="1"/>
  <c r="E426"/>
  <c r="F426" s="1"/>
  <c r="G426" s="1"/>
  <c r="E416"/>
  <c r="F416" s="1"/>
  <c r="G416" s="1"/>
  <c r="D400"/>
  <c r="E400" s="1"/>
  <c r="F400" s="1"/>
  <c r="E346"/>
  <c r="F346" s="1"/>
  <c r="C449"/>
  <c r="L365"/>
  <c r="E367"/>
  <c r="E372"/>
  <c r="L374"/>
  <c r="E474"/>
  <c r="F474" s="1"/>
  <c r="G474" s="1"/>
  <c r="M513"/>
  <c r="E513"/>
  <c r="F513" s="1"/>
  <c r="M505"/>
  <c r="E508"/>
  <c r="F508" s="1"/>
  <c r="D497"/>
  <c r="E497" s="1"/>
  <c r="F497" s="1"/>
  <c r="C541"/>
  <c r="E541" s="1"/>
  <c r="F541" s="1"/>
  <c r="E469"/>
  <c r="F469" s="1"/>
  <c r="G469" s="1"/>
  <c r="K469"/>
  <c r="K473"/>
  <c r="E464"/>
  <c r="F464" s="1"/>
  <c r="G464" s="1"/>
  <c r="K461"/>
  <c r="K465"/>
  <c r="H346"/>
  <c r="I346" s="1"/>
  <c r="D449"/>
  <c r="G356"/>
  <c r="J356"/>
  <c r="K346"/>
  <c r="L346" s="1"/>
  <c r="N346"/>
  <c r="O346" s="1"/>
  <c r="H35" i="37"/>
  <c r="G34"/>
  <c r="G497" i="45" l="1"/>
  <c r="G400"/>
  <c r="K365"/>
  <c r="K374"/>
  <c r="F372"/>
  <c r="G372" s="1"/>
  <c r="L375"/>
  <c r="F367"/>
  <c r="G367" s="1"/>
  <c r="L366"/>
  <c r="K507"/>
  <c r="K505"/>
  <c r="K515"/>
  <c r="K513"/>
  <c r="E449"/>
  <c r="F449" s="1"/>
  <c r="G449" s="1"/>
  <c r="E151"/>
  <c r="D151"/>
  <c r="K366" l="1"/>
  <c r="K375"/>
  <c r="J334"/>
  <c r="F612" s="1"/>
  <c r="D334"/>
  <c r="D612" s="1"/>
  <c r="G334"/>
  <c r="E612" s="1"/>
  <c r="B25" i="18"/>
  <c r="C27"/>
  <c r="D290" i="45" s="1"/>
  <c r="C19" i="18"/>
  <c r="D282" i="45" s="1"/>
  <c r="B24" i="18"/>
  <c r="C287" i="45" s="1"/>
  <c r="B20" i="18"/>
  <c r="C283" i="45" s="1"/>
  <c r="C26" i="18"/>
  <c r="D289" i="45" s="1"/>
  <c r="C22" i="18"/>
  <c r="D285" i="45" s="1"/>
  <c r="G151"/>
  <c r="C18" i="18"/>
  <c r="D24"/>
  <c r="E287" i="45" s="1"/>
  <c r="D20" i="18"/>
  <c r="E283" i="45" s="1"/>
  <c r="B27" i="18"/>
  <c r="C290" i="45" s="1"/>
  <c r="B19" i="18"/>
  <c r="C282" i="45" s="1"/>
  <c r="D27" i="18"/>
  <c r="E290" i="45" s="1"/>
  <c r="B23" i="18"/>
  <c r="C286" i="45" s="1"/>
  <c r="C25" i="18"/>
  <c r="C21"/>
  <c r="D284" i="45" s="1"/>
  <c r="D23" i="18"/>
  <c r="E286" i="45" s="1"/>
  <c r="D19" i="18"/>
  <c r="E282" i="45" s="1"/>
  <c r="B26" i="18"/>
  <c r="C289" i="45" s="1"/>
  <c r="B22" i="18"/>
  <c r="C285" i="45" s="1"/>
  <c r="F151"/>
  <c r="B18" i="18"/>
  <c r="C24"/>
  <c r="D287" i="45" s="1"/>
  <c r="C20" i="18"/>
  <c r="D283" i="45" s="1"/>
  <c r="D26" i="18"/>
  <c r="E289" i="45" s="1"/>
  <c r="D22" i="18"/>
  <c r="E285" i="45" s="1"/>
  <c r="H151"/>
  <c r="D18" i="18"/>
  <c r="B21"/>
  <c r="C284" i="45" s="1"/>
  <c r="C23" i="18"/>
  <c r="D286" i="45" s="1"/>
  <c r="D25" i="18"/>
  <c r="D21"/>
  <c r="E284" i="45" s="1"/>
  <c r="F38" i="38"/>
  <c r="J38"/>
  <c r="C281" i="45" l="1"/>
  <c r="B33" i="18"/>
  <c r="E281" i="45"/>
  <c r="D33" i="18"/>
  <c r="D281" i="45"/>
  <c r="C33" i="18"/>
  <c r="C31" s="1"/>
  <c r="D292" i="45" s="1"/>
  <c r="C288"/>
  <c r="B34" i="18"/>
  <c r="B35"/>
  <c r="E288" i="45"/>
  <c r="D34" i="18"/>
  <c r="D35"/>
  <c r="D288" i="45"/>
  <c r="C34" i="18"/>
  <c r="C35"/>
  <c r="K371" i="45"/>
  <c r="K379"/>
  <c r="E334"/>
  <c r="F334" s="1"/>
  <c r="C437"/>
  <c r="D388"/>
  <c r="E388" s="1"/>
  <c r="F388" s="1"/>
  <c r="J340"/>
  <c r="G340"/>
  <c r="D340"/>
  <c r="D615" s="1"/>
  <c r="D485"/>
  <c r="C529"/>
  <c r="D437"/>
  <c r="C485"/>
  <c r="K334"/>
  <c r="L334" s="1"/>
  <c r="H334"/>
  <c r="I334" s="1"/>
  <c r="M340"/>
  <c r="G615" s="1"/>
  <c r="I615" s="1"/>
  <c r="J615" s="1"/>
  <c r="P340"/>
  <c r="D580" s="1"/>
  <c r="P334"/>
  <c r="D574" s="1"/>
  <c r="M334"/>
  <c r="B31" i="18"/>
  <c r="C292" i="45" s="1"/>
  <c r="D31" i="18"/>
  <c r="E292" i="45" s="1"/>
  <c r="G38" i="38"/>
  <c r="I38"/>
  <c r="H38"/>
  <c r="C162" i="45"/>
  <c r="A33" i="38"/>
  <c r="C161" i="45" s="1"/>
  <c r="A32" i="38"/>
  <c r="C160" i="45" s="1"/>
  <c r="A31" i="38"/>
  <c r="C159" i="45" s="1"/>
  <c r="A30" i="38"/>
  <c r="C158" i="45" s="1"/>
  <c r="A29" i="38"/>
  <c r="C157" i="45" s="1"/>
  <c r="A28" i="38"/>
  <c r="C156" i="45" s="1"/>
  <c r="A27" i="38"/>
  <c r="C155" i="45" s="1"/>
  <c r="A26" i="38"/>
  <c r="C154" i="45" s="1"/>
  <c r="A25" i="38"/>
  <c r="C153" i="45" s="1"/>
  <c r="A24" i="38"/>
  <c r="C152" i="45" s="1"/>
  <c r="A23" i="38"/>
  <c r="C151" i="45" s="1"/>
  <c r="D17" i="38"/>
  <c r="G612" i="45" l="1"/>
  <c r="I612" s="1"/>
  <c r="J612" s="1"/>
  <c r="C574"/>
  <c r="E574" s="1"/>
  <c r="F574" s="1"/>
  <c r="G388"/>
  <c r="D443"/>
  <c r="E615"/>
  <c r="C535"/>
  <c r="F615"/>
  <c r="J343"/>
  <c r="C538" s="1"/>
  <c r="E437"/>
  <c r="F437" s="1"/>
  <c r="G437" s="1"/>
  <c r="E485"/>
  <c r="F485" s="1"/>
  <c r="G485" s="1"/>
  <c r="D491"/>
  <c r="G343"/>
  <c r="C494" s="1"/>
  <c r="K340"/>
  <c r="L340" s="1"/>
  <c r="H340"/>
  <c r="I340" s="1"/>
  <c r="C491"/>
  <c r="D394"/>
  <c r="E394" s="1"/>
  <c r="F394" s="1"/>
  <c r="D343"/>
  <c r="E340"/>
  <c r="F340" s="1"/>
  <c r="C443"/>
  <c r="C580"/>
  <c r="E580" s="1"/>
  <c r="F580" s="1"/>
  <c r="D535"/>
  <c r="N334"/>
  <c r="O334" s="1"/>
  <c r="D529"/>
  <c r="E529" s="1"/>
  <c r="F529" s="1"/>
  <c r="N340"/>
  <c r="O340" s="1"/>
  <c r="M343"/>
  <c r="C583" s="1"/>
  <c r="Q340"/>
  <c r="R340" s="1"/>
  <c r="Q334"/>
  <c r="R334" s="1"/>
  <c r="F41" i="38"/>
  <c r="G40"/>
  <c r="D10"/>
  <c r="I44"/>
  <c r="D11"/>
  <c r="H45"/>
  <c r="J41"/>
  <c r="D6"/>
  <c r="D7"/>
  <c r="E38"/>
  <c r="E52" s="1"/>
  <c r="I39"/>
  <c r="G42"/>
  <c r="F39"/>
  <c r="J39"/>
  <c r="I40"/>
  <c r="H41"/>
  <c r="H42"/>
  <c r="H43"/>
  <c r="G44"/>
  <c r="F45"/>
  <c r="J45"/>
  <c r="H39"/>
  <c r="G41"/>
  <c r="G43"/>
  <c r="G39"/>
  <c r="F40"/>
  <c r="J40"/>
  <c r="I41"/>
  <c r="I42"/>
  <c r="I43"/>
  <c r="H44"/>
  <c r="G45"/>
  <c r="F42"/>
  <c r="J42"/>
  <c r="F43"/>
  <c r="J43"/>
  <c r="H40"/>
  <c r="F44"/>
  <c r="J44"/>
  <c r="I45"/>
  <c r="D3"/>
  <c r="D4"/>
  <c r="D8"/>
  <c r="D12"/>
  <c r="D5"/>
  <c r="D9"/>
  <c r="AA102" i="36"/>
  <c r="AA103"/>
  <c r="AA104"/>
  <c r="AA105"/>
  <c r="AA106"/>
  <c r="AA107"/>
  <c r="J53" i="38" l="1"/>
  <c r="H53"/>
  <c r="F53"/>
  <c r="H52"/>
  <c r="I52"/>
  <c r="I50" s="1"/>
  <c r="G52"/>
  <c r="F52"/>
  <c r="F50" s="1"/>
  <c r="I53"/>
  <c r="G53"/>
  <c r="J52"/>
  <c r="J50" s="1"/>
  <c r="G580" i="45"/>
  <c r="G394"/>
  <c r="G574"/>
  <c r="E443"/>
  <c r="F443" s="1"/>
  <c r="G443" s="1"/>
  <c r="D494"/>
  <c r="E491"/>
  <c r="F491" s="1"/>
  <c r="G491" s="1"/>
  <c r="B11" i="11" a="1"/>
  <c r="E535" i="45"/>
  <c r="F535" s="1"/>
  <c r="R5" i="38"/>
  <c r="S5"/>
  <c r="N5"/>
  <c r="Q5"/>
  <c r="P5"/>
  <c r="O5"/>
  <c r="P7"/>
  <c r="N7"/>
  <c r="R7"/>
  <c r="S7"/>
  <c r="Q7"/>
  <c r="O7"/>
  <c r="Q11"/>
  <c r="N11"/>
  <c r="S11"/>
  <c r="P11"/>
  <c r="O11"/>
  <c r="R11"/>
  <c r="Q3"/>
  <c r="O3"/>
  <c r="P3"/>
  <c r="N3"/>
  <c r="S3"/>
  <c r="R3"/>
  <c r="S8"/>
  <c r="N8"/>
  <c r="P8"/>
  <c r="R8"/>
  <c r="O8"/>
  <c r="Q8"/>
  <c r="P6"/>
  <c r="S6"/>
  <c r="Q6"/>
  <c r="N6"/>
  <c r="O6"/>
  <c r="R6"/>
  <c r="R12"/>
  <c r="O12"/>
  <c r="Q12"/>
  <c r="S12"/>
  <c r="P12"/>
  <c r="N12"/>
  <c r="O9"/>
  <c r="Q9"/>
  <c r="S9"/>
  <c r="R9"/>
  <c r="N9"/>
  <c r="P9"/>
  <c r="S4"/>
  <c r="Q4"/>
  <c r="O4"/>
  <c r="N4"/>
  <c r="P4"/>
  <c r="R4"/>
  <c r="N10"/>
  <c r="R10"/>
  <c r="O10"/>
  <c r="Q10"/>
  <c r="S10"/>
  <c r="P10"/>
  <c r="D446" i="45"/>
  <c r="K343"/>
  <c r="L343" s="1"/>
  <c r="E494"/>
  <c r="F494" s="1"/>
  <c r="H343"/>
  <c r="I343" s="1"/>
  <c r="C446"/>
  <c r="E343"/>
  <c r="F343" s="1"/>
  <c r="D397"/>
  <c r="E397" s="1"/>
  <c r="F397" s="1"/>
  <c r="N343"/>
  <c r="O343" s="1"/>
  <c r="D538"/>
  <c r="E538" s="1"/>
  <c r="F538" s="1"/>
  <c r="H50" i="38"/>
  <c r="G50"/>
  <c r="B47" i="11" a="1"/>
  <c r="L11" i="38"/>
  <c r="L12"/>
  <c r="L9"/>
  <c r="L8"/>
  <c r="L7"/>
  <c r="L5"/>
  <c r="L6"/>
  <c r="L4"/>
  <c r="L10"/>
  <c r="L52" i="37"/>
  <c r="P11"/>
  <c r="P10"/>
  <c r="H36"/>
  <c r="G36"/>
  <c r="E32"/>
  <c r="F204" i="45" s="1"/>
  <c r="D32" i="37"/>
  <c r="E204" i="45" s="1"/>
  <c r="C32" i="37"/>
  <c r="D204" i="45" s="1"/>
  <c r="B32" i="37"/>
  <c r="C204" i="45" s="1"/>
  <c r="F31" i="37"/>
  <c r="G203" i="45" s="1"/>
  <c r="F30" i="37"/>
  <c r="G202" i="45" s="1"/>
  <c r="F29" i="37"/>
  <c r="G201" i="45" s="1"/>
  <c r="F28" i="37"/>
  <c r="G200" i="45" s="1"/>
  <c r="E25" i="37"/>
  <c r="F197" i="45" s="1"/>
  <c r="E24" i="37"/>
  <c r="F196" i="45" s="1"/>
  <c r="D24" i="37"/>
  <c r="E196" i="45" s="1"/>
  <c r="C24" i="37"/>
  <c r="D196" i="45" s="1"/>
  <c r="E23" i="37"/>
  <c r="F195" i="45" s="1"/>
  <c r="D23" i="37"/>
  <c r="E195" i="45" s="1"/>
  <c r="C23" i="37"/>
  <c r="D195" i="45" s="1"/>
  <c r="B23" i="37"/>
  <c r="C195" i="45" s="1"/>
  <c r="E22" i="37"/>
  <c r="F194" i="45" s="1"/>
  <c r="D22" i="37"/>
  <c r="E194" i="45" s="1"/>
  <c r="C22" i="37"/>
  <c r="D194" i="45" s="1"/>
  <c r="B22" i="37"/>
  <c r="C194" i="45" s="1"/>
  <c r="M15" i="37"/>
  <c r="F164" i="45" l="1"/>
  <c r="G35" i="38"/>
  <c r="G56" s="1"/>
  <c r="G164" i="45"/>
  <c r="H35" i="38"/>
  <c r="H56" s="1"/>
  <c r="I164" i="45"/>
  <c r="J35" i="38"/>
  <c r="J56" s="1"/>
  <c r="E164" i="45"/>
  <c r="F35" i="38"/>
  <c r="F56" s="1"/>
  <c r="H164" i="45"/>
  <c r="I35" i="38"/>
  <c r="I56" s="1"/>
  <c r="G397" i="45"/>
  <c r="G494"/>
  <c r="B11" i="11"/>
  <c r="H11"/>
  <c r="G11"/>
  <c r="F11"/>
  <c r="I11"/>
  <c r="D11"/>
  <c r="C11"/>
  <c r="J11"/>
  <c r="E11"/>
  <c r="K11"/>
  <c r="E446" i="45"/>
  <c r="F446" s="1"/>
  <c r="G446" s="1"/>
  <c r="M4" i="38"/>
  <c r="D22" i="39"/>
  <c r="F22"/>
  <c r="F23" s="1"/>
  <c r="F27" s="1"/>
  <c r="E22"/>
  <c r="E23" s="1"/>
  <c r="E27" s="1"/>
  <c r="M7" i="38"/>
  <c r="M10"/>
  <c r="M9"/>
  <c r="M5"/>
  <c r="F25" i="37"/>
  <c r="G197" i="45" s="1"/>
  <c r="M12" i="38"/>
  <c r="M6"/>
  <c r="M8"/>
  <c r="M3"/>
  <c r="M11"/>
  <c r="P12" i="37"/>
  <c r="I71" i="38"/>
  <c r="B26" i="37"/>
  <c r="C198" i="45" s="1"/>
  <c r="G22" i="39"/>
  <c r="B47" i="11"/>
  <c r="D47"/>
  <c r="G47"/>
  <c r="I47"/>
  <c r="C47"/>
  <c r="E47"/>
  <c r="J47"/>
  <c r="H47"/>
  <c r="K47"/>
  <c r="F47"/>
  <c r="G3" i="37"/>
  <c r="D26"/>
  <c r="E198" i="45" s="1"/>
  <c r="F23" i="37"/>
  <c r="G195" i="45" s="1"/>
  <c r="F24" i="37"/>
  <c r="G196" i="45" s="1"/>
  <c r="F32" i="37"/>
  <c r="G204" i="45" s="1"/>
  <c r="C26" i="37"/>
  <c r="D198" i="45" s="1"/>
  <c r="E26" i="37"/>
  <c r="F198" i="45" s="1"/>
  <c r="F22" i="37"/>
  <c r="G194" i="45" s="1"/>
  <c r="E162" l="1"/>
  <c r="D178"/>
  <c r="G162"/>
  <c r="F178"/>
  <c r="F162"/>
  <c r="E178"/>
  <c r="D81" i="38"/>
  <c r="AF60" i="36" s="1"/>
  <c r="D82" i="38"/>
  <c r="B7" i="44"/>
  <c r="F13" s="1"/>
  <c r="E50" i="38"/>
  <c r="E35" s="1"/>
  <c r="E56" s="1"/>
  <c r="H178" i="45"/>
  <c r="G178"/>
  <c r="C22" i="39"/>
  <c r="C23" s="1"/>
  <c r="C27" s="1"/>
  <c r="B14" i="37"/>
  <c r="F26"/>
  <c r="G198" i="45" s="1"/>
  <c r="B13" i="37"/>
  <c r="B4" a="1"/>
  <c r="B11" s="1"/>
  <c r="O11" s="1"/>
  <c r="J71" i="38"/>
  <c r="C15" i="37" l="1"/>
  <c r="D15" s="1"/>
  <c r="E15" s="1"/>
  <c r="AF61" i="36"/>
  <c r="C219" i="45"/>
  <c r="E219" s="1"/>
  <c r="G180"/>
  <c r="G188" s="1"/>
  <c r="H162"/>
  <c r="H180"/>
  <c r="H188" s="1"/>
  <c r="I162"/>
  <c r="D164"/>
  <c r="Q11" i="37"/>
  <c r="O13"/>
  <c r="Q13" s="1"/>
  <c r="O14"/>
  <c r="Q14" s="1"/>
  <c r="B12"/>
  <c r="O12" s="1"/>
  <c r="Q12" s="1"/>
  <c r="B6"/>
  <c r="O6" s="1"/>
  <c r="Q6" s="1"/>
  <c r="B5"/>
  <c r="O5" s="1"/>
  <c r="Q5" s="1"/>
  <c r="B10"/>
  <c r="O10" s="1"/>
  <c r="Q10" s="1"/>
  <c r="B8"/>
  <c r="O8" s="1"/>
  <c r="Q8" s="1"/>
  <c r="B7"/>
  <c r="O7" s="1"/>
  <c r="Q7" s="1"/>
  <c r="B9"/>
  <c r="O9" s="1"/>
  <c r="Q9" s="1"/>
  <c r="B4"/>
  <c r="D162" i="45" l="1"/>
  <c r="C178"/>
  <c r="J72" i="38"/>
  <c r="I240" i="45"/>
  <c r="I72" i="38"/>
  <c r="H240" i="45"/>
  <c r="O4" i="37"/>
  <c r="Q4" s="1"/>
  <c r="C88" i="45" a="1"/>
  <c r="C12" i="37"/>
  <c r="C10"/>
  <c r="C13"/>
  <c r="D13" s="1"/>
  <c r="E13" s="1"/>
  <c r="C14"/>
  <c r="D14" s="1"/>
  <c r="E14" s="1"/>
  <c r="C9"/>
  <c r="C7"/>
  <c r="C6"/>
  <c r="C4"/>
  <c r="D4" s="1"/>
  <c r="E4" s="1"/>
  <c r="C11"/>
  <c r="C8"/>
  <c r="C5"/>
  <c r="B16"/>
  <c r="C88" i="45" l="1"/>
  <c r="F88"/>
  <c r="L88"/>
  <c r="G88"/>
  <c r="M88"/>
  <c r="H88"/>
  <c r="I88"/>
  <c r="D88"/>
  <c r="J88"/>
  <c r="E88"/>
  <c r="K88"/>
  <c r="F4" i="37"/>
  <c r="D5"/>
  <c r="E5" s="1"/>
  <c r="D6"/>
  <c r="E6" s="1"/>
  <c r="D8"/>
  <c r="E8" s="1"/>
  <c r="D7"/>
  <c r="E7" s="1"/>
  <c r="D10"/>
  <c r="E10" s="1"/>
  <c r="D11"/>
  <c r="E11" s="1"/>
  <c r="D9"/>
  <c r="E9" s="1"/>
  <c r="D12"/>
  <c r="E12" s="1"/>
  <c r="E16" l="1"/>
  <c r="G4"/>
  <c r="C66" s="1"/>
  <c r="R18" i="47" s="1"/>
  <c r="C67" i="37" l="1"/>
  <c r="O18" i="36"/>
  <c r="O19" l="1"/>
  <c r="R19" i="47"/>
  <c r="C68" i="37"/>
  <c r="O20" i="36" l="1"/>
  <c r="R20" i="47"/>
  <c r="C69" i="37"/>
  <c r="O21" i="36" l="1"/>
  <c r="R21" i="47"/>
  <c r="C70" i="37"/>
  <c r="O22" i="36" l="1"/>
  <c r="R22" i="47"/>
  <c r="C71" i="37"/>
  <c r="R23" i="47" s="1"/>
  <c r="C72" i="37" l="1"/>
  <c r="R24" i="47" s="1"/>
  <c r="O23" i="36"/>
  <c r="C73" i="37" l="1"/>
  <c r="R25" i="47" s="1"/>
  <c r="O24" i="36"/>
  <c r="O25" l="1"/>
  <c r="C74" i="37"/>
  <c r="R26" i="47" s="1"/>
  <c r="O26" i="36" l="1"/>
  <c r="C75" i="37"/>
  <c r="R27" i="47" s="1"/>
  <c r="O27" i="36" l="1"/>
  <c r="C76" i="37"/>
  <c r="R28" i="47" s="1"/>
  <c r="O28" i="36" l="1"/>
  <c r="C77" i="37"/>
  <c r="R29" i="47" s="1"/>
  <c r="O29" i="36"/>
  <c r="E77" i="37"/>
  <c r="F5" s="1"/>
  <c r="D77"/>
  <c r="G5" l="1"/>
  <c r="C78" s="1"/>
  <c r="R30" i="47" s="1"/>
  <c r="I4" i="37"/>
  <c r="J4" s="1"/>
  <c r="C79" l="1"/>
  <c r="O30" i="36"/>
  <c r="C80" i="37" l="1"/>
  <c r="R32" i="47" s="1"/>
  <c r="R31"/>
  <c r="O31" i="36"/>
  <c r="C81" i="37"/>
  <c r="R33" i="47" s="1"/>
  <c r="O32" i="36"/>
  <c r="C82" i="37" l="1"/>
  <c r="R34" i="47" s="1"/>
  <c r="O33" i="36"/>
  <c r="C83" i="37" l="1"/>
  <c r="R35" i="47" s="1"/>
  <c r="O34" i="36"/>
  <c r="C84" i="37" l="1"/>
  <c r="R36" i="47" s="1"/>
  <c r="O35" i="36"/>
  <c r="C85" i="37" l="1"/>
  <c r="R37" i="47" s="1"/>
  <c r="O36" i="36"/>
  <c r="C86" i="37" l="1"/>
  <c r="R38" i="47" s="1"/>
  <c r="O37" i="36"/>
  <c r="C87" i="37" l="1"/>
  <c r="R39" i="47" s="1"/>
  <c r="O38" i="36"/>
  <c r="C88" i="37" l="1"/>
  <c r="R40" i="47" s="1"/>
  <c r="O39" i="36"/>
  <c r="C89" i="37" l="1"/>
  <c r="R41" i="47" s="1"/>
  <c r="O40" i="36"/>
  <c r="E89" i="37" l="1"/>
  <c r="F6" s="1"/>
  <c r="G6" s="1"/>
  <c r="D89"/>
  <c r="I5" s="1"/>
  <c r="J5" s="1"/>
  <c r="O41" i="36"/>
  <c r="C90" i="37" l="1"/>
  <c r="R42" i="47" s="1"/>
  <c r="O42" i="36" l="1"/>
  <c r="C91" i="37"/>
  <c r="R43" i="47" s="1"/>
  <c r="O43" i="36" l="1"/>
  <c r="C92" i="37"/>
  <c r="R44" i="47" s="1"/>
  <c r="O44" i="36" l="1"/>
  <c r="C93" i="37"/>
  <c r="O45" i="36" l="1"/>
  <c r="R45" i="47"/>
  <c r="C94" i="37"/>
  <c r="R46" i="47" s="1"/>
  <c r="C95" i="37" l="1"/>
  <c r="R47" i="47" s="1"/>
  <c r="O46" i="36"/>
  <c r="O47" l="1"/>
  <c r="C96" i="37"/>
  <c r="R48" i="47" s="1"/>
  <c r="O48" i="36" l="1"/>
  <c r="C97" i="37"/>
  <c r="R49" i="47" s="1"/>
  <c r="O49" i="36" l="1"/>
  <c r="C98" i="37"/>
  <c r="R50" i="47" s="1"/>
  <c r="O50" i="36" l="1"/>
  <c r="C99" i="37"/>
  <c r="R51" i="47" s="1"/>
  <c r="O51" i="36" l="1"/>
  <c r="C100" i="37"/>
  <c r="R52" i="47" s="1"/>
  <c r="O52" i="36" l="1"/>
  <c r="C101" i="37"/>
  <c r="R53" i="47" s="1"/>
  <c r="D101" i="37"/>
  <c r="I6" s="1"/>
  <c r="J6" s="1"/>
  <c r="E101" l="1"/>
  <c r="F7" s="1"/>
  <c r="G7" s="1"/>
  <c r="C102" s="1"/>
  <c r="R54" i="47" s="1"/>
  <c r="O53" i="36"/>
  <c r="O54" l="1"/>
  <c r="C103" i="37"/>
  <c r="R55" i="47" s="1"/>
  <c r="O55" i="36" l="1"/>
  <c r="C104" i="37"/>
  <c r="O56" i="36" l="1"/>
  <c r="R56" i="47"/>
  <c r="C105" i="37"/>
  <c r="C106" l="1"/>
  <c r="R58" i="47" s="1"/>
  <c r="R57"/>
  <c r="O57" i="36"/>
  <c r="O58"/>
  <c r="C107" i="37" l="1"/>
  <c r="R59" i="47" s="1"/>
  <c r="C108" i="37" l="1"/>
  <c r="R60" i="47" s="1"/>
  <c r="O59" i="36"/>
  <c r="C109" i="37"/>
  <c r="R61" i="47" s="1"/>
  <c r="O60" i="36" l="1"/>
  <c r="C110" i="37"/>
  <c r="R62" i="47" s="1"/>
  <c r="O61" i="36"/>
  <c r="C111" i="37" l="1"/>
  <c r="R63" i="47" s="1"/>
  <c r="O62" i="36"/>
  <c r="C112" i="37" l="1"/>
  <c r="R64" i="47" s="1"/>
  <c r="O63" i="36"/>
  <c r="C113" i="37" l="1"/>
  <c r="R65" i="47" s="1"/>
  <c r="O64" i="36"/>
  <c r="E113" i="37" l="1"/>
  <c r="F8" s="1"/>
  <c r="G8" s="1"/>
  <c r="D113"/>
  <c r="I7" s="1"/>
  <c r="J7" s="1"/>
  <c r="O65" i="36"/>
  <c r="C114" i="37" l="1"/>
  <c r="R66" i="47" s="1"/>
  <c r="O66" i="36" l="1"/>
  <c r="C115" i="37"/>
  <c r="R67" i="47" s="1"/>
  <c r="O67" i="36" l="1"/>
  <c r="C116" i="37"/>
  <c r="O68" i="36" l="1"/>
  <c r="R68" i="47"/>
  <c r="C117" i="37"/>
  <c r="R69" i="47" s="1"/>
  <c r="O69" i="36" l="1"/>
  <c r="C118" i="37"/>
  <c r="R70" i="47" s="1"/>
  <c r="O70" i="36" l="1"/>
  <c r="C119" i="37"/>
  <c r="O71" i="36" l="1"/>
  <c r="R71" i="47"/>
  <c r="C120" i="37"/>
  <c r="R72" i="47" s="1"/>
  <c r="C121" i="37" l="1"/>
  <c r="R73" i="47" s="1"/>
  <c r="O72" i="36"/>
  <c r="C122" i="37" l="1"/>
  <c r="R74" i="47" s="1"/>
  <c r="O73" i="36"/>
  <c r="O74" l="1"/>
  <c r="C123" i="37"/>
  <c r="R75" i="47" s="1"/>
  <c r="O75" i="36" l="1"/>
  <c r="C124" i="37"/>
  <c r="R76" i="47" s="1"/>
  <c r="O76" i="36" l="1"/>
  <c r="C125" i="37"/>
  <c r="R77" i="47" s="1"/>
  <c r="D125" i="37"/>
  <c r="I8" s="1"/>
  <c r="J8" s="1"/>
  <c r="E125" l="1"/>
  <c r="F9" s="1"/>
  <c r="G9" s="1"/>
  <c r="C126" s="1"/>
  <c r="R78" i="47" s="1"/>
  <c r="O77" i="36"/>
  <c r="O78" l="1"/>
  <c r="C127" i="37"/>
  <c r="R79" i="47" s="1"/>
  <c r="O79" i="36" l="1"/>
  <c r="C128" i="37"/>
  <c r="O80" i="36" l="1"/>
  <c r="R80" i="47"/>
  <c r="C129" i="37"/>
  <c r="O81" i="36" l="1"/>
  <c r="R81" i="47"/>
  <c r="C130" i="37"/>
  <c r="R82" i="47" s="1"/>
  <c r="O82" i="36" l="1"/>
  <c r="C131" i="37"/>
  <c r="R83" i="47" s="1"/>
  <c r="O83" i="36" l="1"/>
  <c r="C132" i="37"/>
  <c r="R84" i="47" s="1"/>
  <c r="O84" i="36" l="1"/>
  <c r="C133" i="37"/>
  <c r="R85" i="47" s="1"/>
  <c r="O85" i="36" l="1"/>
  <c r="C134" i="37"/>
  <c r="R86" i="47" s="1"/>
  <c r="O86" i="36" l="1"/>
  <c r="C135" i="37"/>
  <c r="R87" i="47" s="1"/>
  <c r="O87" i="36" l="1"/>
  <c r="C136" i="37"/>
  <c r="R88" i="47" s="1"/>
  <c r="C137" i="37" l="1"/>
  <c r="R89" i="47" s="1"/>
  <c r="O88" i="36"/>
  <c r="D137" i="37"/>
  <c r="I9" s="1"/>
  <c r="J9" s="1"/>
  <c r="O89" i="36" l="1"/>
  <c r="E137" i="37"/>
  <c r="F10" s="1"/>
  <c r="G10" s="1"/>
  <c r="C138" s="1"/>
  <c r="R90" i="47" s="1"/>
  <c r="O90" i="36" l="1"/>
  <c r="C139" i="37"/>
  <c r="R91" i="47" s="1"/>
  <c r="O91" i="36" l="1"/>
  <c r="C140" i="37"/>
  <c r="O92" i="36" l="1"/>
  <c r="R92" i="47"/>
  <c r="C141" i="37"/>
  <c r="R93" i="47" s="1"/>
  <c r="O93" i="36" l="1"/>
  <c r="C142" i="37"/>
  <c r="R94" i="47" s="1"/>
  <c r="O94" i="36" l="1"/>
  <c r="C143" i="37"/>
  <c r="C144" l="1"/>
  <c r="R96" i="47" s="1"/>
  <c r="R95"/>
  <c r="O95" i="36"/>
  <c r="O96"/>
  <c r="C145" i="37" l="1"/>
  <c r="R97" i="47" s="1"/>
  <c r="O97" i="36" l="1"/>
  <c r="C146" i="37"/>
  <c r="R98" i="47" s="1"/>
  <c r="C147" i="37" l="1"/>
  <c r="R99" i="47" s="1"/>
  <c r="O98" i="36"/>
  <c r="O99" l="1"/>
  <c r="C148" i="37"/>
  <c r="R100" i="47" s="1"/>
  <c r="O100" i="36" l="1"/>
  <c r="C149" i="37"/>
  <c r="R101" i="47" s="1"/>
  <c r="D149" i="37" l="1"/>
  <c r="I10" s="1"/>
  <c r="J10" s="1"/>
  <c r="O101" i="36"/>
  <c r="E149" i="37"/>
  <c r="F11" s="1"/>
  <c r="G11" s="1"/>
  <c r="C150" s="1"/>
  <c r="R102" i="47" s="1"/>
  <c r="O102" i="36" l="1"/>
  <c r="C151" i="37"/>
  <c r="C152" l="1"/>
  <c r="R104" i="47" s="1"/>
  <c r="R103"/>
  <c r="O103" i="36"/>
  <c r="O104" l="1"/>
  <c r="C153" i="37"/>
  <c r="R105" i="47" s="1"/>
  <c r="O105" i="36" l="1"/>
  <c r="C154" i="37"/>
  <c r="R106" i="47" s="1"/>
  <c r="O106" i="36" l="1"/>
  <c r="C155" i="37"/>
  <c r="R107" i="47" s="1"/>
  <c r="C156" i="37" l="1"/>
  <c r="R108" i="47" s="1"/>
  <c r="O107" i="36"/>
  <c r="O108" l="1"/>
  <c r="C157" i="37"/>
  <c r="R109" i="47" s="1"/>
  <c r="O109" i="36" l="1"/>
  <c r="C158" i="37"/>
  <c r="R110" i="47" s="1"/>
  <c r="O110" i="36" l="1"/>
  <c r="C159" i="37"/>
  <c r="R111" i="47" s="1"/>
  <c r="O111" i="36" l="1"/>
  <c r="C160" i="37"/>
  <c r="R112" i="47" s="1"/>
  <c r="O112" i="36" l="1"/>
  <c r="C161" i="37"/>
  <c r="R113" i="47" s="1"/>
  <c r="D161" i="37" l="1"/>
  <c r="I11" s="1"/>
  <c r="J11" s="1"/>
  <c r="O113" i="36"/>
  <c r="E161" i="37"/>
  <c r="F12" s="1"/>
  <c r="G12" s="1"/>
  <c r="C162" s="1"/>
  <c r="R114" i="47" s="1"/>
  <c r="C163" i="37" l="1"/>
  <c r="O114" i="36"/>
  <c r="C164" i="37" l="1"/>
  <c r="R116" i="47" s="1"/>
  <c r="R115"/>
  <c r="O115" i="36"/>
  <c r="C165" i="37"/>
  <c r="R117" i="47" s="1"/>
  <c r="O116" i="36"/>
  <c r="C166" i="37" l="1"/>
  <c r="R118" i="47" s="1"/>
  <c r="O117" i="36"/>
  <c r="C167" i="37" l="1"/>
  <c r="R119" i="47" s="1"/>
  <c r="O118" i="36"/>
  <c r="C168" i="37" l="1"/>
  <c r="R120" i="47" s="1"/>
  <c r="O119" i="36"/>
  <c r="C169" i="37" l="1"/>
  <c r="R121" i="47" s="1"/>
  <c r="O120" i="36"/>
  <c r="C170" i="37" l="1"/>
  <c r="R122" i="47" s="1"/>
  <c r="O121" i="36"/>
  <c r="C171" i="37" l="1"/>
  <c r="R123" i="47" s="1"/>
  <c r="O122" i="36"/>
  <c r="O123" l="1"/>
  <c r="C172" i="37"/>
  <c r="R124" i="47" s="1"/>
  <c r="C173" i="37" l="1"/>
  <c r="R125" i="47" s="1"/>
  <c r="O124" i="36"/>
  <c r="D173" i="37"/>
  <c r="I12" s="1"/>
  <c r="J12" s="1"/>
  <c r="O125" i="36" l="1"/>
  <c r="E173" i="37"/>
  <c r="F13" s="1"/>
  <c r="G13" s="1"/>
  <c r="C174" l="1"/>
  <c r="C175" l="1"/>
  <c r="O127" i="36" s="1"/>
  <c r="O126"/>
  <c r="C176" i="37" l="1"/>
  <c r="C177" s="1"/>
  <c r="O128" i="36" l="1"/>
  <c r="C178" i="37"/>
  <c r="O129" i="36"/>
  <c r="C179" i="37" l="1"/>
  <c r="O130" i="36"/>
  <c r="C180" i="37" l="1"/>
  <c r="O131" i="36"/>
  <c r="C181" i="37" l="1"/>
  <c r="O132" i="36"/>
  <c r="C182" i="37" l="1"/>
  <c r="O133" i="36"/>
  <c r="C183" i="37" l="1"/>
  <c r="O134" i="36"/>
  <c r="C184" i="37" l="1"/>
  <c r="O135" i="36"/>
  <c r="C185" i="37" l="1"/>
  <c r="O136" i="36"/>
  <c r="E185" i="37" l="1"/>
  <c r="F14" s="1"/>
  <c r="G14" s="1"/>
  <c r="O137" i="36"/>
  <c r="AC107" s="1"/>
  <c r="D185" i="37"/>
  <c r="I13" s="1"/>
  <c r="J13" s="1"/>
  <c r="C186" l="1"/>
  <c r="C187" l="1"/>
  <c r="C188" s="1"/>
  <c r="O138" i="36"/>
  <c r="O139" l="1"/>
  <c r="I107" i="45"/>
  <c r="I108"/>
  <c r="O140" i="36"/>
  <c r="C189" i="37"/>
  <c r="I109" i="45" l="1"/>
  <c r="C190" i="37"/>
  <c r="O141" i="36"/>
  <c r="I110" i="45" l="1"/>
  <c r="C191" i="37"/>
  <c r="O142" i="36"/>
  <c r="I111" i="45" l="1"/>
  <c r="C192" i="37"/>
  <c r="O143" i="36"/>
  <c r="I112" i="45" l="1"/>
  <c r="C193" i="37"/>
  <c r="O144" i="36"/>
  <c r="I113" i="45" l="1"/>
  <c r="C194" i="37"/>
  <c r="O145" i="36"/>
  <c r="I114" i="45" l="1"/>
  <c r="C195" i="37"/>
  <c r="O146" i="36"/>
  <c r="I115" i="45" l="1"/>
  <c r="C196" i="37"/>
  <c r="O147" i="36"/>
  <c r="I116" i="45" l="1"/>
  <c r="O148" i="36"/>
  <c r="C197" i="37"/>
  <c r="I117" i="45" l="1"/>
  <c r="D197" i="37"/>
  <c r="I14" s="1"/>
  <c r="E197"/>
  <c r="F15" s="1"/>
  <c r="G15" s="1"/>
  <c r="C198" s="1"/>
  <c r="C199" s="1"/>
  <c r="C200" s="1"/>
  <c r="C201" s="1"/>
  <c r="C202" s="1"/>
  <c r="C203" s="1"/>
  <c r="C204" s="1"/>
  <c r="C205" s="1"/>
  <c r="C206" s="1"/>
  <c r="C207" s="1"/>
  <c r="C208" s="1"/>
  <c r="C209" s="1"/>
  <c r="O149" i="36"/>
  <c r="B7"/>
  <c r="L7" s="1"/>
  <c r="L6"/>
  <c r="O150" l="1"/>
  <c r="I118" i="45"/>
  <c r="I16" i="37"/>
  <c r="J14"/>
  <c r="B8" i="36"/>
  <c r="O167" l="1"/>
  <c r="I125" i="45" s="1"/>
  <c r="O151" i="36"/>
  <c r="O168" s="1"/>
  <c r="I126" i="45" s="1"/>
  <c r="B9" i="36"/>
  <c r="L8"/>
  <c r="O152" l="1"/>
  <c r="O169" s="1"/>
  <c r="I127" i="45" s="1"/>
  <c r="B10" i="36"/>
  <c r="L9"/>
  <c r="O153" l="1"/>
  <c r="O170" s="1"/>
  <c r="I128" i="45" s="1"/>
  <c r="B11" i="36"/>
  <c r="L10"/>
  <c r="O154" l="1"/>
  <c r="O171" s="1"/>
  <c r="I129" i="45" s="1"/>
  <c r="B12" i="36"/>
  <c r="L11"/>
  <c r="O155" l="1"/>
  <c r="O172" s="1"/>
  <c r="I130" i="45" s="1"/>
  <c r="B13" i="36"/>
  <c r="L12"/>
  <c r="O156" l="1"/>
  <c r="O173" s="1"/>
  <c r="I131" i="45" s="1"/>
  <c r="B14" i="36"/>
  <c r="L13"/>
  <c r="O157" l="1"/>
  <c r="O174" s="1"/>
  <c r="I132" i="45" s="1"/>
  <c r="B15" i="36"/>
  <c r="L14"/>
  <c r="O158" l="1"/>
  <c r="O175" s="1"/>
  <c r="I133" i="45" s="1"/>
  <c r="B16" i="36"/>
  <c r="L15"/>
  <c r="O159" l="1"/>
  <c r="O176" s="1"/>
  <c r="I134" i="45" s="1"/>
  <c r="B17" i="36"/>
  <c r="L16"/>
  <c r="O160" l="1"/>
  <c r="O177" s="1"/>
  <c r="I135" i="45" s="1"/>
  <c r="B18" i="36"/>
  <c r="L17"/>
  <c r="E209" i="37" l="1"/>
  <c r="O161" i="36"/>
  <c r="D209" i="37"/>
  <c r="I15" s="1"/>
  <c r="J15" s="1"/>
  <c r="B19" i="36"/>
  <c r="L18"/>
  <c r="O178" l="1"/>
  <c r="I136" i="45" s="1"/>
  <c r="AB107" i="36"/>
  <c r="B20"/>
  <c r="L19"/>
  <c r="B21" l="1"/>
  <c r="L20"/>
  <c r="B22" l="1"/>
  <c r="L21"/>
  <c r="B23" l="1"/>
  <c r="L22"/>
  <c r="B24" l="1"/>
  <c r="L23"/>
  <c r="B25" l="1"/>
  <c r="L24"/>
  <c r="B26" l="1"/>
  <c r="L25"/>
  <c r="B27" l="1"/>
  <c r="L26"/>
  <c r="B28" l="1"/>
  <c r="L27"/>
  <c r="B29" l="1"/>
  <c r="L28"/>
  <c r="L29" l="1"/>
  <c r="B30"/>
  <c r="B31" l="1"/>
  <c r="L30"/>
  <c r="B32" l="1"/>
  <c r="L31"/>
  <c r="B33" l="1"/>
  <c r="L32"/>
  <c r="B34" l="1"/>
  <c r="L33"/>
  <c r="B35" l="1"/>
  <c r="L34"/>
  <c r="B36" l="1"/>
  <c r="L35"/>
  <c r="B37" l="1"/>
  <c r="L36"/>
  <c r="B38" l="1"/>
  <c r="L37"/>
  <c r="B39" l="1"/>
  <c r="L38"/>
  <c r="B40" l="1"/>
  <c r="L39"/>
  <c r="B41" l="1"/>
  <c r="L40"/>
  <c r="B42" l="1"/>
  <c r="L41"/>
  <c r="B43" l="1"/>
  <c r="L42"/>
  <c r="B44" l="1"/>
  <c r="L43"/>
  <c r="B45" l="1"/>
  <c r="L44"/>
  <c r="B46" l="1"/>
  <c r="L45"/>
  <c r="B47" l="1"/>
  <c r="L46"/>
  <c r="B48" l="1"/>
  <c r="L47"/>
  <c r="B49" l="1"/>
  <c r="L48"/>
  <c r="B50" l="1"/>
  <c r="L49"/>
  <c r="B51" l="1"/>
  <c r="L50"/>
  <c r="B52" l="1"/>
  <c r="L51"/>
  <c r="B53" l="1"/>
  <c r="L52"/>
  <c r="B54" l="1"/>
  <c r="L53"/>
  <c r="B55" l="1"/>
  <c r="L54"/>
  <c r="B56" l="1"/>
  <c r="L55"/>
  <c r="B57" l="1"/>
  <c r="L56"/>
  <c r="B58" l="1"/>
  <c r="L57"/>
  <c r="B59" l="1"/>
  <c r="L58"/>
  <c r="B60" l="1"/>
  <c r="L59"/>
  <c r="B61" l="1"/>
  <c r="L60"/>
  <c r="B62" l="1"/>
  <c r="L61"/>
  <c r="B63" l="1"/>
  <c r="L62"/>
  <c r="B64" l="1"/>
  <c r="L63"/>
  <c r="B65" l="1"/>
  <c r="L64"/>
  <c r="B66" l="1"/>
  <c r="L65"/>
  <c r="B67" l="1"/>
  <c r="L66"/>
  <c r="B68" l="1"/>
  <c r="L67"/>
  <c r="B69" l="1"/>
  <c r="L68"/>
  <c r="B70" l="1"/>
  <c r="L69"/>
  <c r="B71" l="1"/>
  <c r="L70"/>
  <c r="B72" l="1"/>
  <c r="L71"/>
  <c r="B73" l="1"/>
  <c r="L72"/>
  <c r="B74" l="1"/>
  <c r="L73"/>
  <c r="B75" l="1"/>
  <c r="L74"/>
  <c r="B76" l="1"/>
  <c r="L75"/>
  <c r="B77" l="1"/>
  <c r="L76"/>
  <c r="B78" l="1"/>
  <c r="L77"/>
  <c r="B79" l="1"/>
  <c r="L78"/>
  <c r="B80" l="1"/>
  <c r="L79"/>
  <c r="B81" l="1"/>
  <c r="L80"/>
  <c r="B82" l="1"/>
  <c r="L81"/>
  <c r="B83" l="1"/>
  <c r="L82"/>
  <c r="B84" l="1"/>
  <c r="L83"/>
  <c r="B85" l="1"/>
  <c r="L84"/>
  <c r="B86" l="1"/>
  <c r="L85"/>
  <c r="B87" l="1"/>
  <c r="L86"/>
  <c r="B88" l="1"/>
  <c r="L87"/>
  <c r="B89" l="1"/>
  <c r="L88"/>
  <c r="B90" l="1"/>
  <c r="L89"/>
  <c r="B91" l="1"/>
  <c r="L90"/>
  <c r="B92" l="1"/>
  <c r="L91"/>
  <c r="B93" l="1"/>
  <c r="L92"/>
  <c r="B94" l="1"/>
  <c r="L93"/>
  <c r="B95" l="1"/>
  <c r="L94"/>
  <c r="B96" l="1"/>
  <c r="L95"/>
  <c r="B97" l="1"/>
  <c r="L96"/>
  <c r="B98" l="1"/>
  <c r="L97"/>
  <c r="B99" l="1"/>
  <c r="L98"/>
  <c r="B100" l="1"/>
  <c r="L99"/>
  <c r="B101" l="1"/>
  <c r="L100"/>
  <c r="B102" l="1"/>
  <c r="L101"/>
  <c r="B103" l="1"/>
  <c r="L102"/>
  <c r="B104" l="1"/>
  <c r="L103"/>
  <c r="B105" l="1"/>
  <c r="L104"/>
  <c r="B106" l="1"/>
  <c r="L105"/>
  <c r="B107" l="1"/>
  <c r="L106"/>
  <c r="B108" l="1"/>
  <c r="L107"/>
  <c r="B109" l="1"/>
  <c r="L108"/>
  <c r="B110" l="1"/>
  <c r="L109"/>
  <c r="B111" l="1"/>
  <c r="L110"/>
  <c r="B112" l="1"/>
  <c r="L111"/>
  <c r="B113" l="1"/>
  <c r="L112"/>
  <c r="B114" l="1"/>
  <c r="L113"/>
  <c r="B115" l="1"/>
  <c r="L114"/>
  <c r="B116" l="1"/>
  <c r="L115"/>
  <c r="B117" l="1"/>
  <c r="L116"/>
  <c r="B118" l="1"/>
  <c r="L117"/>
  <c r="B119" l="1"/>
  <c r="L118"/>
  <c r="B120" l="1"/>
  <c r="L119"/>
  <c r="B121" l="1"/>
  <c r="L120"/>
  <c r="B122" l="1"/>
  <c r="L121"/>
  <c r="B123" l="1"/>
  <c r="L122"/>
  <c r="B124" l="1"/>
  <c r="L123"/>
  <c r="B125" l="1"/>
  <c r="L124"/>
  <c r="B126" l="1"/>
  <c r="L125"/>
  <c r="B127" l="1"/>
  <c r="L126"/>
  <c r="B128" l="1"/>
  <c r="L127"/>
  <c r="B129" l="1"/>
  <c r="L128"/>
  <c r="B130" l="1"/>
  <c r="L129"/>
  <c r="B131" l="1"/>
  <c r="L131" s="1"/>
  <c r="L130"/>
  <c r="B132" l="1"/>
  <c r="B133" l="1"/>
  <c r="L132"/>
  <c r="B134" l="1"/>
  <c r="L133"/>
  <c r="B135" l="1"/>
  <c r="L134"/>
  <c r="B136" l="1"/>
  <c r="L135"/>
  <c r="B137" l="1"/>
  <c r="L136"/>
  <c r="B138" l="1"/>
  <c r="L137"/>
  <c r="AC104" s="1"/>
  <c r="B167" l="1"/>
  <c r="L138"/>
  <c r="U138" s="1"/>
  <c r="B139"/>
  <c r="B168" s="1"/>
  <c r="V138" l="1"/>
  <c r="W138" s="1"/>
  <c r="X138" s="1"/>
  <c r="F107" i="45"/>
  <c r="B140" i="36"/>
  <c r="B169" s="1"/>
  <c r="L139"/>
  <c r="F108" i="45" l="1"/>
  <c r="B141" i="36"/>
  <c r="B170" s="1"/>
  <c r="L140"/>
  <c r="F109" i="45" l="1"/>
  <c r="B142" i="36"/>
  <c r="B171" s="1"/>
  <c r="L141"/>
  <c r="U141" s="1"/>
  <c r="V141" s="1"/>
  <c r="W141" s="1"/>
  <c r="X141" s="1"/>
  <c r="F110" i="45" l="1"/>
  <c r="B143" i="36"/>
  <c r="B172" s="1"/>
  <c r="L142"/>
  <c r="U142" s="1"/>
  <c r="V142" s="1"/>
  <c r="W142" s="1"/>
  <c r="X142" s="1"/>
  <c r="F111" i="45" l="1"/>
  <c r="B144" i="36"/>
  <c r="B173" s="1"/>
  <c r="L143"/>
  <c r="U143" s="1"/>
  <c r="V143" s="1"/>
  <c r="W143" s="1"/>
  <c r="X143" s="1"/>
  <c r="F112" i="45" l="1"/>
  <c r="B145" i="36"/>
  <c r="B174" s="1"/>
  <c r="L144"/>
  <c r="U144" s="1"/>
  <c r="V144" s="1"/>
  <c r="W144" s="1"/>
  <c r="X144" s="1"/>
  <c r="F113" i="45" l="1"/>
  <c r="B146" i="36"/>
  <c r="B175" s="1"/>
  <c r="L145"/>
  <c r="U145" s="1"/>
  <c r="V145" s="1"/>
  <c r="W145" s="1"/>
  <c r="X145" s="1"/>
  <c r="F114" i="45" l="1"/>
  <c r="B147" i="36"/>
  <c r="B176" s="1"/>
  <c r="L146"/>
  <c r="U146" s="1"/>
  <c r="V146" s="1"/>
  <c r="W146" s="1"/>
  <c r="X146" s="1"/>
  <c r="F115" i="45" l="1"/>
  <c r="B148" i="36"/>
  <c r="B177" s="1"/>
  <c r="L147"/>
  <c r="U147" s="1"/>
  <c r="V147" s="1"/>
  <c r="W147" s="1"/>
  <c r="X147" s="1"/>
  <c r="F116" i="45" l="1"/>
  <c r="B149" i="36"/>
  <c r="B150" s="1"/>
  <c r="L148"/>
  <c r="U148" s="1"/>
  <c r="V148" s="1"/>
  <c r="W148" s="1"/>
  <c r="X148" s="1"/>
  <c r="B151" l="1"/>
  <c r="L150"/>
  <c r="F117" i="45"/>
  <c r="L149" i="36"/>
  <c r="U149" s="1"/>
  <c r="V149" s="1"/>
  <c r="W149" s="1"/>
  <c r="X149" s="1"/>
  <c r="B178"/>
  <c r="K114"/>
  <c r="K115"/>
  <c r="K116"/>
  <c r="K117"/>
  <c r="K118"/>
  <c r="K119"/>
  <c r="K120"/>
  <c r="K121"/>
  <c r="K122"/>
  <c r="K123"/>
  <c r="K124"/>
  <c r="K125"/>
  <c r="J114"/>
  <c r="J115"/>
  <c r="J116"/>
  <c r="J117"/>
  <c r="J118"/>
  <c r="J119"/>
  <c r="J120"/>
  <c r="J121"/>
  <c r="J122"/>
  <c r="J123"/>
  <c r="J124"/>
  <c r="J125"/>
  <c r="K102"/>
  <c r="K103"/>
  <c r="K104"/>
  <c r="K105"/>
  <c r="K106"/>
  <c r="K107"/>
  <c r="K108"/>
  <c r="K109"/>
  <c r="K110"/>
  <c r="K111"/>
  <c r="K112"/>
  <c r="K113"/>
  <c r="J102"/>
  <c r="J103"/>
  <c r="J104"/>
  <c r="J105"/>
  <c r="J106"/>
  <c r="J107"/>
  <c r="J108"/>
  <c r="J109"/>
  <c r="J110"/>
  <c r="J111"/>
  <c r="J112"/>
  <c r="J113"/>
  <c r="K90"/>
  <c r="K91"/>
  <c r="K92"/>
  <c r="K93"/>
  <c r="K94"/>
  <c r="K95"/>
  <c r="K96"/>
  <c r="K97"/>
  <c r="K98"/>
  <c r="K99"/>
  <c r="K100"/>
  <c r="K101"/>
  <c r="J90"/>
  <c r="J91"/>
  <c r="J92"/>
  <c r="J93"/>
  <c r="J94"/>
  <c r="J95"/>
  <c r="J96"/>
  <c r="J97"/>
  <c r="J98"/>
  <c r="J99"/>
  <c r="J100"/>
  <c r="J101"/>
  <c r="K89"/>
  <c r="K88"/>
  <c r="K87"/>
  <c r="K86"/>
  <c r="K85"/>
  <c r="K84"/>
  <c r="K83"/>
  <c r="K82"/>
  <c r="K81"/>
  <c r="K80"/>
  <c r="K79"/>
  <c r="K78"/>
  <c r="J78"/>
  <c r="J79"/>
  <c r="J80"/>
  <c r="J81"/>
  <c r="J82"/>
  <c r="J83"/>
  <c r="J84"/>
  <c r="J85"/>
  <c r="J86"/>
  <c r="J87"/>
  <c r="J88"/>
  <c r="J89"/>
  <c r="K66"/>
  <c r="K67"/>
  <c r="K68"/>
  <c r="K69"/>
  <c r="K70"/>
  <c r="K71"/>
  <c r="K72"/>
  <c r="K73"/>
  <c r="K74"/>
  <c r="K75"/>
  <c r="K76"/>
  <c r="K77"/>
  <c r="J66"/>
  <c r="J67"/>
  <c r="J68"/>
  <c r="J69"/>
  <c r="J70"/>
  <c r="J71"/>
  <c r="J72"/>
  <c r="J73"/>
  <c r="J74"/>
  <c r="J75"/>
  <c r="J76"/>
  <c r="J77"/>
  <c r="K54"/>
  <c r="K55"/>
  <c r="K56"/>
  <c r="K57"/>
  <c r="K58"/>
  <c r="K59"/>
  <c r="K60"/>
  <c r="K61"/>
  <c r="K62"/>
  <c r="K63"/>
  <c r="K64"/>
  <c r="K65"/>
  <c r="J54"/>
  <c r="J55"/>
  <c r="J56"/>
  <c r="J57"/>
  <c r="J58"/>
  <c r="J59"/>
  <c r="J60"/>
  <c r="J61"/>
  <c r="J62"/>
  <c r="J63"/>
  <c r="J64"/>
  <c r="J65"/>
  <c r="K42"/>
  <c r="K43"/>
  <c r="K44"/>
  <c r="K45"/>
  <c r="K46"/>
  <c r="K47"/>
  <c r="K48"/>
  <c r="K49"/>
  <c r="K50"/>
  <c r="K51"/>
  <c r="K52"/>
  <c r="K53"/>
  <c r="J42"/>
  <c r="U42" s="1"/>
  <c r="J43"/>
  <c r="J44"/>
  <c r="J45"/>
  <c r="J46"/>
  <c r="J47"/>
  <c r="J48"/>
  <c r="J49"/>
  <c r="J50"/>
  <c r="J51"/>
  <c r="U51" s="1"/>
  <c r="J52"/>
  <c r="J53"/>
  <c r="K30"/>
  <c r="K31"/>
  <c r="K32"/>
  <c r="K33"/>
  <c r="K34"/>
  <c r="K35"/>
  <c r="K36"/>
  <c r="K37"/>
  <c r="K38"/>
  <c r="K39"/>
  <c r="K40"/>
  <c r="K41"/>
  <c r="J30"/>
  <c r="J31"/>
  <c r="J32"/>
  <c r="J33"/>
  <c r="J34"/>
  <c r="J35"/>
  <c r="J36"/>
  <c r="J37"/>
  <c r="J38"/>
  <c r="J39"/>
  <c r="J40"/>
  <c r="J41"/>
  <c r="K18"/>
  <c r="K19"/>
  <c r="K20"/>
  <c r="K21"/>
  <c r="K22"/>
  <c r="K23"/>
  <c r="K24"/>
  <c r="K25"/>
  <c r="K26"/>
  <c r="K27"/>
  <c r="K28"/>
  <c r="K29"/>
  <c r="J18"/>
  <c r="J19"/>
  <c r="J20"/>
  <c r="J21"/>
  <c r="J22"/>
  <c r="J23"/>
  <c r="J24"/>
  <c r="J25"/>
  <c r="J26"/>
  <c r="J27"/>
  <c r="J28"/>
  <c r="J29"/>
  <c r="K6"/>
  <c r="K7"/>
  <c r="K8"/>
  <c r="K9"/>
  <c r="K10"/>
  <c r="K11"/>
  <c r="K12"/>
  <c r="K13"/>
  <c r="K14"/>
  <c r="K15"/>
  <c r="K16"/>
  <c r="K17"/>
  <c r="J6"/>
  <c r="J7"/>
  <c r="J8"/>
  <c r="J9"/>
  <c r="J10"/>
  <c r="J11"/>
  <c r="J12"/>
  <c r="U12" s="1"/>
  <c r="J13"/>
  <c r="U13" s="1"/>
  <c r="J14"/>
  <c r="J15"/>
  <c r="U15" s="1"/>
  <c r="J16"/>
  <c r="U16" s="1"/>
  <c r="J17"/>
  <c r="U150" l="1"/>
  <c r="L167"/>
  <c r="B152"/>
  <c r="L151"/>
  <c r="U14"/>
  <c r="F118" i="45"/>
  <c r="U18" i="36"/>
  <c r="U6"/>
  <c r="U50"/>
  <c r="U11"/>
  <c r="U52"/>
  <c r="U49"/>
  <c r="U53"/>
  <c r="U48"/>
  <c r="U47"/>
  <c r="U46"/>
  <c r="U9"/>
  <c r="U17"/>
  <c r="U45"/>
  <c r="U10"/>
  <c r="J118" i="45"/>
  <c r="U137" i="36"/>
  <c r="V137" s="1"/>
  <c r="W137" s="1"/>
  <c r="X137" s="1"/>
  <c r="J114" i="45"/>
  <c r="U133" i="36"/>
  <c r="V133" s="1"/>
  <c r="W133" s="1"/>
  <c r="X133" s="1"/>
  <c r="J110" i="45"/>
  <c r="J117"/>
  <c r="U136" i="36"/>
  <c r="V136" s="1"/>
  <c r="W136" s="1"/>
  <c r="X136" s="1"/>
  <c r="J113" i="45"/>
  <c r="U132" i="36"/>
  <c r="V132" s="1"/>
  <c r="W132" s="1"/>
  <c r="X132" s="1"/>
  <c r="U128"/>
  <c r="V128" s="1"/>
  <c r="W128" s="1"/>
  <c r="X128" s="1"/>
  <c r="J116" i="45"/>
  <c r="U135" i="36"/>
  <c r="V135" s="1"/>
  <c r="W135" s="1"/>
  <c r="X135" s="1"/>
  <c r="J112" i="45"/>
  <c r="U131" i="36"/>
  <c r="V131" s="1"/>
  <c r="W131" s="1"/>
  <c r="X131" s="1"/>
  <c r="J115" i="45"/>
  <c r="U134" i="36"/>
  <c r="V134" s="1"/>
  <c r="W134" s="1"/>
  <c r="X134" s="1"/>
  <c r="J111" i="45"/>
  <c r="U130" i="36"/>
  <c r="V130" s="1"/>
  <c r="W130" s="1"/>
  <c r="X130" s="1"/>
  <c r="U126"/>
  <c r="U167" l="1"/>
  <c r="J125" i="45" s="1"/>
  <c r="F125"/>
  <c r="U151" i="36"/>
  <c r="L168"/>
  <c r="B153"/>
  <c r="L152"/>
  <c r="J107" i="45"/>
  <c r="V126" i="36"/>
  <c r="W126" s="1"/>
  <c r="X126" s="1"/>
  <c r="Y19" i="32"/>
  <c r="Y37"/>
  <c r="U152" i="36" l="1"/>
  <c r="L169"/>
  <c r="F127" i="45" s="1"/>
  <c r="U168" i="36"/>
  <c r="F126" i="45"/>
  <c r="B154" i="36"/>
  <c r="L153"/>
  <c r="AE107"/>
  <c r="AE106"/>
  <c r="H77"/>
  <c r="H76" i="45" s="1"/>
  <c r="AE105" i="36"/>
  <c r="H76"/>
  <c r="H75" i="45" s="1"/>
  <c r="AE104" i="36"/>
  <c r="H75"/>
  <c r="H74" i="45" s="1"/>
  <c r="AE103" i="36"/>
  <c r="H74"/>
  <c r="H73" i="45" s="1"/>
  <c r="AE102" i="36"/>
  <c r="H73"/>
  <c r="H72" i="45" s="1"/>
  <c r="H72" i="36"/>
  <c r="H71" i="45" s="1"/>
  <c r="H71" i="36"/>
  <c r="H70" i="45" s="1"/>
  <c r="H70" i="36"/>
  <c r="H69" i="45" s="1"/>
  <c r="H69" i="36"/>
  <c r="H68" i="45" s="1"/>
  <c r="H68" i="36"/>
  <c r="H67" i="45" s="1"/>
  <c r="H67" i="36"/>
  <c r="H66" i="45" s="1"/>
  <c r="H66" i="36"/>
  <c r="H65" i="45" s="1"/>
  <c r="H65" i="36"/>
  <c r="G76" i="45" s="1"/>
  <c r="H64" i="36"/>
  <c r="G75" i="45" s="1"/>
  <c r="H63" i="36"/>
  <c r="G74" i="45" s="1"/>
  <c r="H62" i="36"/>
  <c r="G73" i="45" s="1"/>
  <c r="H61" i="36"/>
  <c r="G72" i="45" s="1"/>
  <c r="H60" i="36"/>
  <c r="G71" i="45" s="1"/>
  <c r="H59" i="36"/>
  <c r="G70" i="45" s="1"/>
  <c r="H58" i="36"/>
  <c r="G69" i="45" s="1"/>
  <c r="H57" i="36"/>
  <c r="G68" i="45" s="1"/>
  <c r="H56" i="36"/>
  <c r="G67" i="45" s="1"/>
  <c r="H55" i="36"/>
  <c r="G66" i="45" s="1"/>
  <c r="H54" i="36"/>
  <c r="G65" i="45" s="1"/>
  <c r="H53" i="36"/>
  <c r="F76" i="45" s="1"/>
  <c r="H52" i="36"/>
  <c r="F75" i="45" s="1"/>
  <c r="H51" i="36"/>
  <c r="F74" i="45" s="1"/>
  <c r="H50" i="36"/>
  <c r="F73" i="45" s="1"/>
  <c r="H49" i="36"/>
  <c r="F72" i="45" s="1"/>
  <c r="H48" i="36"/>
  <c r="F71" i="45" s="1"/>
  <c r="H47" i="36"/>
  <c r="F70" i="45" s="1"/>
  <c r="H46" i="36"/>
  <c r="F69" i="45" s="1"/>
  <c r="H45" i="36"/>
  <c r="F68" i="45" s="1"/>
  <c r="H44" i="36"/>
  <c r="F67" i="45" s="1"/>
  <c r="H43" i="36"/>
  <c r="F66" i="45" s="1"/>
  <c r="H42" i="36"/>
  <c r="F65" i="45" s="1"/>
  <c r="H41" i="36"/>
  <c r="E76" i="45" s="1"/>
  <c r="H40" i="36"/>
  <c r="E75" i="45" s="1"/>
  <c r="H39" i="36"/>
  <c r="E74" i="45" s="1"/>
  <c r="AJ40" i="36"/>
  <c r="H38"/>
  <c r="E73" i="45" s="1"/>
  <c r="H37" i="36"/>
  <c r="E72" i="45" s="1"/>
  <c r="H36" i="36"/>
  <c r="E71" i="45" s="1"/>
  <c r="AJ37" i="36"/>
  <c r="H35"/>
  <c r="E70" i="45" s="1"/>
  <c r="H34" i="36"/>
  <c r="E69" i="45" s="1"/>
  <c r="AJ35" i="36"/>
  <c r="H33"/>
  <c r="E68" i="45" s="1"/>
  <c r="H32" i="36"/>
  <c r="E67" i="45" s="1"/>
  <c r="H31" i="36"/>
  <c r="E66" i="45" s="1"/>
  <c r="H30" i="36"/>
  <c r="E65" i="45" s="1"/>
  <c r="H29" i="36"/>
  <c r="D76" i="45" s="1"/>
  <c r="H28" i="36"/>
  <c r="D75" i="45" s="1"/>
  <c r="H27" i="36"/>
  <c r="D74" i="45" s="1"/>
  <c r="H26" i="36"/>
  <c r="D73" i="45" s="1"/>
  <c r="H25" i="36"/>
  <c r="D72" i="45" s="1"/>
  <c r="H24" i="36"/>
  <c r="D71" i="45" s="1"/>
  <c r="H23" i="36"/>
  <c r="D70" i="45" s="1"/>
  <c r="H22" i="36"/>
  <c r="D69" i="45" s="1"/>
  <c r="H21" i="36"/>
  <c r="D68" i="45" s="1"/>
  <c r="H20" i="36"/>
  <c r="D67" i="45" s="1"/>
  <c r="H19" i="36"/>
  <c r="D66" i="45" s="1"/>
  <c r="U153" i="36" l="1"/>
  <c r="L170"/>
  <c r="N68" i="45"/>
  <c r="B155" i="36"/>
  <c r="L154"/>
  <c r="N71" i="45"/>
  <c r="N67"/>
  <c r="N75"/>
  <c r="N72"/>
  <c r="N76"/>
  <c r="N65"/>
  <c r="F77"/>
  <c r="N69"/>
  <c r="N73"/>
  <c r="G77"/>
  <c r="H77"/>
  <c r="E77"/>
  <c r="N66"/>
  <c r="N70"/>
  <c r="N74"/>
  <c r="AC39" i="36"/>
  <c r="AC38"/>
  <c r="H92"/>
  <c r="H96"/>
  <c r="H100"/>
  <c r="H90"/>
  <c r="AC37"/>
  <c r="H94"/>
  <c r="H98"/>
  <c r="H91"/>
  <c r="H95"/>
  <c r="H99"/>
  <c r="AC36"/>
  <c r="H93"/>
  <c r="H97"/>
  <c r="H101"/>
  <c r="U154" l="1"/>
  <c r="L171"/>
  <c r="U170"/>
  <c r="J128" i="45" s="1"/>
  <c r="F128"/>
  <c r="B156" i="36"/>
  <c r="L155"/>
  <c r="N77" i="45"/>
  <c r="J69"/>
  <c r="P69" s="1"/>
  <c r="J76"/>
  <c r="P76" s="1"/>
  <c r="J67"/>
  <c r="P67" s="1"/>
  <c r="J68"/>
  <c r="P68" s="1"/>
  <c r="J75"/>
  <c r="P75" s="1"/>
  <c r="J71"/>
  <c r="P71" s="1"/>
  <c r="J66"/>
  <c r="P66" s="1"/>
  <c r="J72"/>
  <c r="P72" s="1"/>
  <c r="J65"/>
  <c r="P65" s="1"/>
  <c r="J74"/>
  <c r="P74" s="1"/>
  <c r="J70"/>
  <c r="P70" s="1"/>
  <c r="J73"/>
  <c r="P73" s="1"/>
  <c r="F78"/>
  <c r="B5" i="38"/>
  <c r="B7"/>
  <c r="B6"/>
  <c r="B8"/>
  <c r="AD105" i="36"/>
  <c r="AF105" s="1"/>
  <c r="AC41"/>
  <c r="AC42"/>
  <c r="AD103"/>
  <c r="AF103" s="1"/>
  <c r="AD102"/>
  <c r="AF102" s="1"/>
  <c r="U155" l="1"/>
  <c r="L172"/>
  <c r="U171"/>
  <c r="J129" i="45" s="1"/>
  <c r="F129"/>
  <c r="B157" i="36"/>
  <c r="L156"/>
  <c r="J77" i="45"/>
  <c r="P77" s="1"/>
  <c r="C8" i="38"/>
  <c r="C7"/>
  <c r="K69" i="37" s="1"/>
  <c r="C6" i="38"/>
  <c r="K68" i="37" s="1"/>
  <c r="C5" i="38"/>
  <c r="K67" i="37" s="1"/>
  <c r="B11" i="38"/>
  <c r="B10"/>
  <c r="U156" i="36" l="1"/>
  <c r="L173"/>
  <c r="U172"/>
  <c r="J130" i="45" s="1"/>
  <c r="F130"/>
  <c r="B158" i="36"/>
  <c r="L157"/>
  <c r="K70" i="37"/>
  <c r="G118" s="1"/>
  <c r="G78"/>
  <c r="G79"/>
  <c r="G80"/>
  <c r="G81"/>
  <c r="G82"/>
  <c r="G83"/>
  <c r="G84"/>
  <c r="G85"/>
  <c r="G86"/>
  <c r="G87"/>
  <c r="G88"/>
  <c r="G89"/>
  <c r="G90"/>
  <c r="G91"/>
  <c r="G92"/>
  <c r="G93"/>
  <c r="G94"/>
  <c r="G95"/>
  <c r="G96"/>
  <c r="G97"/>
  <c r="G98"/>
  <c r="G99"/>
  <c r="G100"/>
  <c r="G101"/>
  <c r="G102"/>
  <c r="G103"/>
  <c r="G104"/>
  <c r="G105"/>
  <c r="G106"/>
  <c r="G107"/>
  <c r="G108"/>
  <c r="G109"/>
  <c r="G110"/>
  <c r="G111"/>
  <c r="G112"/>
  <c r="G113"/>
  <c r="C10" i="38"/>
  <c r="C11"/>
  <c r="K73" i="37" s="1"/>
  <c r="U157" i="36" l="1"/>
  <c r="L174"/>
  <c r="U173"/>
  <c r="J131" i="45" s="1"/>
  <c r="F131"/>
  <c r="G117" i="37"/>
  <c r="K72"/>
  <c r="G140" s="1"/>
  <c r="G122"/>
  <c r="G123"/>
  <c r="G119"/>
  <c r="G114"/>
  <c r="G125"/>
  <c r="G121"/>
  <c r="G116"/>
  <c r="G124"/>
  <c r="G120"/>
  <c r="G115"/>
  <c r="B159" i="36"/>
  <c r="L158"/>
  <c r="U70"/>
  <c r="V70" s="1"/>
  <c r="W70" s="1"/>
  <c r="X70" s="1"/>
  <c r="V46"/>
  <c r="W46" s="1"/>
  <c r="X46" s="1"/>
  <c r="U38"/>
  <c r="V38" s="1"/>
  <c r="W38" s="1"/>
  <c r="X38" s="1"/>
  <c r="U77"/>
  <c r="V77" s="1"/>
  <c r="W77" s="1"/>
  <c r="X77" s="1"/>
  <c r="U73"/>
  <c r="V73" s="1"/>
  <c r="W73" s="1"/>
  <c r="X73" s="1"/>
  <c r="U65"/>
  <c r="V65" s="1"/>
  <c r="W65" s="1"/>
  <c r="X65" s="1"/>
  <c r="U61"/>
  <c r="V61" s="1"/>
  <c r="W61" s="1"/>
  <c r="X61" s="1"/>
  <c r="V53"/>
  <c r="W53" s="1"/>
  <c r="X53" s="1"/>
  <c r="V49"/>
  <c r="W49" s="1"/>
  <c r="X49" s="1"/>
  <c r="V45"/>
  <c r="W45" s="1"/>
  <c r="X45" s="1"/>
  <c r="U41"/>
  <c r="V41" s="1"/>
  <c r="W41" s="1"/>
  <c r="X41" s="1"/>
  <c r="U37"/>
  <c r="V37" s="1"/>
  <c r="W37" s="1"/>
  <c r="X37" s="1"/>
  <c r="U74"/>
  <c r="V74" s="1"/>
  <c r="W74" s="1"/>
  <c r="X74" s="1"/>
  <c r="U62"/>
  <c r="V62" s="1"/>
  <c r="W62" s="1"/>
  <c r="X62" s="1"/>
  <c r="U34"/>
  <c r="V34" s="1"/>
  <c r="W34" s="1"/>
  <c r="X34" s="1"/>
  <c r="U76"/>
  <c r="V76" s="1"/>
  <c r="W76" s="1"/>
  <c r="X76" s="1"/>
  <c r="U72"/>
  <c r="V72" s="1"/>
  <c r="W72" s="1"/>
  <c r="X72" s="1"/>
  <c r="U68"/>
  <c r="V68" s="1"/>
  <c r="W68" s="1"/>
  <c r="X68" s="1"/>
  <c r="U64"/>
  <c r="V64" s="1"/>
  <c r="W64" s="1"/>
  <c r="X64" s="1"/>
  <c r="U60"/>
  <c r="V60" s="1"/>
  <c r="W60" s="1"/>
  <c r="X60" s="1"/>
  <c r="U56"/>
  <c r="V56" s="1"/>
  <c r="W56" s="1"/>
  <c r="X56" s="1"/>
  <c r="V52"/>
  <c r="W52" s="1"/>
  <c r="X52" s="1"/>
  <c r="V48"/>
  <c r="W48" s="1"/>
  <c r="X48" s="1"/>
  <c r="U40"/>
  <c r="V40" s="1"/>
  <c r="W40" s="1"/>
  <c r="X40" s="1"/>
  <c r="U36"/>
  <c r="V36" s="1"/>
  <c r="W36" s="1"/>
  <c r="X36" s="1"/>
  <c r="U32"/>
  <c r="V32" s="1"/>
  <c r="W32" s="1"/>
  <c r="X32" s="1"/>
  <c r="U58"/>
  <c r="V58" s="1"/>
  <c r="W58" s="1"/>
  <c r="X58" s="1"/>
  <c r="V50"/>
  <c r="W50" s="1"/>
  <c r="X50" s="1"/>
  <c r="U75"/>
  <c r="V75" s="1"/>
  <c r="W75" s="1"/>
  <c r="X75" s="1"/>
  <c r="U71"/>
  <c r="V71" s="1"/>
  <c r="W71" s="1"/>
  <c r="X71" s="1"/>
  <c r="U63"/>
  <c r="V63" s="1"/>
  <c r="W63" s="1"/>
  <c r="X63" s="1"/>
  <c r="U59"/>
  <c r="V59" s="1"/>
  <c r="W59" s="1"/>
  <c r="X59" s="1"/>
  <c r="V51"/>
  <c r="W51" s="1"/>
  <c r="X51" s="1"/>
  <c r="V47"/>
  <c r="W47" s="1"/>
  <c r="X47" s="1"/>
  <c r="U39"/>
  <c r="V39" s="1"/>
  <c r="W39" s="1"/>
  <c r="X39" s="1"/>
  <c r="U35"/>
  <c r="V35" s="1"/>
  <c r="W35" s="1"/>
  <c r="X35" s="1"/>
  <c r="G141" i="37"/>
  <c r="G146"/>
  <c r="G149"/>
  <c r="G150"/>
  <c r="G151"/>
  <c r="G152"/>
  <c r="G153"/>
  <c r="G154"/>
  <c r="G155"/>
  <c r="G156"/>
  <c r="G157"/>
  <c r="G158"/>
  <c r="G159"/>
  <c r="G160"/>
  <c r="G161"/>
  <c r="U66" i="36"/>
  <c r="U54"/>
  <c r="H113" i="37"/>
  <c r="I113" s="1"/>
  <c r="H101"/>
  <c r="I101" s="1"/>
  <c r="U30" i="36"/>
  <c r="H89" i="37"/>
  <c r="I89" s="1"/>
  <c r="G142" l="1"/>
  <c r="G145"/>
  <c r="U158" i="36"/>
  <c r="L175"/>
  <c r="U174"/>
  <c r="J132" i="45" s="1"/>
  <c r="F132"/>
  <c r="G147" i="37"/>
  <c r="G143"/>
  <c r="G139"/>
  <c r="G138"/>
  <c r="G148"/>
  <c r="G144"/>
  <c r="H125"/>
  <c r="I125" s="1"/>
  <c r="B160" i="36"/>
  <c r="L159"/>
  <c r="U85"/>
  <c r="U121"/>
  <c r="U97"/>
  <c r="V97" s="1"/>
  <c r="W97" s="1"/>
  <c r="X97" s="1"/>
  <c r="U88"/>
  <c r="U84"/>
  <c r="U80"/>
  <c r="U112"/>
  <c r="V112" s="1"/>
  <c r="W112" s="1"/>
  <c r="X112" s="1"/>
  <c r="U108"/>
  <c r="V108" s="1"/>
  <c r="W108" s="1"/>
  <c r="X108" s="1"/>
  <c r="U104"/>
  <c r="V104" s="1"/>
  <c r="W104" s="1"/>
  <c r="X104" s="1"/>
  <c r="U28"/>
  <c r="V28" s="1"/>
  <c r="W28" s="1"/>
  <c r="X28" s="1"/>
  <c r="U24"/>
  <c r="V24" s="1"/>
  <c r="W24" s="1"/>
  <c r="X24" s="1"/>
  <c r="U20"/>
  <c r="V20" s="1"/>
  <c r="W20" s="1"/>
  <c r="X20" s="1"/>
  <c r="U124"/>
  <c r="U120"/>
  <c r="U116"/>
  <c r="U100"/>
  <c r="V100" s="1"/>
  <c r="W100" s="1"/>
  <c r="X100" s="1"/>
  <c r="U96"/>
  <c r="V96" s="1"/>
  <c r="W96" s="1"/>
  <c r="X96" s="1"/>
  <c r="U92"/>
  <c r="V92" s="1"/>
  <c r="W92" s="1"/>
  <c r="X92" s="1"/>
  <c r="U89"/>
  <c r="U113"/>
  <c r="V113" s="1"/>
  <c r="W113" s="1"/>
  <c r="X113" s="1"/>
  <c r="U29"/>
  <c r="V29" s="1"/>
  <c r="W29" s="1"/>
  <c r="X29" s="1"/>
  <c r="U125"/>
  <c r="U101"/>
  <c r="V101" s="1"/>
  <c r="W101" s="1"/>
  <c r="X101" s="1"/>
  <c r="U87"/>
  <c r="U83"/>
  <c r="U111"/>
  <c r="V111" s="1"/>
  <c r="W111" s="1"/>
  <c r="X111" s="1"/>
  <c r="U107"/>
  <c r="V107" s="1"/>
  <c r="W107" s="1"/>
  <c r="X107" s="1"/>
  <c r="U27"/>
  <c r="V27" s="1"/>
  <c r="W27" s="1"/>
  <c r="X27" s="1"/>
  <c r="U23"/>
  <c r="V23" s="1"/>
  <c r="W23" s="1"/>
  <c r="X23" s="1"/>
  <c r="U123"/>
  <c r="U119"/>
  <c r="U99"/>
  <c r="V99" s="1"/>
  <c r="W99" s="1"/>
  <c r="X99" s="1"/>
  <c r="U95"/>
  <c r="V95" s="1"/>
  <c r="W95" s="1"/>
  <c r="X95" s="1"/>
  <c r="U109"/>
  <c r="V109" s="1"/>
  <c r="W109" s="1"/>
  <c r="X109" s="1"/>
  <c r="U25"/>
  <c r="V25" s="1"/>
  <c r="W25" s="1"/>
  <c r="X25" s="1"/>
  <c r="U86"/>
  <c r="U82"/>
  <c r="U110"/>
  <c r="V110" s="1"/>
  <c r="W110" s="1"/>
  <c r="X110" s="1"/>
  <c r="U106"/>
  <c r="V106" s="1"/>
  <c r="W106" s="1"/>
  <c r="X106" s="1"/>
  <c r="U26"/>
  <c r="V26" s="1"/>
  <c r="W26" s="1"/>
  <c r="X26" s="1"/>
  <c r="U22"/>
  <c r="V22" s="1"/>
  <c r="W22" s="1"/>
  <c r="X22" s="1"/>
  <c r="U122"/>
  <c r="U118"/>
  <c r="U98"/>
  <c r="V98" s="1"/>
  <c r="W98" s="1"/>
  <c r="X98" s="1"/>
  <c r="U94"/>
  <c r="V94" s="1"/>
  <c r="W94" s="1"/>
  <c r="X94" s="1"/>
  <c r="V30"/>
  <c r="W30" s="1"/>
  <c r="X30" s="1"/>
  <c r="V54"/>
  <c r="W54" s="1"/>
  <c r="X54" s="1"/>
  <c r="V42"/>
  <c r="W42" s="1"/>
  <c r="X42" s="1"/>
  <c r="V66"/>
  <c r="W66" s="1"/>
  <c r="X66" s="1"/>
  <c r="U78"/>
  <c r="U102"/>
  <c r="H161" i="37"/>
  <c r="I161" s="1"/>
  <c r="U90" i="36"/>
  <c r="H149" i="37" l="1"/>
  <c r="I149" s="1"/>
  <c r="U175" i="36"/>
  <c r="J133" i="45" s="1"/>
  <c r="F133"/>
  <c r="U159" i="36"/>
  <c r="L176"/>
  <c r="B161"/>
  <c r="L161" s="1"/>
  <c r="L160"/>
  <c r="V90"/>
  <c r="W90" s="1"/>
  <c r="X90" s="1"/>
  <c r="AD107"/>
  <c r="AF107" s="1"/>
  <c r="U114"/>
  <c r="V102"/>
  <c r="W102" s="1"/>
  <c r="X102" s="1"/>
  <c r="F134" i="45" l="1"/>
  <c r="U176" i="36"/>
  <c r="J134" i="45" s="1"/>
  <c r="U160" i="36"/>
  <c r="AB46" s="1"/>
  <c r="L177"/>
  <c r="U161"/>
  <c r="L178"/>
  <c r="AB104"/>
  <c r="AD104" s="1"/>
  <c r="AF104" s="1"/>
  <c r="D82" i="34"/>
  <c r="D81"/>
  <c r="D80"/>
  <c r="D79"/>
  <c r="D78"/>
  <c r="D77"/>
  <c r="D52"/>
  <c r="D51"/>
  <c r="D50"/>
  <c r="D48"/>
  <c r="D47"/>
  <c r="D46"/>
  <c r="F30"/>
  <c r="F29"/>
  <c r="F28"/>
  <c r="F27"/>
  <c r="F26"/>
  <c r="F20"/>
  <c r="F19"/>
  <c r="F18"/>
  <c r="F17"/>
  <c r="F16"/>
  <c r="B20"/>
  <c r="B30" s="1"/>
  <c r="B41" s="1"/>
  <c r="B52" s="1"/>
  <c r="B62" s="1"/>
  <c r="B72" s="1"/>
  <c r="B19"/>
  <c r="B29" s="1"/>
  <c r="B40" s="1"/>
  <c r="B51" s="1"/>
  <c r="B61" s="1"/>
  <c r="B71" s="1"/>
  <c r="B18"/>
  <c r="B28" s="1"/>
  <c r="B39" s="1"/>
  <c r="B50" s="1"/>
  <c r="B60" s="1"/>
  <c r="B70" s="1"/>
  <c r="B17"/>
  <c r="B27" s="1"/>
  <c r="B16"/>
  <c r="B26" s="1"/>
  <c r="B36" s="1"/>
  <c r="B47" s="1"/>
  <c r="B58" s="1"/>
  <c r="B69" s="1"/>
  <c r="B15"/>
  <c r="B25" s="1"/>
  <c r="B35" s="1"/>
  <c r="B46" s="1"/>
  <c r="B57" s="1"/>
  <c r="B68" s="1"/>
  <c r="D50" i="33"/>
  <c r="D49"/>
  <c r="D47"/>
  <c r="D46"/>
  <c r="D45"/>
  <c r="B20"/>
  <c r="B30" s="1"/>
  <c r="B40" s="1"/>
  <c r="B50" s="1"/>
  <c r="B60" s="1"/>
  <c r="B70" s="1"/>
  <c r="B80" s="1"/>
  <c r="B19"/>
  <c r="B29" s="1"/>
  <c r="B39" s="1"/>
  <c r="B49" s="1"/>
  <c r="B59" s="1"/>
  <c r="B69" s="1"/>
  <c r="B79" s="1"/>
  <c r="B18"/>
  <c r="B28" s="1"/>
  <c r="B38" s="1"/>
  <c r="B17"/>
  <c r="B27" s="1"/>
  <c r="B37" s="1"/>
  <c r="B47" s="1"/>
  <c r="B57" s="1"/>
  <c r="B67" s="1"/>
  <c r="B77" s="1"/>
  <c r="B16"/>
  <c r="B26" s="1"/>
  <c r="B36" s="1"/>
  <c r="B46" s="1"/>
  <c r="B56" s="1"/>
  <c r="B66" s="1"/>
  <c r="B76" s="1"/>
  <c r="B15"/>
  <c r="B25" s="1"/>
  <c r="B35" s="1"/>
  <c r="B45" s="1"/>
  <c r="B55" s="1"/>
  <c r="B65" s="1"/>
  <c r="B75" s="1"/>
  <c r="F135" i="45" l="1"/>
  <c r="U177" i="36"/>
  <c r="J135" i="45" s="1"/>
  <c r="U178" i="36"/>
  <c r="J136" i="45" s="1"/>
  <c r="F136"/>
  <c r="AC61" i="36"/>
  <c r="AB47"/>
  <c r="B81" i="34"/>
  <c r="B91" s="1"/>
  <c r="B77"/>
  <c r="B87" s="1"/>
  <c r="B82"/>
  <c r="B92" s="1"/>
  <c r="B78"/>
  <c r="B88" s="1"/>
  <c r="B80"/>
  <c r="B90" s="1"/>
  <c r="B37"/>
  <c r="B48" s="1"/>
  <c r="B59" s="1"/>
  <c r="B79" s="1"/>
  <c r="B89" s="1"/>
  <c r="B48" i="33"/>
  <c r="B58" s="1"/>
  <c r="B68" s="1"/>
  <c r="B78" s="1"/>
  <c r="R37" i="32"/>
  <c r="R19"/>
  <c r="Q37"/>
  <c r="Q19"/>
  <c r="P37"/>
  <c r="P19"/>
  <c r="O37"/>
  <c r="O19"/>
  <c r="N37"/>
  <c r="N19"/>
  <c r="M37"/>
  <c r="M19"/>
  <c r="L19"/>
  <c r="J37"/>
  <c r="I37"/>
  <c r="I19"/>
  <c r="H19"/>
  <c r="G37"/>
  <c r="G19"/>
  <c r="F19"/>
  <c r="E37"/>
  <c r="C37"/>
  <c r="F37"/>
  <c r="D37"/>
  <c r="K19"/>
  <c r="J19"/>
  <c r="B15" i="38" l="1"/>
  <c r="N6" i="11"/>
  <c r="L37" i="32"/>
  <c r="K37"/>
  <c r="H37"/>
  <c r="B37"/>
  <c r="E4" i="18" l="1"/>
  <c r="S19" i="32" l="1"/>
  <c r="T19"/>
  <c r="U19"/>
  <c r="T37"/>
  <c r="U37"/>
  <c r="C52" i="11"/>
  <c r="D52"/>
  <c r="B52"/>
  <c r="E12" i="18"/>
  <c r="E10"/>
  <c r="E7"/>
  <c r="E9"/>
  <c r="E8"/>
  <c r="E6"/>
  <c r="E3"/>
  <c r="E11"/>
  <c r="G330" i="45" l="1"/>
  <c r="D433" s="1"/>
  <c r="J330"/>
  <c r="D481" s="1"/>
  <c r="D330"/>
  <c r="V20" i="32"/>
  <c r="G52" i="11"/>
  <c r="Z37" i="32"/>
  <c r="Z19"/>
  <c r="S37"/>
  <c r="V38" s="1"/>
  <c r="F52" i="11"/>
  <c r="E52"/>
  <c r="E5" i="18"/>
  <c r="C525" i="45" l="1"/>
  <c r="D384"/>
  <c r="E384" s="1"/>
  <c r="F384" s="1"/>
  <c r="C481"/>
  <c r="E481" s="1"/>
  <c r="F481" s="1"/>
  <c r="K330"/>
  <c r="L330" s="1"/>
  <c r="H330"/>
  <c r="I330" s="1"/>
  <c r="C433"/>
  <c r="E433" s="1"/>
  <c r="F433" s="1"/>
  <c r="E330"/>
  <c r="F330" s="1"/>
  <c r="G85" i="33"/>
  <c r="X37" i="32"/>
  <c r="X19"/>
  <c r="H52" i="11"/>
  <c r="K52"/>
  <c r="I52"/>
  <c r="J52"/>
  <c r="I179" i="45" l="1"/>
  <c r="J312"/>
  <c r="G481"/>
  <c r="G384"/>
  <c r="G433"/>
  <c r="L392"/>
  <c r="K392" s="1"/>
  <c r="K441" s="1"/>
  <c r="D180"/>
  <c r="G98" i="34"/>
  <c r="G97"/>
  <c r="F180" i="45"/>
  <c r="F188" s="1"/>
  <c r="H71" i="38"/>
  <c r="G86" i="33"/>
  <c r="G87" s="1"/>
  <c r="C98" s="1"/>
  <c r="F71" i="38"/>
  <c r="E71"/>
  <c r="C180" i="45"/>
  <c r="H42" i="11" l="1"/>
  <c r="F42"/>
  <c r="J42"/>
  <c r="M42"/>
  <c r="B42"/>
  <c r="C42"/>
  <c r="G42"/>
  <c r="D42"/>
  <c r="E42"/>
  <c r="K42"/>
  <c r="I42"/>
  <c r="L42"/>
  <c r="L441" i="45"/>
  <c r="C507"/>
  <c r="K508" s="1"/>
  <c r="F600"/>
  <c r="J315"/>
  <c r="D463"/>
  <c r="E72" i="38"/>
  <c r="D240" i="45"/>
  <c r="F72" i="38"/>
  <c r="E240" i="45"/>
  <c r="H72" i="38"/>
  <c r="G240" i="45"/>
  <c r="G312"/>
  <c r="D312"/>
  <c r="D600" s="1"/>
  <c r="G99" i="34"/>
  <c r="C111" s="1"/>
  <c r="J317" i="45"/>
  <c r="D317"/>
  <c r="D603" s="1"/>
  <c r="G317"/>
  <c r="E603" s="1"/>
  <c r="F29" l="1" a="1"/>
  <c r="F29" s="1"/>
  <c r="P42" i="11"/>
  <c r="K506" i="45"/>
  <c r="C512"/>
  <c r="F603"/>
  <c r="C463"/>
  <c r="K464" s="1"/>
  <c r="E600"/>
  <c r="E317"/>
  <c r="F317" s="1"/>
  <c r="D371"/>
  <c r="E371" s="1"/>
  <c r="F371" s="1"/>
  <c r="C420"/>
  <c r="D320"/>
  <c r="E312"/>
  <c r="F312" s="1"/>
  <c r="D366"/>
  <c r="E366" s="1"/>
  <c r="F366" s="1"/>
  <c r="C415"/>
  <c r="D315"/>
  <c r="J328"/>
  <c r="G328"/>
  <c r="D328"/>
  <c r="D466"/>
  <c r="C510"/>
  <c r="D420"/>
  <c r="C468"/>
  <c r="J320"/>
  <c r="D468"/>
  <c r="K466"/>
  <c r="G315"/>
  <c r="C466" s="1"/>
  <c r="D415"/>
  <c r="H317"/>
  <c r="I317" s="1"/>
  <c r="G320"/>
  <c r="C471" s="1"/>
  <c r="H312"/>
  <c r="I312" s="1"/>
  <c r="K317"/>
  <c r="L317" s="1"/>
  <c r="K312"/>
  <c r="L312" s="1"/>
  <c r="M317"/>
  <c r="G603" s="1"/>
  <c r="I603" s="1"/>
  <c r="J603" s="1"/>
  <c r="M328"/>
  <c r="G609" s="1"/>
  <c r="I609" s="1"/>
  <c r="J609" s="1"/>
  <c r="M312"/>
  <c r="G600" s="1"/>
  <c r="I600" s="1"/>
  <c r="J600" s="1"/>
  <c r="P312"/>
  <c r="D552" s="1"/>
  <c r="K555" s="1"/>
  <c r="P317"/>
  <c r="P328"/>
  <c r="D568" s="1"/>
  <c r="E180"/>
  <c r="G71" i="38"/>
  <c r="D55"/>
  <c r="D75" s="1"/>
  <c r="D59" s="1"/>
  <c r="I180" i="45" l="1"/>
  <c r="F32"/>
  <c r="G32" s="1"/>
  <c r="H32" s="1"/>
  <c r="F35"/>
  <c r="F30"/>
  <c r="G30" s="1"/>
  <c r="H30" s="1"/>
  <c r="G371"/>
  <c r="F36"/>
  <c r="F31"/>
  <c r="F33"/>
  <c r="F34"/>
  <c r="F39"/>
  <c r="F37"/>
  <c r="F40"/>
  <c r="G40" s="1"/>
  <c r="H40" s="1"/>
  <c r="F38"/>
  <c r="G366"/>
  <c r="G33"/>
  <c r="H33" s="1"/>
  <c r="K462"/>
  <c r="K468" s="1"/>
  <c r="E463"/>
  <c r="F463" s="1"/>
  <c r="G463" s="1"/>
  <c r="D609"/>
  <c r="D610"/>
  <c r="D431"/>
  <c r="E609"/>
  <c r="E610"/>
  <c r="C523"/>
  <c r="F609"/>
  <c r="F610"/>
  <c r="J332"/>
  <c r="C527" s="1"/>
  <c r="E420"/>
  <c r="F420" s="1"/>
  <c r="G420" s="1"/>
  <c r="K328"/>
  <c r="L328" s="1"/>
  <c r="D369"/>
  <c r="E369" s="1"/>
  <c r="F369" s="1"/>
  <c r="E315"/>
  <c r="F315" s="1"/>
  <c r="C418"/>
  <c r="D374"/>
  <c r="E374" s="1"/>
  <c r="F374" s="1"/>
  <c r="E320"/>
  <c r="F320" s="1"/>
  <c r="C423"/>
  <c r="G332"/>
  <c r="C483" s="1"/>
  <c r="C479"/>
  <c r="E466"/>
  <c r="F466" s="1"/>
  <c r="D479"/>
  <c r="H328"/>
  <c r="I328" s="1"/>
  <c r="E328"/>
  <c r="F328" s="1"/>
  <c r="D332"/>
  <c r="D382"/>
  <c r="C431"/>
  <c r="K315"/>
  <c r="L315" s="1"/>
  <c r="M315"/>
  <c r="C555" s="1"/>
  <c r="C552"/>
  <c r="E552" s="1"/>
  <c r="F552" s="1"/>
  <c r="D507"/>
  <c r="N328"/>
  <c r="O328" s="1"/>
  <c r="C568"/>
  <c r="E568" s="1"/>
  <c r="F568" s="1"/>
  <c r="D523"/>
  <c r="D471"/>
  <c r="E471" s="1"/>
  <c r="F471" s="1"/>
  <c r="C515"/>
  <c r="Q317"/>
  <c r="R317" s="1"/>
  <c r="D557"/>
  <c r="C557"/>
  <c r="D512"/>
  <c r="E512" s="1"/>
  <c r="F512" s="1"/>
  <c r="K474"/>
  <c r="E468"/>
  <c r="F468" s="1"/>
  <c r="G468" s="1"/>
  <c r="K470"/>
  <c r="K472"/>
  <c r="K479" s="1"/>
  <c r="H320"/>
  <c r="I320" s="1"/>
  <c r="D423"/>
  <c r="E415"/>
  <c r="F415" s="1"/>
  <c r="G415" s="1"/>
  <c r="H315"/>
  <c r="I315" s="1"/>
  <c r="D418"/>
  <c r="K320"/>
  <c r="L320" s="1"/>
  <c r="Q328"/>
  <c r="R328" s="1"/>
  <c r="N317"/>
  <c r="O317" s="1"/>
  <c r="M320"/>
  <c r="C560" s="1"/>
  <c r="N312"/>
  <c r="O312" s="1"/>
  <c r="Q312"/>
  <c r="R312" s="1"/>
  <c r="G72" i="38"/>
  <c r="K72" s="1"/>
  <c r="F240" i="45"/>
  <c r="D322"/>
  <c r="G322"/>
  <c r="J322"/>
  <c r="D56" i="38"/>
  <c r="K71"/>
  <c r="G35" i="45" l="1"/>
  <c r="H35" s="1"/>
  <c r="J180"/>
  <c r="J240"/>
  <c r="G37"/>
  <c r="H37" s="1"/>
  <c r="G31"/>
  <c r="H31" s="1"/>
  <c r="G36"/>
  <c r="H36" s="1"/>
  <c r="G552"/>
  <c r="G38"/>
  <c r="H38" s="1"/>
  <c r="G34"/>
  <c r="H34" s="1"/>
  <c r="G39"/>
  <c r="H39" s="1"/>
  <c r="G466"/>
  <c r="G568"/>
  <c r="G369"/>
  <c r="G471"/>
  <c r="G374"/>
  <c r="D483"/>
  <c r="E483" s="1"/>
  <c r="F483" s="1"/>
  <c r="E431"/>
  <c r="F431" s="1"/>
  <c r="G431" s="1"/>
  <c r="C473"/>
  <c r="E606"/>
  <c r="C517"/>
  <c r="F606"/>
  <c r="D345"/>
  <c r="C448" s="1"/>
  <c r="D606"/>
  <c r="E523"/>
  <c r="F523" s="1"/>
  <c r="E479"/>
  <c r="F479" s="1"/>
  <c r="G479" s="1"/>
  <c r="K332"/>
  <c r="L332" s="1"/>
  <c r="D435"/>
  <c r="H332"/>
  <c r="I332" s="1"/>
  <c r="C425"/>
  <c r="E322"/>
  <c r="F322" s="1"/>
  <c r="D376"/>
  <c r="E376" s="1"/>
  <c r="F376" s="1"/>
  <c r="C435"/>
  <c r="E332"/>
  <c r="F332" s="1"/>
  <c r="D386"/>
  <c r="E386" s="1"/>
  <c r="F386" s="1"/>
  <c r="L391"/>
  <c r="E382"/>
  <c r="F382" s="1"/>
  <c r="G382" s="1"/>
  <c r="E557"/>
  <c r="F557" s="1"/>
  <c r="G557" s="1"/>
  <c r="K510"/>
  <c r="K512" s="1"/>
  <c r="E507"/>
  <c r="F507" s="1"/>
  <c r="K553"/>
  <c r="K551"/>
  <c r="N320"/>
  <c r="O320" s="1"/>
  <c r="D515"/>
  <c r="K516"/>
  <c r="K523" s="1"/>
  <c r="K514"/>
  <c r="N315"/>
  <c r="O315" s="1"/>
  <c r="D510"/>
  <c r="E510" s="1"/>
  <c r="F510" s="1"/>
  <c r="J345"/>
  <c r="J355" s="1"/>
  <c r="D473"/>
  <c r="K476"/>
  <c r="E423"/>
  <c r="F423" s="1"/>
  <c r="G423" s="1"/>
  <c r="G345"/>
  <c r="D425"/>
  <c r="E418"/>
  <c r="F418" s="1"/>
  <c r="G418" s="1"/>
  <c r="H322"/>
  <c r="I322" s="1"/>
  <c r="K322"/>
  <c r="L322" s="1"/>
  <c r="M322"/>
  <c r="G606" s="1"/>
  <c r="P322"/>
  <c r="D51" i="11"/>
  <c r="P350" i="45"/>
  <c r="C51" i="11"/>
  <c r="G51"/>
  <c r="E51"/>
  <c r="F51"/>
  <c r="H51"/>
  <c r="B51"/>
  <c r="K606" i="45" l="1"/>
  <c r="I606"/>
  <c r="J606" s="1"/>
  <c r="G376"/>
  <c r="G386"/>
  <c r="G483"/>
  <c r="D355"/>
  <c r="E473"/>
  <c r="F473" s="1"/>
  <c r="G473" s="1"/>
  <c r="D399"/>
  <c r="E399" s="1"/>
  <c r="F399" s="1"/>
  <c r="E345"/>
  <c r="F345" s="1"/>
  <c r="E435"/>
  <c r="F435" s="1"/>
  <c r="G435" s="1"/>
  <c r="K391"/>
  <c r="L440"/>
  <c r="K518"/>
  <c r="K520" s="1"/>
  <c r="E515"/>
  <c r="F515" s="1"/>
  <c r="P345"/>
  <c r="D585" s="1"/>
  <c r="D562"/>
  <c r="K559"/>
  <c r="K561"/>
  <c r="K568" s="1"/>
  <c r="M345"/>
  <c r="M355" s="1"/>
  <c r="C562"/>
  <c r="D517"/>
  <c r="E517" s="1"/>
  <c r="F517" s="1"/>
  <c r="D496"/>
  <c r="C540"/>
  <c r="D448"/>
  <c r="E448" s="1"/>
  <c r="F448" s="1"/>
  <c r="C496"/>
  <c r="K345"/>
  <c r="L345" s="1"/>
  <c r="G355"/>
  <c r="E425"/>
  <c r="F425" s="1"/>
  <c r="G425" s="1"/>
  <c r="H345"/>
  <c r="I345" s="1"/>
  <c r="Q322"/>
  <c r="R322" s="1"/>
  <c r="N322"/>
  <c r="O322" s="1"/>
  <c r="K51" i="11"/>
  <c r="J51"/>
  <c r="M51"/>
  <c r="L51"/>
  <c r="I51"/>
  <c r="N44" i="36"/>
  <c r="N140"/>
  <c r="N8"/>
  <c r="U8" s="1"/>
  <c r="N105"/>
  <c r="U105" s="1"/>
  <c r="V105" s="1"/>
  <c r="W105" s="1"/>
  <c r="X105" s="1"/>
  <c r="H109" i="45" l="1"/>
  <c r="U140" i="36"/>
  <c r="V140" s="1"/>
  <c r="W140" s="1"/>
  <c r="X140" s="1"/>
  <c r="G399" i="45"/>
  <c r="G448"/>
  <c r="E496"/>
  <c r="F496" s="1"/>
  <c r="G496" s="1"/>
  <c r="K440"/>
  <c r="K397"/>
  <c r="K446" s="1"/>
  <c r="K400"/>
  <c r="K449" s="1"/>
  <c r="P355"/>
  <c r="C585"/>
  <c r="E585" s="1"/>
  <c r="F585" s="1"/>
  <c r="D540"/>
  <c r="E540" s="1"/>
  <c r="F540" s="1"/>
  <c r="Q345"/>
  <c r="R345" s="1"/>
  <c r="N345"/>
  <c r="O345" s="1"/>
  <c r="E562"/>
  <c r="F562" s="1"/>
  <c r="G562" s="1"/>
  <c r="U44" i="36"/>
  <c r="V44" s="1"/>
  <c r="W44" s="1"/>
  <c r="X44" s="1"/>
  <c r="J109" i="45" l="1"/>
  <c r="G585"/>
  <c r="U169" i="36"/>
  <c r="J127" i="45" s="1"/>
  <c r="H127"/>
  <c r="N115" i="36"/>
  <c r="N103"/>
  <c r="U103" s="1"/>
  <c r="N91"/>
  <c r="U91" s="1"/>
  <c r="N79"/>
  <c r="U79" s="1"/>
  <c r="N67"/>
  <c r="U67" s="1"/>
  <c r="N55"/>
  <c r="U55" s="1"/>
  <c r="N43"/>
  <c r="U43" s="1"/>
  <c r="N31"/>
  <c r="U31" s="1"/>
  <c r="N7"/>
  <c r="U7" s="1"/>
  <c r="N139"/>
  <c r="N19"/>
  <c r="U19" s="1"/>
  <c r="N127"/>
  <c r="U127" s="1"/>
  <c r="H108" i="45" l="1"/>
  <c r="U139" i="36"/>
  <c r="V127"/>
  <c r="W127" s="1"/>
  <c r="X127" s="1"/>
  <c r="V19"/>
  <c r="W19" s="1"/>
  <c r="X19" s="1"/>
  <c r="AB34"/>
  <c r="V31"/>
  <c r="W31" s="1"/>
  <c r="X31" s="1"/>
  <c r="V43"/>
  <c r="W43" s="1"/>
  <c r="X43" s="1"/>
  <c r="AB37"/>
  <c r="V55"/>
  <c r="W55" s="1"/>
  <c r="X55" s="1"/>
  <c r="V67"/>
  <c r="W67" s="1"/>
  <c r="X67" s="1"/>
  <c r="V91"/>
  <c r="W91" s="1"/>
  <c r="X91" s="1"/>
  <c r="V103"/>
  <c r="W103" s="1"/>
  <c r="X103" s="1"/>
  <c r="AB42"/>
  <c r="U115"/>
  <c r="V139" l="1"/>
  <c r="W139" s="1"/>
  <c r="X139" s="1"/>
  <c r="AB45"/>
  <c r="J108" i="45"/>
  <c r="J119" s="1"/>
  <c r="J126"/>
  <c r="J137" s="1"/>
  <c r="H126"/>
  <c r="N81" i="36"/>
  <c r="U81" s="1"/>
  <c r="N33"/>
  <c r="U33" s="1"/>
  <c r="N69"/>
  <c r="U69" s="1"/>
  <c r="N129"/>
  <c r="U129" s="1"/>
  <c r="AE37"/>
  <c r="AF37" s="1"/>
  <c r="AD37"/>
  <c r="N117"/>
  <c r="N21"/>
  <c r="U21" s="1"/>
  <c r="N93"/>
  <c r="U93" s="1"/>
  <c r="AD42"/>
  <c r="AE42"/>
  <c r="AF42" s="1"/>
  <c r="N57"/>
  <c r="U57" s="1"/>
  <c r="AB44" l="1"/>
  <c r="AD44" s="1"/>
  <c r="U180"/>
  <c r="AB67" s="1"/>
  <c r="AB48"/>
  <c r="AB111"/>
  <c r="AB112" s="1"/>
  <c r="V129"/>
  <c r="W129" s="1"/>
  <c r="X129" s="1"/>
  <c r="AB40"/>
  <c r="V21"/>
  <c r="AB35"/>
  <c r="U117"/>
  <c r="U163" s="1"/>
  <c r="AD106"/>
  <c r="AF106" s="1"/>
  <c r="V33"/>
  <c r="W33" s="1"/>
  <c r="X33" s="1"/>
  <c r="AB36"/>
  <c r="V69"/>
  <c r="W69" s="1"/>
  <c r="X69" s="1"/>
  <c r="AB39"/>
  <c r="V57"/>
  <c r="W57" s="1"/>
  <c r="X57" s="1"/>
  <c r="AB38"/>
  <c r="V93"/>
  <c r="W93" s="1"/>
  <c r="X93" s="1"/>
  <c r="AB41"/>
  <c r="AE44" l="1"/>
  <c r="AF44" s="1"/>
  <c r="L6" i="11"/>
  <c r="L7" s="1"/>
  <c r="AC111" i="36"/>
  <c r="AE41"/>
  <c r="AF41" s="1"/>
  <c r="AD41"/>
  <c r="AB43"/>
  <c r="AE38"/>
  <c r="AF38" s="1"/>
  <c r="AD38"/>
  <c r="AD39"/>
  <c r="AE39"/>
  <c r="AF39" s="1"/>
  <c r="AE36"/>
  <c r="AF36" s="1"/>
  <c r="AD36"/>
  <c r="AF110"/>
  <c r="AG106" s="1"/>
  <c r="W21"/>
  <c r="X21" s="1"/>
  <c r="B6" i="11" l="1" a="1"/>
  <c r="AG102" i="36"/>
  <c r="AG107"/>
  <c r="AG103"/>
  <c r="AG104"/>
  <c r="AG105"/>
  <c r="AG110"/>
  <c r="AF111"/>
  <c r="B6" i="11" l="1"/>
  <c r="E6"/>
  <c r="D6"/>
  <c r="K6"/>
  <c r="G6"/>
  <c r="I6"/>
  <c r="H6"/>
  <c r="C6"/>
  <c r="J6"/>
  <c r="F6"/>
  <c r="H18" i="36"/>
  <c r="H8"/>
  <c r="H13"/>
  <c r="H6"/>
  <c r="H7"/>
  <c r="H12"/>
  <c r="H17"/>
  <c r="H10"/>
  <c r="H11"/>
  <c r="H16"/>
  <c r="H14"/>
  <c r="H15"/>
  <c r="H9"/>
  <c r="C65" i="45" l="1"/>
  <c r="D65"/>
  <c r="D77" s="1"/>
  <c r="E78" s="1"/>
  <c r="V15" i="36"/>
  <c r="W15" s="1"/>
  <c r="X15" s="1"/>
  <c r="C74" i="45"/>
  <c r="V10" i="36"/>
  <c r="W10" s="1"/>
  <c r="X10" s="1"/>
  <c r="C69" i="45"/>
  <c r="V11" i="36"/>
  <c r="W11" s="1"/>
  <c r="X11" s="1"/>
  <c r="C70" i="45"/>
  <c r="V7" i="36"/>
  <c r="W7" s="1"/>
  <c r="X7" s="1"/>
  <c r="C66" i="45"/>
  <c r="V16" i="36"/>
  <c r="W16" s="1"/>
  <c r="X16" s="1"/>
  <c r="C75" i="45"/>
  <c r="V12" i="36"/>
  <c r="W12" s="1"/>
  <c r="X12" s="1"/>
  <c r="C71" i="45"/>
  <c r="V8" i="36"/>
  <c r="W8" s="1"/>
  <c r="X8" s="1"/>
  <c r="C67" i="45"/>
  <c r="V9" i="36"/>
  <c r="W9" s="1"/>
  <c r="X9" s="1"/>
  <c r="C68" i="45"/>
  <c r="V14" i="36"/>
  <c r="W14" s="1"/>
  <c r="X14" s="1"/>
  <c r="C73" i="45"/>
  <c r="V17" i="36"/>
  <c r="W17" s="1"/>
  <c r="X17" s="1"/>
  <c r="C76" i="45"/>
  <c r="V13" i="36"/>
  <c r="W13" s="1"/>
  <c r="X13" s="1"/>
  <c r="C72" i="45"/>
  <c r="AC34" i="36"/>
  <c r="V6"/>
  <c r="W6" s="1"/>
  <c r="X6" s="1"/>
  <c r="V18"/>
  <c r="W18" s="1"/>
  <c r="X18" s="1"/>
  <c r="AC35"/>
  <c r="C77" i="45" l="1"/>
  <c r="D78" s="1"/>
  <c r="H115" i="36"/>
  <c r="B3" i="38"/>
  <c r="C3" s="1"/>
  <c r="AE34" i="36"/>
  <c r="AF34" s="1"/>
  <c r="AD34"/>
  <c r="B4" i="38"/>
  <c r="C4" s="1"/>
  <c r="AE35" i="36"/>
  <c r="AF35" s="1"/>
  <c r="AD35"/>
  <c r="L66" i="45" l="1"/>
  <c r="Q66" s="1"/>
  <c r="V115" i="36"/>
  <c r="W115" s="1"/>
  <c r="X115" s="1"/>
  <c r="K66" i="37"/>
  <c r="G70" s="1"/>
  <c r="H117" i="36"/>
  <c r="H116"/>
  <c r="H121"/>
  <c r="H120"/>
  <c r="H125"/>
  <c r="H119"/>
  <c r="H124"/>
  <c r="H123"/>
  <c r="H118"/>
  <c r="H122"/>
  <c r="L68" i="45" l="1"/>
  <c r="Q68" s="1"/>
  <c r="L74"/>
  <c r="Q74" s="1"/>
  <c r="L70"/>
  <c r="Q70" s="1"/>
  <c r="L72"/>
  <c r="Q72" s="1"/>
  <c r="L67"/>
  <c r="Q67" s="1"/>
  <c r="L69"/>
  <c r="Q69" s="1"/>
  <c r="L75"/>
  <c r="Q75" s="1"/>
  <c r="L73"/>
  <c r="Q73" s="1"/>
  <c r="L76"/>
  <c r="Q76" s="1"/>
  <c r="L71"/>
  <c r="Q71" s="1"/>
  <c r="G66" i="37"/>
  <c r="G69"/>
  <c r="G72"/>
  <c r="G68"/>
  <c r="G77"/>
  <c r="G75"/>
  <c r="G71"/>
  <c r="G67"/>
  <c r="G73"/>
  <c r="G76"/>
  <c r="G74"/>
  <c r="V118" i="36"/>
  <c r="W118" s="1"/>
  <c r="X118" s="1"/>
  <c r="V121"/>
  <c r="W121" s="1"/>
  <c r="X121" s="1"/>
  <c r="V122"/>
  <c r="W122" s="1"/>
  <c r="X122" s="1"/>
  <c r="V120"/>
  <c r="W120" s="1"/>
  <c r="X120" s="1"/>
  <c r="V117"/>
  <c r="W117" s="1"/>
  <c r="X117" s="1"/>
  <c r="V125"/>
  <c r="W125" s="1"/>
  <c r="X125" s="1"/>
  <c r="V123"/>
  <c r="W123" s="1"/>
  <c r="X123" s="1"/>
  <c r="V119"/>
  <c r="W119" s="1"/>
  <c r="X119" s="1"/>
  <c r="V116"/>
  <c r="W116" s="1"/>
  <c r="X116" s="1"/>
  <c r="H114"/>
  <c r="AJ38"/>
  <c r="V124"/>
  <c r="W124" s="1"/>
  <c r="X124" s="1"/>
  <c r="L65" i="45" l="1"/>
  <c r="L77" s="1"/>
  <c r="M78" s="1"/>
  <c r="G23" i="39"/>
  <c r="G27" s="1"/>
  <c r="H77" i="37"/>
  <c r="I77" s="1"/>
  <c r="AC43" i="36"/>
  <c r="AC50" s="1"/>
  <c r="V114"/>
  <c r="W114" s="1"/>
  <c r="X114" s="1"/>
  <c r="H86"/>
  <c r="H80"/>
  <c r="H85"/>
  <c r="H79"/>
  <c r="H84"/>
  <c r="H83"/>
  <c r="H88"/>
  <c r="H89"/>
  <c r="H78"/>
  <c r="H82"/>
  <c r="H87"/>
  <c r="H81"/>
  <c r="Q65" i="45" l="1"/>
  <c r="I76"/>
  <c r="O76" s="1"/>
  <c r="I72"/>
  <c r="O72" s="1"/>
  <c r="I74"/>
  <c r="O74" s="1"/>
  <c r="I71"/>
  <c r="O71" s="1"/>
  <c r="I66"/>
  <c r="O66" s="1"/>
  <c r="I75"/>
  <c r="O75" s="1"/>
  <c r="I67"/>
  <c r="O67" s="1"/>
  <c r="I73"/>
  <c r="O73" s="1"/>
  <c r="I69"/>
  <c r="O69" s="1"/>
  <c r="I68"/>
  <c r="O68" s="1"/>
  <c r="I70"/>
  <c r="O70" s="1"/>
  <c r="I65"/>
  <c r="O65" s="1"/>
  <c r="Q77"/>
  <c r="V89" i="36"/>
  <c r="W89" s="1"/>
  <c r="X89" s="1"/>
  <c r="V79"/>
  <c r="W79" s="1"/>
  <c r="X79" s="1"/>
  <c r="V85"/>
  <c r="W85" s="1"/>
  <c r="X85" s="1"/>
  <c r="V84"/>
  <c r="W84" s="1"/>
  <c r="X84" s="1"/>
  <c r="V81"/>
  <c r="W81" s="1"/>
  <c r="X81" s="1"/>
  <c r="V83"/>
  <c r="W83" s="1"/>
  <c r="X83" s="1"/>
  <c r="V86"/>
  <c r="W86" s="1"/>
  <c r="X86" s="1"/>
  <c r="V82"/>
  <c r="W82" s="1"/>
  <c r="X82" s="1"/>
  <c r="V87"/>
  <c r="W87" s="1"/>
  <c r="X87" s="1"/>
  <c r="V88"/>
  <c r="W88" s="1"/>
  <c r="X88" s="1"/>
  <c r="V80"/>
  <c r="W80" s="1"/>
  <c r="X80" s="1"/>
  <c r="K78" i="45"/>
  <c r="L78"/>
  <c r="B12" i="38"/>
  <c r="C12" s="1"/>
  <c r="AF112" i="36"/>
  <c r="AD43"/>
  <c r="AE43"/>
  <c r="AF43" s="1"/>
  <c r="AC40"/>
  <c r="B5" i="11" s="1" a="1"/>
  <c r="H151" i="36"/>
  <c r="V78"/>
  <c r="K74" i="37" l="1"/>
  <c r="G166" s="1"/>
  <c r="C18" i="38"/>
  <c r="I77" i="45"/>
  <c r="O77" s="1"/>
  <c r="B5" i="11"/>
  <c r="B7" s="1"/>
  <c r="G5"/>
  <c r="G7" s="1"/>
  <c r="I5"/>
  <c r="I7" s="1"/>
  <c r="K5"/>
  <c r="K7" s="1"/>
  <c r="C5"/>
  <c r="C7" s="1"/>
  <c r="J5"/>
  <c r="J7" s="1"/>
  <c r="F5"/>
  <c r="F7" s="1"/>
  <c r="E5"/>
  <c r="E7" s="1"/>
  <c r="H5"/>
  <c r="H7" s="1"/>
  <c r="D5"/>
  <c r="D7" s="1"/>
  <c r="G162" i="37"/>
  <c r="G170"/>
  <c r="G163"/>
  <c r="G167"/>
  <c r="G164"/>
  <c r="G168"/>
  <c r="G172"/>
  <c r="G169"/>
  <c r="G173"/>
  <c r="B9" i="38"/>
  <c r="C9" s="1"/>
  <c r="C20" s="1"/>
  <c r="AD40" i="36"/>
  <c r="AD50" s="1"/>
  <c r="AE40"/>
  <c r="AF40" s="1"/>
  <c r="AF52" s="1"/>
  <c r="W78"/>
  <c r="X78" s="1"/>
  <c r="AF53" s="1"/>
  <c r="V162"/>
  <c r="J78" i="45" l="1"/>
  <c r="G165" i="37"/>
  <c r="G171"/>
  <c r="H78" i="45"/>
  <c r="G78"/>
  <c r="I78"/>
  <c r="H173" i="37"/>
  <c r="I173" s="1"/>
  <c r="X162" i="36"/>
  <c r="K71" i="37"/>
  <c r="D23" i="39"/>
  <c r="D27" s="1"/>
  <c r="H27"/>
  <c r="C19" i="38" l="1"/>
  <c r="C17" s="1"/>
  <c r="G126" i="37"/>
  <c r="G130"/>
  <c r="G134"/>
  <c r="G127"/>
  <c r="G131"/>
  <c r="G135"/>
  <c r="G128"/>
  <c r="G132"/>
  <c r="G136"/>
  <c r="G129"/>
  <c r="G133"/>
  <c r="G137"/>
  <c r="C15" i="38" l="1"/>
  <c r="D15" i="34"/>
  <c r="AG61" i="36"/>
  <c r="AG60"/>
  <c r="AH60" s="1"/>
  <c r="D15" i="33"/>
  <c r="K75" i="37"/>
  <c r="G175" s="1"/>
  <c r="H137"/>
  <c r="I137" s="1"/>
  <c r="AH61" i="36" l="1"/>
  <c r="N8" i="11" s="1"/>
  <c r="N9" s="1"/>
  <c r="AF65" i="36"/>
  <c r="G178" i="37"/>
  <c r="D25" i="33"/>
  <c r="D16"/>
  <c r="D26" s="1"/>
  <c r="G174" i="37"/>
  <c r="AI60" i="36"/>
  <c r="G182" i="37"/>
  <c r="G185"/>
  <c r="G181"/>
  <c r="G177"/>
  <c r="K76"/>
  <c r="G189" s="1"/>
  <c r="G184"/>
  <c r="G180"/>
  <c r="G176"/>
  <c r="G183"/>
  <c r="G179"/>
  <c r="D16" i="34"/>
  <c r="D25"/>
  <c r="AI61" i="36" l="1"/>
  <c r="AG65" s="1"/>
  <c r="D17" i="33"/>
  <c r="D18" s="1"/>
  <c r="G188" i="37"/>
  <c r="H185"/>
  <c r="I185" s="1"/>
  <c r="G196"/>
  <c r="G192"/>
  <c r="G195"/>
  <c r="G191"/>
  <c r="G187"/>
  <c r="L13" i="38"/>
  <c r="G194" i="37"/>
  <c r="G190"/>
  <c r="G186"/>
  <c r="G197"/>
  <c r="G193"/>
  <c r="D17" i="34"/>
  <c r="D26"/>
  <c r="D27" i="33" l="1"/>
  <c r="H197" i="37"/>
  <c r="I197" s="1"/>
  <c r="F75" i="38"/>
  <c r="F59" s="1"/>
  <c r="J75"/>
  <c r="J59" s="1"/>
  <c r="J63" s="1"/>
  <c r="D63"/>
  <c r="G75"/>
  <c r="G59" s="1"/>
  <c r="I75"/>
  <c r="I59" s="1"/>
  <c r="I63" s="1"/>
  <c r="E75"/>
  <c r="H75"/>
  <c r="H59" s="1"/>
  <c r="D18" i="34"/>
  <c r="D27"/>
  <c r="D19" i="33"/>
  <c r="D28"/>
  <c r="K75" i="38" l="1"/>
  <c r="L75" s="1"/>
  <c r="E59"/>
  <c r="K59" s="1"/>
  <c r="L59" s="1"/>
  <c r="D19" i="34"/>
  <c r="D28"/>
  <c r="D20" i="33"/>
  <c r="D30" s="1"/>
  <c r="D29"/>
  <c r="D20" i="34" l="1"/>
  <c r="D29"/>
  <c r="C9" i="33" l="1"/>
  <c r="C20" s="1"/>
  <c r="E20" s="1"/>
  <c r="G20" s="1"/>
  <c r="D30" i="34"/>
  <c r="C30" i="33" l="1"/>
  <c r="E30" s="1"/>
  <c r="G30" s="1"/>
  <c r="C8"/>
  <c r="C19" s="1"/>
  <c r="E19" s="1"/>
  <c r="G19" s="1"/>
  <c r="E60" l="1"/>
  <c r="G60" s="1"/>
  <c r="E40"/>
  <c r="E80" s="1"/>
  <c r="G80" s="1"/>
  <c r="C29"/>
  <c r="E29" s="1"/>
  <c r="G29" s="1"/>
  <c r="E70" l="1"/>
  <c r="G70" s="1"/>
  <c r="G40"/>
  <c r="E50"/>
  <c r="G50" s="1"/>
  <c r="E59"/>
  <c r="E69" s="1"/>
  <c r="G69" s="1"/>
  <c r="G80" i="38"/>
  <c r="F80"/>
  <c r="E221" i="45" s="1"/>
  <c r="G59" i="33" l="1"/>
  <c r="F221" i="45"/>
  <c r="D19" i="44"/>
  <c r="C19"/>
  <c r="E14"/>
  <c r="F229" i="45" s="1"/>
  <c r="G13" i="44"/>
  <c r="E220" i="45" l="1"/>
  <c r="O38" i="34" l="1"/>
  <c r="O37"/>
  <c r="O39" l="1"/>
  <c r="N38" l="1"/>
  <c r="N37"/>
  <c r="N39" s="1"/>
  <c r="E81" i="38" l="1"/>
  <c r="F81"/>
  <c r="F63" s="1"/>
  <c r="H63"/>
  <c r="G81"/>
  <c r="G63" s="1"/>
  <c r="E13" i="18" s="1"/>
  <c r="G82" i="38"/>
  <c r="E82"/>
  <c r="E18" i="44"/>
  <c r="F82" i="38"/>
  <c r="D7" i="33" l="1"/>
  <c r="E38" s="1"/>
  <c r="G38" s="1"/>
  <c r="M330" i="45"/>
  <c r="G610" s="1"/>
  <c r="I610" s="1"/>
  <c r="J610" s="1"/>
  <c r="E252"/>
  <c r="E222"/>
  <c r="D252"/>
  <c r="D222"/>
  <c r="F252"/>
  <c r="F222"/>
  <c r="K81" i="38"/>
  <c r="L81" s="1"/>
  <c r="E63"/>
  <c r="K63" s="1"/>
  <c r="L63" s="1"/>
  <c r="C18" i="44"/>
  <c r="B18"/>
  <c r="K82" i="38"/>
  <c r="L82" s="1"/>
  <c r="D18" i="44"/>
  <c r="C570" i="45" l="1"/>
  <c r="D525"/>
  <c r="E525" s="1"/>
  <c r="F525" s="1"/>
  <c r="N330"/>
  <c r="O330" s="1"/>
  <c r="M332"/>
  <c r="C572" s="1"/>
  <c r="C222"/>
  <c r="E78" i="33"/>
  <c r="G78" s="1"/>
  <c r="E48"/>
  <c r="G48" s="1"/>
  <c r="J252" i="45"/>
  <c r="C7" i="33"/>
  <c r="F18" i="44"/>
  <c r="G18"/>
  <c r="C5" i="33"/>
  <c r="N332" i="45" l="1"/>
  <c r="O332" s="1"/>
  <c r="D527"/>
  <c r="E527" s="1"/>
  <c r="F527" s="1"/>
  <c r="D13" i="44"/>
  <c r="F25" s="1"/>
  <c r="C13"/>
  <c r="D228" i="45" s="1"/>
  <c r="B13" i="44"/>
  <c r="C228" i="45" s="1"/>
  <c r="C6" i="33"/>
  <c r="C16"/>
  <c r="E16" s="1"/>
  <c r="C18"/>
  <c r="E18" s="1"/>
  <c r="F24" i="44" l="1"/>
  <c r="G25"/>
  <c r="G24" s="1"/>
  <c r="D14"/>
  <c r="E228" i="45"/>
  <c r="I228" s="1"/>
  <c r="G19" i="44"/>
  <c r="C28" i="33"/>
  <c r="E28" s="1"/>
  <c r="G28" s="1"/>
  <c r="G16"/>
  <c r="C17"/>
  <c r="E17" s="1"/>
  <c r="G18"/>
  <c r="C26"/>
  <c r="E26" s="1"/>
  <c r="G26" s="1"/>
  <c r="L43" i="11"/>
  <c r="C4" i="33"/>
  <c r="L52" i="11" l="1"/>
  <c r="F14" i="44"/>
  <c r="G14" s="1"/>
  <c r="E229" i="45"/>
  <c r="I229" s="1"/>
  <c r="C27" i="33"/>
  <c r="E27" s="1"/>
  <c r="G27" s="1"/>
  <c r="E58"/>
  <c r="G58" s="1"/>
  <c r="E56"/>
  <c r="E66" s="1"/>
  <c r="G66" s="1"/>
  <c r="G17"/>
  <c r="C15"/>
  <c r="C10"/>
  <c r="E36"/>
  <c r="E68" l="1"/>
  <c r="G68" s="1"/>
  <c r="E57"/>
  <c r="G57" s="1"/>
  <c r="G56"/>
  <c r="G36"/>
  <c r="E76"/>
  <c r="G76" s="1"/>
  <c r="E46"/>
  <c r="G46" s="1"/>
  <c r="C25"/>
  <c r="C21"/>
  <c r="E15"/>
  <c r="E67" l="1"/>
  <c r="G67" s="1"/>
  <c r="E25"/>
  <c r="E55" s="1"/>
  <c r="C31"/>
  <c r="G15"/>
  <c r="E21"/>
  <c r="G21" l="1"/>
  <c r="E35"/>
  <c r="G35" s="1"/>
  <c r="E61"/>
  <c r="E65"/>
  <c r="G55"/>
  <c r="G61" s="1"/>
  <c r="C93" s="1"/>
  <c r="G25"/>
  <c r="G31" s="1"/>
  <c r="E31"/>
  <c r="C92" l="1"/>
  <c r="E45"/>
  <c r="G45" s="1"/>
  <c r="E75"/>
  <c r="G75" s="1"/>
  <c r="G65"/>
  <c r="G71" s="1"/>
  <c r="C96" s="1"/>
  <c r="E71"/>
  <c r="G11" i="45" l="1"/>
  <c r="D94" i="46" l="1"/>
  <c r="D110" s="1"/>
  <c r="C122"/>
  <c r="C138" l="1"/>
  <c r="E122"/>
  <c r="F122" l="1"/>
  <c r="E138"/>
  <c r="F138" s="1"/>
  <c r="C129" l="1"/>
  <c r="D101"/>
  <c r="D102"/>
  <c r="C130"/>
  <c r="E130" s="1"/>
  <c r="F130" s="1"/>
  <c r="D98" l="1"/>
  <c r="C126"/>
  <c r="D126"/>
  <c r="E126" l="1"/>
  <c r="F126" s="1"/>
  <c r="D124" l="1"/>
  <c r="C124"/>
  <c r="D96"/>
  <c r="E124" l="1"/>
  <c r="F124" s="1"/>
  <c r="D95" l="1"/>
  <c r="D111" s="1"/>
  <c r="C123"/>
  <c r="C139" s="1"/>
  <c r="D93" l="1"/>
  <c r="D109" s="1"/>
  <c r="C121"/>
  <c r="C137" s="1"/>
  <c r="D105" l="1"/>
  <c r="D112" s="1"/>
  <c r="D113" s="1"/>
  <c r="C133"/>
  <c r="C140" s="1"/>
  <c r="C141" s="1"/>
  <c r="D133"/>
  <c r="C142" l="1"/>
  <c r="E133"/>
  <c r="F133" s="1"/>
  <c r="G13" i="45" l="1"/>
  <c r="G14"/>
  <c r="D123" i="46" l="1"/>
  <c r="E123" l="1"/>
  <c r="D139"/>
  <c r="E139" l="1"/>
  <c r="F139" s="1"/>
  <c r="F123"/>
  <c r="D129" l="1"/>
  <c r="D140" l="1"/>
  <c r="E129"/>
  <c r="F129" l="1"/>
  <c r="E140"/>
  <c r="F140" s="1"/>
  <c r="D121" l="1"/>
  <c r="E121" l="1"/>
  <c r="D137"/>
  <c r="D141" s="1"/>
  <c r="H13" i="45"/>
  <c r="F121" i="46" l="1"/>
  <c r="E137"/>
  <c r="F137" l="1"/>
  <c r="E141"/>
  <c r="F141" s="1"/>
  <c r="C68" l="1"/>
  <c r="D40"/>
  <c r="C65"/>
  <c r="C81" s="1"/>
  <c r="D37"/>
  <c r="D39"/>
  <c r="C67"/>
  <c r="D53" l="1"/>
  <c r="C47" l="1"/>
  <c r="D19"/>
  <c r="E19" s="1"/>
  <c r="G15" i="45" l="1"/>
  <c r="D68" i="46" l="1"/>
  <c r="E68" s="1"/>
  <c r="F68" s="1"/>
  <c r="C96"/>
  <c r="E96" s="1"/>
  <c r="F96" s="1"/>
  <c r="D10"/>
  <c r="C38"/>
  <c r="C54" s="1"/>
  <c r="D13"/>
  <c r="E13" s="1"/>
  <c r="F13" s="1"/>
  <c r="C41"/>
  <c r="C66"/>
  <c r="C82" s="1"/>
  <c r="D38"/>
  <c r="D76"/>
  <c r="C104"/>
  <c r="E104" s="1"/>
  <c r="F104" s="1"/>
  <c r="D18"/>
  <c r="E18" s="1"/>
  <c r="C46"/>
  <c r="D21"/>
  <c r="E21" s="1"/>
  <c r="F21" s="1"/>
  <c r="C49"/>
  <c r="C39"/>
  <c r="D11"/>
  <c r="D14"/>
  <c r="E14" s="1"/>
  <c r="F14" s="1"/>
  <c r="C42"/>
  <c r="C74"/>
  <c r="D46"/>
  <c r="E46" s="1"/>
  <c r="F46" s="1"/>
  <c r="C77"/>
  <c r="D49"/>
  <c r="E49" s="1"/>
  <c r="F49" s="1"/>
  <c r="D65"/>
  <c r="C93"/>
  <c r="D20"/>
  <c r="E20" s="1"/>
  <c r="C48"/>
  <c r="C76"/>
  <c r="D48"/>
  <c r="E48" s="1"/>
  <c r="F48" s="1"/>
  <c r="D41"/>
  <c r="C69"/>
  <c r="C94"/>
  <c r="D66"/>
  <c r="D67"/>
  <c r="C95"/>
  <c r="D77"/>
  <c r="C105"/>
  <c r="E105" s="1"/>
  <c r="F105" s="1"/>
  <c r="C45"/>
  <c r="D17"/>
  <c r="E17" s="1"/>
  <c r="D45"/>
  <c r="C73"/>
  <c r="C101"/>
  <c r="D73"/>
  <c r="C97"/>
  <c r="E97" s="1"/>
  <c r="F97" s="1"/>
  <c r="D69"/>
  <c r="D74"/>
  <c r="C102"/>
  <c r="E102" s="1"/>
  <c r="F102" s="1"/>
  <c r="C37"/>
  <c r="D9"/>
  <c r="C40"/>
  <c r="E40" s="1"/>
  <c r="F40" s="1"/>
  <c r="D12"/>
  <c r="E12" s="1"/>
  <c r="F12" s="1"/>
  <c r="D70"/>
  <c r="C98"/>
  <c r="E98" s="1"/>
  <c r="F98" s="1"/>
  <c r="D47"/>
  <c r="E47" s="1"/>
  <c r="F47" s="1"/>
  <c r="C75"/>
  <c r="D42"/>
  <c r="C70"/>
  <c r="D16"/>
  <c r="C44"/>
  <c r="D75"/>
  <c r="C103"/>
  <c r="E103" s="1"/>
  <c r="F103" s="1"/>
  <c r="F16" i="45"/>
  <c r="E16"/>
  <c r="D15"/>
  <c r="D16"/>
  <c r="E15"/>
  <c r="F15"/>
  <c r="E42" i="46" l="1"/>
  <c r="F42" s="1"/>
  <c r="E74"/>
  <c r="F74" s="1"/>
  <c r="C83"/>
  <c r="E9"/>
  <c r="D25"/>
  <c r="C84"/>
  <c r="E66"/>
  <c r="F66" s="1"/>
  <c r="D82"/>
  <c r="E82" s="1"/>
  <c r="F82" s="1"/>
  <c r="C109"/>
  <c r="E93"/>
  <c r="D27"/>
  <c r="E11"/>
  <c r="E38"/>
  <c r="D54"/>
  <c r="C53"/>
  <c r="E37"/>
  <c r="D56"/>
  <c r="E45"/>
  <c r="F45" s="1"/>
  <c r="E94"/>
  <c r="C110"/>
  <c r="D81"/>
  <c r="E65"/>
  <c r="F65" s="1"/>
  <c r="C55"/>
  <c r="E39"/>
  <c r="E41"/>
  <c r="F41" s="1"/>
  <c r="D55"/>
  <c r="E75"/>
  <c r="F75" s="1"/>
  <c r="E69"/>
  <c r="F69" s="1"/>
  <c r="E44"/>
  <c r="C56"/>
  <c r="E77"/>
  <c r="F77" s="1"/>
  <c r="E10"/>
  <c r="D26"/>
  <c r="D28"/>
  <c r="E16"/>
  <c r="E28" s="1"/>
  <c r="F28" s="1"/>
  <c r="D84"/>
  <c r="E73"/>
  <c r="F73" s="1"/>
  <c r="E95"/>
  <c r="C111"/>
  <c r="E70"/>
  <c r="F70" s="1"/>
  <c r="C112"/>
  <c r="E101"/>
  <c r="E67"/>
  <c r="F67" s="1"/>
  <c r="D83"/>
  <c r="E76"/>
  <c r="F76" s="1"/>
  <c r="E83" l="1"/>
  <c r="F83" s="1"/>
  <c r="C85"/>
  <c r="E56"/>
  <c r="F56" s="1"/>
  <c r="E84"/>
  <c r="F84" s="1"/>
  <c r="F94"/>
  <c r="E110"/>
  <c r="F110" s="1"/>
  <c r="F10"/>
  <c r="E26"/>
  <c r="F26" s="1"/>
  <c r="F93"/>
  <c r="E109"/>
  <c r="C57"/>
  <c r="C113"/>
  <c r="F95"/>
  <c r="E111"/>
  <c r="F111" s="1"/>
  <c r="D57"/>
  <c r="D85"/>
  <c r="E81"/>
  <c r="F38"/>
  <c r="E54"/>
  <c r="F54" s="1"/>
  <c r="D29"/>
  <c r="F39"/>
  <c r="E55"/>
  <c r="F55" s="1"/>
  <c r="F37"/>
  <c r="E53"/>
  <c r="E112"/>
  <c r="F112" s="1"/>
  <c r="F101"/>
  <c r="E27"/>
  <c r="F27" s="1"/>
  <c r="F11"/>
  <c r="E25"/>
  <c r="F9"/>
  <c r="C58" l="1"/>
  <c r="F53"/>
  <c r="E57"/>
  <c r="F57" s="1"/>
  <c r="F109"/>
  <c r="E113"/>
  <c r="F113" s="1"/>
  <c r="C114"/>
  <c r="E85"/>
  <c r="F85" s="1"/>
  <c r="F81"/>
  <c r="F25"/>
  <c r="E29"/>
  <c r="F29" s="1"/>
  <c r="C86"/>
  <c r="D13" i="45" l="1"/>
  <c r="E13"/>
  <c r="F13"/>
  <c r="F14"/>
  <c r="D14"/>
  <c r="E14"/>
  <c r="F17" l="1"/>
  <c r="F19" s="1"/>
  <c r="E17"/>
  <c r="E19" s="1"/>
  <c r="D17"/>
  <c r="D19" s="1"/>
  <c r="D58" i="46"/>
  <c r="D30"/>
  <c r="D86"/>
  <c r="G16" i="45" l="1"/>
  <c r="G17" s="1"/>
  <c r="G19" s="1"/>
  <c r="D114" i="46" l="1"/>
  <c r="H15" i="45" l="1"/>
  <c r="H16" l="1"/>
  <c r="H17" s="1"/>
  <c r="D142" i="46" l="1"/>
  <c r="H11" i="45" l="1"/>
  <c r="H19" s="1"/>
  <c r="D577" l="1"/>
  <c r="E577" s="1"/>
  <c r="F577" s="1"/>
  <c r="Q337"/>
  <c r="R337" s="1"/>
  <c r="D571"/>
  <c r="E571" s="1"/>
  <c r="F571" s="1"/>
  <c r="Q331"/>
  <c r="R331" s="1"/>
  <c r="G571" l="1"/>
  <c r="G577"/>
  <c r="D582" l="1"/>
  <c r="E582" s="1"/>
  <c r="F582" s="1"/>
  <c r="Q342"/>
  <c r="R342" s="1"/>
  <c r="G582" l="1"/>
  <c r="D559"/>
  <c r="E559" s="1"/>
  <c r="F559" s="1"/>
  <c r="Q319"/>
  <c r="R319" s="1"/>
  <c r="Q325"/>
  <c r="R325" s="1"/>
  <c r="D565"/>
  <c r="E565" s="1"/>
  <c r="F565" s="1"/>
  <c r="G559" l="1"/>
  <c r="G565"/>
  <c r="Q314" l="1"/>
  <c r="R314" s="1"/>
  <c r="P348"/>
  <c r="D554"/>
  <c r="E554" s="1"/>
  <c r="F554" s="1"/>
  <c r="G554" s="1"/>
  <c r="P358" l="1"/>
  <c r="D588"/>
  <c r="E588" s="1"/>
  <c r="F588" s="1"/>
  <c r="Q348"/>
  <c r="R348" s="1"/>
  <c r="G588" l="1"/>
  <c r="L14" i="38"/>
  <c r="D15" l="1"/>
  <c r="D76" s="1"/>
  <c r="D60" l="1"/>
  <c r="D64" s="1"/>
  <c r="N47" i="11" s="1"/>
  <c r="I76" i="38"/>
  <c r="F76"/>
  <c r="E76"/>
  <c r="J76"/>
  <c r="G76"/>
  <c r="H76"/>
  <c r="P11" i="11" l="1"/>
  <c r="N11"/>
  <c r="O11" s="1"/>
  <c r="C184" i="45"/>
  <c r="D244"/>
  <c r="E60" i="38"/>
  <c r="K76"/>
  <c r="L76" s="1"/>
  <c r="G244" i="45"/>
  <c r="G248" s="1"/>
  <c r="G256" s="1"/>
  <c r="H60" i="38"/>
  <c r="H64" s="1"/>
  <c r="N29" i="11" s="1"/>
  <c r="E184" i="45"/>
  <c r="E188" s="1"/>
  <c r="G60" i="38"/>
  <c r="G64" s="1"/>
  <c r="N24" i="11" s="1"/>
  <c r="F244" i="45"/>
  <c r="F248" s="1"/>
  <c r="F256" s="1"/>
  <c r="H244"/>
  <c r="H248" s="1"/>
  <c r="H256" s="1"/>
  <c r="I60" i="38"/>
  <c r="I64" s="1"/>
  <c r="N34" i="11" s="1"/>
  <c r="F60" i="38"/>
  <c r="F64" s="1"/>
  <c r="N20" i="11" s="1"/>
  <c r="E244" i="45"/>
  <c r="E248" s="1"/>
  <c r="E256" s="1"/>
  <c r="D184"/>
  <c r="D188" s="1"/>
  <c r="J60" i="38"/>
  <c r="J64" s="1"/>
  <c r="N39" i="11" s="1"/>
  <c r="I244" i="45"/>
  <c r="I248" s="1"/>
  <c r="I256" s="1"/>
  <c r="Q11" i="11" l="1"/>
  <c r="P256" i="45"/>
  <c r="P318"/>
  <c r="B15" i="18"/>
  <c r="N25" i="11" s="1"/>
  <c r="B37" i="18"/>
  <c r="P341" i="45"/>
  <c r="D37" i="18"/>
  <c r="D15"/>
  <c r="E64" i="38"/>
  <c r="K60"/>
  <c r="L60" s="1"/>
  <c r="O256" i="45"/>
  <c r="C15" i="18"/>
  <c r="N30" i="11" s="1"/>
  <c r="C37" i="18"/>
  <c r="D248" i="45"/>
  <c r="J244"/>
  <c r="I29" a="1"/>
  <c r="L256"/>
  <c r="M256"/>
  <c r="N256"/>
  <c r="I184"/>
  <c r="C188"/>
  <c r="I188" s="1"/>
  <c r="N35" i="11" l="1"/>
  <c r="N16"/>
  <c r="E37" i="18"/>
  <c r="I31" i="45"/>
  <c r="C31" s="1"/>
  <c r="I36"/>
  <c r="C36" s="1"/>
  <c r="I38"/>
  <c r="C38" s="1"/>
  <c r="I32"/>
  <c r="C32" s="1"/>
  <c r="I33"/>
  <c r="C33" s="1"/>
  <c r="I40"/>
  <c r="C40" s="1"/>
  <c r="I30"/>
  <c r="C30" s="1"/>
  <c r="I34"/>
  <c r="C34" s="1"/>
  <c r="I39"/>
  <c r="C39" s="1"/>
  <c r="I35"/>
  <c r="C35" s="1"/>
  <c r="I37"/>
  <c r="C37" s="1"/>
  <c r="I29"/>
  <c r="C29" s="1"/>
  <c r="K64" i="38"/>
  <c r="C20" i="34"/>
  <c r="E20" s="1"/>
  <c r="E92"/>
  <c r="G92" s="1"/>
  <c r="E15" i="18"/>
  <c r="B25" i="11" a="1"/>
  <c r="C274" i="45"/>
  <c r="D274"/>
  <c r="P335"/>
  <c r="H615"/>
  <c r="Q341"/>
  <c r="R341" s="1"/>
  <c r="D581"/>
  <c r="E581" s="1"/>
  <c r="F581" s="1"/>
  <c r="P343"/>
  <c r="E88" i="34"/>
  <c r="G88" s="1"/>
  <c r="C16"/>
  <c r="E16" s="1"/>
  <c r="P329" i="45"/>
  <c r="D256"/>
  <c r="J248"/>
  <c r="K248" s="1"/>
  <c r="B35" i="11" a="1"/>
  <c r="E274" i="45"/>
  <c r="P323"/>
  <c r="Q318"/>
  <c r="R318" s="1"/>
  <c r="P320"/>
  <c r="H603"/>
  <c r="D558"/>
  <c r="E558" s="1"/>
  <c r="F558" s="1"/>
  <c r="E48" i="34" l="1"/>
  <c r="E39"/>
  <c r="E50" s="1"/>
  <c r="B48" i="11" a="1"/>
  <c r="D48" s="1"/>
  <c r="N48"/>
  <c r="N43"/>
  <c r="N52" s="1"/>
  <c r="N44"/>
  <c r="L64" i="38"/>
  <c r="C26" i="34"/>
  <c r="D37" i="45"/>
  <c r="E37" s="1"/>
  <c r="D30"/>
  <c r="E30" s="1"/>
  <c r="D35"/>
  <c r="E35" s="1"/>
  <c r="D40"/>
  <c r="E40" s="1"/>
  <c r="G558"/>
  <c r="D34"/>
  <c r="E34" s="1"/>
  <c r="D32"/>
  <c r="E32" s="1"/>
  <c r="D33"/>
  <c r="E33" s="1"/>
  <c r="D39"/>
  <c r="E39" s="1"/>
  <c r="G581"/>
  <c r="C19" i="34"/>
  <c r="E19" s="1"/>
  <c r="F25" i="11"/>
  <c r="B25"/>
  <c r="M25"/>
  <c r="E25"/>
  <c r="K25"/>
  <c r="C25"/>
  <c r="H25"/>
  <c r="I25"/>
  <c r="J25"/>
  <c r="G25"/>
  <c r="L25"/>
  <c r="D25"/>
  <c r="G20" i="34"/>
  <c r="D38" i="45"/>
  <c r="E38" s="1"/>
  <c r="P313"/>
  <c r="D36"/>
  <c r="E36" s="1"/>
  <c r="D563"/>
  <c r="Q323"/>
  <c r="R323" s="1"/>
  <c r="H606"/>
  <c r="L606" s="1"/>
  <c r="C17" i="34"/>
  <c r="E17" s="1"/>
  <c r="J256" i="45"/>
  <c r="Q256" s="1"/>
  <c r="K256"/>
  <c r="G16" i="34"/>
  <c r="E90"/>
  <c r="G90" s="1"/>
  <c r="P330" i="45"/>
  <c r="D560"/>
  <c r="Q320"/>
  <c r="R320" s="1"/>
  <c r="C18" i="34"/>
  <c r="E18" s="1"/>
  <c r="C30"/>
  <c r="D31" i="45"/>
  <c r="E31" s="1"/>
  <c r="H35" i="11"/>
  <c r="C35"/>
  <c r="I35"/>
  <c r="D35"/>
  <c r="J35"/>
  <c r="L35"/>
  <c r="F35"/>
  <c r="M35"/>
  <c r="B35"/>
  <c r="E35"/>
  <c r="G35"/>
  <c r="K35"/>
  <c r="Q329" i="45"/>
  <c r="R329" s="1"/>
  <c r="D569"/>
  <c r="E569" s="1"/>
  <c r="F569" s="1"/>
  <c r="H609"/>
  <c r="Q343"/>
  <c r="R343" s="1"/>
  <c r="D583"/>
  <c r="E583" s="1"/>
  <c r="F583" s="1"/>
  <c r="H612"/>
  <c r="D575"/>
  <c r="E575" s="1"/>
  <c r="F575" s="1"/>
  <c r="Q335"/>
  <c r="R335" s="1"/>
  <c r="F274"/>
  <c r="G37" i="34" l="1"/>
  <c r="G39"/>
  <c r="G48"/>
  <c r="E38"/>
  <c r="E49" s="1"/>
  <c r="G49" s="1"/>
  <c r="E30"/>
  <c r="G30" s="1"/>
  <c r="E26"/>
  <c r="G26" s="1"/>
  <c r="E40"/>
  <c r="G50"/>
  <c r="N53" i="11"/>
  <c r="J48"/>
  <c r="G48"/>
  <c r="G336" i="45"/>
  <c r="E613" s="1"/>
  <c r="J336"/>
  <c r="J338" s="1"/>
  <c r="D336"/>
  <c r="D338" s="1"/>
  <c r="H48" i="11"/>
  <c r="F48"/>
  <c r="E48"/>
  <c r="L48"/>
  <c r="M48"/>
  <c r="C48"/>
  <c r="K48"/>
  <c r="I48"/>
  <c r="B48"/>
  <c r="E58" i="34"/>
  <c r="E68" s="1"/>
  <c r="G68" s="1"/>
  <c r="C27"/>
  <c r="C29"/>
  <c r="G583" i="45"/>
  <c r="D439"/>
  <c r="G18" i="34"/>
  <c r="C15"/>
  <c r="C10"/>
  <c r="E87"/>
  <c r="G87" s="1"/>
  <c r="G324" i="45"/>
  <c r="J44" i="11"/>
  <c r="J324" i="45"/>
  <c r="K44" i="11"/>
  <c r="F44"/>
  <c r="E91" i="34"/>
  <c r="G91" s="1"/>
  <c r="P336" i="45"/>
  <c r="E563"/>
  <c r="F563" s="1"/>
  <c r="G563" s="1"/>
  <c r="L558"/>
  <c r="P43" i="11"/>
  <c r="M52"/>
  <c r="P351" i="45"/>
  <c r="D44" i="11"/>
  <c r="D53" s="1"/>
  <c r="I44"/>
  <c r="D324" i="45"/>
  <c r="E44" i="11"/>
  <c r="G575" i="45"/>
  <c r="K563"/>
  <c r="E560"/>
  <c r="F560" s="1"/>
  <c r="G560" s="1"/>
  <c r="G17" i="34"/>
  <c r="D6" i="33"/>
  <c r="L44" i="11"/>
  <c r="M324" i="45"/>
  <c r="H44" i="11"/>
  <c r="P324" i="45"/>
  <c r="M44" i="11"/>
  <c r="G19" i="34"/>
  <c r="G569" i="45"/>
  <c r="D8" i="33"/>
  <c r="E39" s="1"/>
  <c r="M336" i="45"/>
  <c r="C28" i="34"/>
  <c r="P332" i="45"/>
  <c r="H610"/>
  <c r="D570"/>
  <c r="E570" s="1"/>
  <c r="F570" s="1"/>
  <c r="Q330"/>
  <c r="R330" s="1"/>
  <c r="P315"/>
  <c r="Q313"/>
  <c r="R313" s="1"/>
  <c r="H600"/>
  <c r="P346"/>
  <c r="D553"/>
  <c r="G44" i="11"/>
  <c r="C44"/>
  <c r="B44"/>
  <c r="G38" i="34" l="1"/>
  <c r="B53" i="11"/>
  <c r="E62" i="34"/>
  <c r="E82" s="1"/>
  <c r="G82" s="1"/>
  <c r="G41"/>
  <c r="E27"/>
  <c r="G27" s="1"/>
  <c r="G40"/>
  <c r="E51"/>
  <c r="E28"/>
  <c r="G28" s="1"/>
  <c r="E336" i="45"/>
  <c r="F336" s="1"/>
  <c r="I53" i="11"/>
  <c r="E29" i="34"/>
  <c r="E61" s="1"/>
  <c r="E81" s="1"/>
  <c r="G81" s="1"/>
  <c r="C487" i="45"/>
  <c r="G53" i="11"/>
  <c r="L53"/>
  <c r="G338" i="45"/>
  <c r="K338" s="1"/>
  <c r="L338" s="1"/>
  <c r="E53" i="11"/>
  <c r="F613" i="45"/>
  <c r="G58" i="34"/>
  <c r="C531" i="45"/>
  <c r="J53" i="11"/>
  <c r="H336" i="45"/>
  <c r="I336" s="1"/>
  <c r="D613"/>
  <c r="K336"/>
  <c r="L336" s="1"/>
  <c r="D390"/>
  <c r="E390" s="1"/>
  <c r="F390" s="1"/>
  <c r="D487"/>
  <c r="C53" i="11"/>
  <c r="H53"/>
  <c r="C439" i="45"/>
  <c r="E439" s="1"/>
  <c r="F439" s="1"/>
  <c r="E78" i="34"/>
  <c r="G78" s="1"/>
  <c r="F53" i="11"/>
  <c r="K53"/>
  <c r="E52" i="34"/>
  <c r="E47"/>
  <c r="G36"/>
  <c r="L550" i="45"/>
  <c r="E553"/>
  <c r="F553" s="1"/>
  <c r="G553" s="1"/>
  <c r="Q332"/>
  <c r="R332" s="1"/>
  <c r="D572"/>
  <c r="E572" s="1"/>
  <c r="F572" s="1"/>
  <c r="E72" i="34"/>
  <c r="G72" s="1"/>
  <c r="G39" i="33"/>
  <c r="E49"/>
  <c r="G49" s="1"/>
  <c r="E79"/>
  <c r="G79" s="1"/>
  <c r="P44" i="11"/>
  <c r="P352" i="45"/>
  <c r="M53" i="11"/>
  <c r="G607" i="45"/>
  <c r="N324"/>
  <c r="O324" s="1"/>
  <c r="D519"/>
  <c r="M347"/>
  <c r="M326"/>
  <c r="C564"/>
  <c r="K562"/>
  <c r="K558"/>
  <c r="C533"/>
  <c r="D489"/>
  <c r="G347"/>
  <c r="H324"/>
  <c r="I324" s="1"/>
  <c r="D427"/>
  <c r="G326"/>
  <c r="E607"/>
  <c r="C475"/>
  <c r="P338"/>
  <c r="Q336"/>
  <c r="R336" s="1"/>
  <c r="H613"/>
  <c r="D576"/>
  <c r="E89" i="34"/>
  <c r="G89" s="1"/>
  <c r="G93" s="1"/>
  <c r="D10"/>
  <c r="E37" i="33"/>
  <c r="D10"/>
  <c r="D347" i="45"/>
  <c r="E324"/>
  <c r="F324" s="1"/>
  <c r="D378"/>
  <c r="D326"/>
  <c r="C427"/>
  <c r="D607"/>
  <c r="D475"/>
  <c r="J347"/>
  <c r="K324"/>
  <c r="L324" s="1"/>
  <c r="J326"/>
  <c r="F607"/>
  <c r="C519"/>
  <c r="Q315"/>
  <c r="R315" s="1"/>
  <c r="D555"/>
  <c r="E555" s="1"/>
  <c r="F555" s="1"/>
  <c r="D564"/>
  <c r="Q324"/>
  <c r="R324" s="1"/>
  <c r="P326"/>
  <c r="P347"/>
  <c r="H607"/>
  <c r="P356"/>
  <c r="Q346"/>
  <c r="R346" s="1"/>
  <c r="D586"/>
  <c r="E586" s="1"/>
  <c r="F586" s="1"/>
  <c r="G570"/>
  <c r="D531"/>
  <c r="N336"/>
  <c r="O336" s="1"/>
  <c r="G613"/>
  <c r="I613" s="1"/>
  <c r="J613" s="1"/>
  <c r="C576"/>
  <c r="M338"/>
  <c r="E338"/>
  <c r="F338" s="1"/>
  <c r="C441"/>
  <c r="D392"/>
  <c r="E392" s="1"/>
  <c r="F392" s="1"/>
  <c r="C25" i="34"/>
  <c r="C21"/>
  <c r="E15"/>
  <c r="H338" i="45"/>
  <c r="I338" s="1"/>
  <c r="G62" i="34" l="1"/>
  <c r="D441" i="45"/>
  <c r="E531"/>
  <c r="F531" s="1"/>
  <c r="E71" i="34"/>
  <c r="G71" s="1"/>
  <c r="G439" i="45"/>
  <c r="G390"/>
  <c r="E60" i="34"/>
  <c r="E70" s="1"/>
  <c r="G70" s="1"/>
  <c r="G61"/>
  <c r="E487" i="45"/>
  <c r="F487" s="1"/>
  <c r="E59" i="34"/>
  <c r="G51"/>
  <c r="G52"/>
  <c r="C489" i="45"/>
  <c r="E489" s="1"/>
  <c r="F489" s="1"/>
  <c r="G489" s="1"/>
  <c r="G47" i="34"/>
  <c r="E475" i="45"/>
  <c r="F475" s="1"/>
  <c r="G475" s="1"/>
  <c r="E564"/>
  <c r="F564" s="1"/>
  <c r="G564" s="1"/>
  <c r="G487"/>
  <c r="G555"/>
  <c r="G586"/>
  <c r="E441"/>
  <c r="F441" s="1"/>
  <c r="G441" s="1"/>
  <c r="L607"/>
  <c r="G572"/>
  <c r="G392"/>
  <c r="C578"/>
  <c r="D533"/>
  <c r="E533" s="1"/>
  <c r="F533" s="1"/>
  <c r="N338"/>
  <c r="O338" s="1"/>
  <c r="Q338"/>
  <c r="R338" s="1"/>
  <c r="D578"/>
  <c r="D429"/>
  <c r="H326"/>
  <c r="I326" s="1"/>
  <c r="C477"/>
  <c r="E519"/>
  <c r="F519" s="1"/>
  <c r="C542"/>
  <c r="D498"/>
  <c r="K347"/>
  <c r="L347" s="1"/>
  <c r="J357"/>
  <c r="D357"/>
  <c r="E347"/>
  <c r="F347" s="1"/>
  <c r="D401"/>
  <c r="E401" s="1"/>
  <c r="F401" s="1"/>
  <c r="C450"/>
  <c r="I93" i="34"/>
  <c r="C110"/>
  <c r="E576" i="45"/>
  <c r="F576" s="1"/>
  <c r="G576" s="1"/>
  <c r="E80" i="34"/>
  <c r="G80" s="1"/>
  <c r="G60"/>
  <c r="E427" i="45"/>
  <c r="F427" s="1"/>
  <c r="G427" s="1"/>
  <c r="P357"/>
  <c r="D587"/>
  <c r="Q347"/>
  <c r="R347" s="1"/>
  <c r="C429"/>
  <c r="E326"/>
  <c r="F326" s="1"/>
  <c r="D380"/>
  <c r="E380" s="1"/>
  <c r="F380" s="1"/>
  <c r="C566"/>
  <c r="N326"/>
  <c r="O326" s="1"/>
  <c r="D521"/>
  <c r="I607"/>
  <c r="J607" s="1"/>
  <c r="K607"/>
  <c r="E25" i="34"/>
  <c r="E57" s="1"/>
  <c r="C31"/>
  <c r="E21"/>
  <c r="G15"/>
  <c r="D566" i="45"/>
  <c r="Q326"/>
  <c r="R326" s="1"/>
  <c r="C521"/>
  <c r="D477"/>
  <c r="E477" s="1"/>
  <c r="F477" s="1"/>
  <c r="K326"/>
  <c r="L326" s="1"/>
  <c r="E378"/>
  <c r="L383"/>
  <c r="K383" s="1"/>
  <c r="E47" i="33"/>
  <c r="G47" s="1"/>
  <c r="G51" s="1"/>
  <c r="C95" s="1"/>
  <c r="E77"/>
  <c r="G77" s="1"/>
  <c r="G81" s="1"/>
  <c r="C97" s="1"/>
  <c r="G37"/>
  <c r="G41" s="1"/>
  <c r="C94" s="1"/>
  <c r="C498" i="45"/>
  <c r="H347"/>
  <c r="I347" s="1"/>
  <c r="D450"/>
  <c r="G357"/>
  <c r="K565"/>
  <c r="C587"/>
  <c r="M357"/>
  <c r="N347"/>
  <c r="O347" s="1"/>
  <c r="D542"/>
  <c r="E542" s="1"/>
  <c r="F542" s="1"/>
  <c r="K550"/>
  <c r="K554"/>
  <c r="E450" l="1"/>
  <c r="F450" s="1"/>
  <c r="G59" i="34"/>
  <c r="E79"/>
  <c r="G79" s="1"/>
  <c r="E69"/>
  <c r="G69" s="1"/>
  <c r="G21"/>
  <c r="E578" i="45"/>
  <c r="F578" s="1"/>
  <c r="G578" s="1"/>
  <c r="G450"/>
  <c r="E566"/>
  <c r="F566" s="1"/>
  <c r="G566" s="1"/>
  <c r="E521"/>
  <c r="F521" s="1"/>
  <c r="G380"/>
  <c r="E63" i="34"/>
  <c r="G57"/>
  <c r="E77"/>
  <c r="E67"/>
  <c r="C99" i="33"/>
  <c r="F378" i="45"/>
  <c r="G378" s="1"/>
  <c r="L384"/>
  <c r="K384" s="1"/>
  <c r="K402" s="1"/>
  <c r="K451" s="1"/>
  <c r="E498"/>
  <c r="F498" s="1"/>
  <c r="G498" s="1"/>
  <c r="E587"/>
  <c r="F587" s="1"/>
  <c r="G587" s="1"/>
  <c r="K557"/>
  <c r="G477"/>
  <c r="E31" i="34"/>
  <c r="G25"/>
  <c r="G31" s="1"/>
  <c r="C104" s="1"/>
  <c r="E429" i="45"/>
  <c r="F429" s="1"/>
  <c r="G429" s="1"/>
  <c r="K401"/>
  <c r="G401"/>
  <c r="G63" i="34" l="1"/>
  <c r="C107" s="1"/>
  <c r="G35"/>
  <c r="G42" s="1"/>
  <c r="C105" s="1"/>
  <c r="E46"/>
  <c r="K407" i="45"/>
  <c r="K450"/>
  <c r="G67" i="34"/>
  <c r="G73" s="1"/>
  <c r="C108" s="1"/>
  <c r="E73"/>
  <c r="E83"/>
  <c r="G77"/>
  <c r="G83" s="1"/>
  <c r="C109" s="1"/>
  <c r="K388" i="45"/>
  <c r="G46" i="34" l="1"/>
  <c r="G53" s="1"/>
  <c r="C106" l="1"/>
  <c r="C113" l="1"/>
</calcChain>
</file>

<file path=xl/comments1.xml><?xml version="1.0" encoding="utf-8"?>
<comments xmlns="http://schemas.openxmlformats.org/spreadsheetml/2006/main">
  <authors>
    <author>jrs</author>
    <author>Jane</author>
    <author>Jane Wei</author>
  </authors>
  <commentList>
    <comment ref="E171" authorId="0">
      <text>
        <r>
          <rPr>
            <sz val="8"/>
            <color indexed="81"/>
            <rFont val="Tahoma"/>
            <family val="2"/>
          </rPr>
          <t>Jane:
From Hydro One weather sensitivity study.</t>
        </r>
      </text>
    </comment>
    <comment ref="D221" authorId="1">
      <text>
        <r>
          <rPr>
            <b/>
            <sz val="9"/>
            <color indexed="81"/>
            <rFont val="Tahoma"/>
            <family val="2"/>
          </rPr>
          <t>Jane:</t>
        </r>
        <r>
          <rPr>
            <sz val="9"/>
            <color indexed="81"/>
            <rFont val="Tahoma"/>
            <family val="2"/>
          </rPr>
          <t xml:space="preserve">
Allocation is based on customer segments of 2015-2020 CDM plan</t>
        </r>
      </text>
    </comment>
    <comment ref="F587" authorId="2">
      <text>
        <r>
          <rPr>
            <b/>
            <sz val="8"/>
            <color indexed="81"/>
            <rFont val="Tahoma"/>
            <family val="2"/>
          </rPr>
          <t>Jane Wei:</t>
        </r>
        <r>
          <rPr>
            <sz val="8"/>
            <color indexed="81"/>
            <rFont val="Tahoma"/>
            <family val="2"/>
          </rPr>
          <t xml:space="preserve">
Patially due to CDM implementation.</t>
        </r>
      </text>
    </comment>
  </commentList>
</comments>
</file>

<file path=xl/comments10.xml><?xml version="1.0" encoding="utf-8"?>
<comments xmlns="http://schemas.openxmlformats.org/spreadsheetml/2006/main">
  <authors>
    <author>Jane</author>
  </authors>
  <commentList>
    <comment ref="E4" authorId="0">
      <text>
        <r>
          <rPr>
            <b/>
            <sz val="9"/>
            <color indexed="81"/>
            <rFont val="Tahoma"/>
            <family val="2"/>
          </rPr>
          <t>Jane:</t>
        </r>
        <r>
          <rPr>
            <sz val="9"/>
            <color indexed="81"/>
            <rFont val="Tahoma"/>
            <family val="2"/>
          </rPr>
          <t xml:space="preserve">
RPP % by kWh is from 2014 reg asset file 1589 - tab Ga Sales -column BM ( Total Ratio) &amp; line 123 RPP for each class (total kWh is loss adjusted)</t>
        </r>
      </text>
    </comment>
    <comment ref="F15" authorId="0">
      <text>
        <r>
          <rPr>
            <b/>
            <sz val="9"/>
            <color indexed="81"/>
            <rFont val="Tahoma"/>
            <family val="2"/>
          </rPr>
          <t xml:space="preserve">Jane:
</t>
        </r>
        <r>
          <rPr>
            <sz val="9"/>
            <color indexed="81"/>
            <rFont val="Tahoma"/>
            <family val="2"/>
          </rPr>
          <t>Use 2016 Price as Bruce suggested
0.1021 is the price for the period May 1, 2015 to April 30, 2016, issued April 20, 2015.
This is the forecast cost of power generation that IESO pays to generators and charges us. Not TOU price. TOU price is based on this and variance from past TOU and actual cost of power.</t>
        </r>
      </text>
    </comment>
    <comment ref="F25" authorId="0">
      <text>
        <r>
          <rPr>
            <b/>
            <sz val="9"/>
            <color indexed="81"/>
            <rFont val="Tahoma"/>
            <family val="2"/>
          </rPr>
          <t>Jane:</t>
        </r>
        <r>
          <rPr>
            <sz val="9"/>
            <color indexed="81"/>
            <rFont val="Tahoma"/>
            <family val="2"/>
          </rPr>
          <t xml:space="preserve"> Use 2016 Price as Bruce suggested
From OEB Regulated Price Plan Price Report page 3 Table ES-1 for the period May 1, 2015 to April 30, 2016: Forecast Wholesale Electricity Price of $19.92/MWh + Forecast Global Adjustment of $81.94/MWh.
</t>
        </r>
      </text>
    </comment>
    <comment ref="F35" authorId="0">
      <text>
        <r>
          <rPr>
            <b/>
            <sz val="9"/>
            <color indexed="81"/>
            <rFont val="Tahoma"/>
            <family val="2"/>
          </rPr>
          <t>Jane:</t>
        </r>
        <r>
          <rPr>
            <sz val="9"/>
            <color indexed="81"/>
            <rFont val="Tahoma"/>
            <family val="2"/>
          </rPr>
          <t xml:space="preserve">
From 2015 IRM tariff sheet</t>
        </r>
      </text>
    </comment>
    <comment ref="F55" authorId="0">
      <text>
        <r>
          <rPr>
            <b/>
            <sz val="9"/>
            <color indexed="81"/>
            <rFont val="Tahoma"/>
            <family val="2"/>
          </rPr>
          <t>Jane:</t>
        </r>
        <r>
          <rPr>
            <sz val="9"/>
            <color indexed="81"/>
            <rFont val="Tahoma"/>
            <family val="2"/>
          </rPr>
          <t xml:space="preserve">
From 2015 IRM tariff sheet</t>
        </r>
      </text>
    </comment>
    <comment ref="F65" authorId="0">
      <text>
        <r>
          <rPr>
            <b/>
            <sz val="9"/>
            <color indexed="81"/>
            <rFont val="Tahoma"/>
            <family val="2"/>
          </rPr>
          <t>Jane:</t>
        </r>
        <r>
          <rPr>
            <sz val="9"/>
            <color indexed="81"/>
            <rFont val="Tahoma"/>
            <family val="2"/>
          </rPr>
          <t xml:space="preserve">
From 2015 IRM tariff sheet</t>
        </r>
      </text>
    </comment>
    <comment ref="F75" authorId="0">
      <text>
        <r>
          <rPr>
            <b/>
            <sz val="9"/>
            <color indexed="81"/>
            <rFont val="Tahoma"/>
            <family val="2"/>
          </rPr>
          <t>Jane:</t>
        </r>
        <r>
          <rPr>
            <sz val="9"/>
            <color indexed="81"/>
            <rFont val="Tahoma"/>
            <family val="2"/>
          </rPr>
          <t xml:space="preserve">
From 2015 IRM tariff sheet</t>
        </r>
      </text>
    </comment>
    <comment ref="F85" authorId="0">
      <text>
        <r>
          <rPr>
            <b/>
            <sz val="9"/>
            <color indexed="81"/>
            <rFont val="Tahoma"/>
            <family val="2"/>
          </rPr>
          <t>Jane:</t>
        </r>
        <r>
          <rPr>
            <sz val="9"/>
            <color indexed="81"/>
            <rFont val="Tahoma"/>
            <family val="2"/>
          </rPr>
          <t xml:space="preserve">
From 2015 IRM tariff sheet</t>
        </r>
      </text>
    </comment>
  </commentList>
</comments>
</file>

<file path=xl/comments11.xml><?xml version="1.0" encoding="utf-8"?>
<comments xmlns="http://schemas.openxmlformats.org/spreadsheetml/2006/main">
  <authors>
    <author>Jane Wei</author>
  </authors>
  <commentList>
    <comment ref="H23" authorId="0">
      <text>
        <r>
          <rPr>
            <b/>
            <sz val="8"/>
            <color indexed="81"/>
            <rFont val="Tahoma"/>
            <family val="2"/>
          </rPr>
          <t>Jane Wei:</t>
        </r>
        <r>
          <rPr>
            <sz val="8"/>
            <color indexed="81"/>
            <rFont val="Tahoma"/>
            <family val="2"/>
          </rPr>
          <t xml:space="preserve">
If &gt;1.05, explain.</t>
        </r>
      </text>
    </comment>
  </commentList>
</comments>
</file>

<file path=xl/comments2.xml><?xml version="1.0" encoding="utf-8"?>
<comments xmlns="http://schemas.openxmlformats.org/spreadsheetml/2006/main">
  <authors>
    <author>Author</author>
    <author>Jane</author>
  </authors>
  <commentList>
    <comment ref="C6" authorId="0">
      <text>
        <r>
          <rPr>
            <b/>
            <sz val="9"/>
            <color indexed="81"/>
            <rFont val="Tahoma"/>
            <family val="2"/>
          </rPr>
          <t>Author:</t>
        </r>
        <r>
          <rPr>
            <sz val="9"/>
            <color indexed="81"/>
            <rFont val="Tahoma"/>
            <family val="2"/>
          </rPr>
          <t xml:space="preserve">
2005-2010 purchase is from 2012 COS. Purchase in 2005.01-2006.01 is 2012 COS kWh plus St Lawrence, i.e. unadjusted.
</t>
        </r>
      </text>
    </comment>
    <comment ref="O6" authorId="1">
      <text>
        <r>
          <rPr>
            <b/>
            <sz val="9"/>
            <color indexed="81"/>
            <rFont val="Tahoma"/>
            <family val="2"/>
          </rPr>
          <t>Jane:</t>
        </r>
        <r>
          <rPr>
            <sz val="9"/>
            <color indexed="81"/>
            <rFont val="Tahoma"/>
            <family val="2"/>
          </rPr>
          <t xml:space="preserve">
must enter 0 to run regression analysis; can't leave a cell blank
</t>
        </r>
      </text>
    </comment>
    <comment ref="AI37" authorId="0">
      <text>
        <r>
          <rPr>
            <b/>
            <sz val="9"/>
            <color indexed="81"/>
            <rFont val="Tahoma"/>
            <family val="2"/>
          </rPr>
          <t>Jane:</t>
        </r>
        <r>
          <rPr>
            <sz val="9"/>
            <color indexed="81"/>
            <rFont val="Tahoma"/>
            <family val="2"/>
          </rPr>
          <t xml:space="preserve">
Standard error of estimate, small is good</t>
        </r>
      </text>
    </comment>
  </commentList>
</comments>
</file>

<file path=xl/comments3.xml><?xml version="1.0" encoding="utf-8"?>
<comments xmlns="http://schemas.openxmlformats.org/spreadsheetml/2006/main">
  <authors>
    <author>Jane</author>
    <author>Author</author>
    <author>jrs</author>
    <author>Jane Wei</author>
  </authors>
  <commentList>
    <comment ref="C3" authorId="0">
      <text>
        <r>
          <rPr>
            <b/>
            <sz val="9"/>
            <color indexed="81"/>
            <rFont val="Tahoma"/>
            <family val="2"/>
          </rPr>
          <t>Jane:</t>
        </r>
        <r>
          <rPr>
            <sz val="9"/>
            <color indexed="81"/>
            <rFont val="Tahoma"/>
            <family val="2"/>
          </rPr>
          <t xml:space="preserve">
Billed is not adjusted for the loss of St Laurence</t>
        </r>
      </text>
    </comment>
    <comment ref="H43" authorId="1">
      <text>
        <r>
          <rPr>
            <b/>
            <sz val="9"/>
            <color indexed="81"/>
            <rFont val="Tahoma"/>
            <family val="2"/>
          </rPr>
          <t>Author:</t>
        </r>
        <r>
          <rPr>
            <sz val="9"/>
            <color indexed="81"/>
            <rFont val="Tahoma"/>
            <family val="2"/>
          </rPr>
          <t xml:space="preserve">
May be load transfer issue with Hydro One</t>
        </r>
      </text>
    </comment>
    <comment ref="D50" authorId="0">
      <text>
        <r>
          <rPr>
            <b/>
            <sz val="9"/>
            <color indexed="81"/>
            <rFont val="Tahoma"/>
            <family val="2"/>
          </rPr>
          <t>Jane:</t>
        </r>
        <r>
          <rPr>
            <sz val="9"/>
            <color indexed="81"/>
            <rFont val="Tahoma"/>
            <family val="2"/>
          </rPr>
          <t xml:space="preserve">
Consistent with other tabs</t>
        </r>
      </text>
    </comment>
    <comment ref="G70" authorId="2">
      <text>
        <r>
          <rPr>
            <sz val="8"/>
            <color indexed="81"/>
            <rFont val="Tahoma"/>
            <family val="2"/>
          </rPr>
          <t>Jane:
From Hydro One weather sensitivity study.</t>
        </r>
      </text>
    </comment>
    <comment ref="E80" authorId="0">
      <text>
        <r>
          <rPr>
            <b/>
            <sz val="9"/>
            <color indexed="81"/>
            <rFont val="Tahoma"/>
            <family val="2"/>
          </rPr>
          <t>Jane:</t>
        </r>
        <r>
          <rPr>
            <sz val="9"/>
            <color indexed="81"/>
            <rFont val="Tahoma"/>
            <family val="2"/>
          </rPr>
          <t xml:space="preserve">
Allocation is based on customer segments of 2015-2020 CDM plan</t>
        </r>
      </text>
    </comment>
    <comment ref="H81" authorId="0">
      <text>
        <r>
          <rPr>
            <b/>
            <sz val="9"/>
            <color indexed="81"/>
            <rFont val="Tahoma"/>
            <family val="2"/>
          </rPr>
          <t>Jane:</t>
        </r>
        <r>
          <rPr>
            <sz val="9"/>
            <color indexed="81"/>
            <rFont val="Tahoma"/>
            <family val="2"/>
          </rPr>
          <t xml:space="preserve">
Incremental savings over 2014. Program installed in 2014, not included in OPA report yet. Savings have been reflected in billing. </t>
        </r>
      </text>
    </comment>
    <comment ref="H82" authorId="3">
      <text>
        <r>
          <rPr>
            <b/>
            <sz val="8"/>
            <color indexed="81"/>
            <rFont val="Tahoma"/>
            <family val="2"/>
          </rPr>
          <t>Jane Wei:</t>
        </r>
        <r>
          <rPr>
            <sz val="8"/>
            <color indexed="81"/>
            <rFont val="Tahoma"/>
            <family val="2"/>
          </rPr>
          <t xml:space="preserve">
2015 incremental savings over 2015. 2015 savings were reflected in usage per customer. Should avoid double reduction </t>
        </r>
      </text>
    </comment>
  </commentList>
</comments>
</file>

<file path=xl/comments4.xml><?xml version="1.0" encoding="utf-8"?>
<comments xmlns="http://schemas.openxmlformats.org/spreadsheetml/2006/main">
  <authors>
    <author>Jane</author>
    <author>jrs</author>
  </authors>
  <commentList>
    <comment ref="G4" authorId="0">
      <text>
        <r>
          <rPr>
            <b/>
            <sz val="9"/>
            <color indexed="81"/>
            <rFont val="Tahoma"/>
            <family val="2"/>
          </rPr>
          <t>Jane:</t>
        </r>
        <r>
          <rPr>
            <sz val="9"/>
            <color indexed="81"/>
            <rFont val="Tahoma"/>
            <family val="2"/>
          </rPr>
          <t xml:space="preserve">
Add back 2 accounts to be reclassified in street lighting in 2010 for 2005-2009.</t>
        </r>
      </text>
    </comment>
    <comment ref="J4"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L4" authorId="1">
      <text>
        <r>
          <rPr>
            <sz val="8"/>
            <color indexed="81"/>
            <rFont val="Tahoma"/>
            <family val="2"/>
          </rPr>
          <t>Jane:
Reduce 2 accounts to be reclassified in street lighting in 2010 for 2005-2009. And add 10 accounts from the cable company for 2005-2010</t>
        </r>
      </text>
    </comment>
    <comment ref="J5"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J6"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J7"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F8" authorId="0">
      <text>
        <r>
          <rPr>
            <b/>
            <sz val="9"/>
            <color indexed="81"/>
            <rFont val="Tahoma"/>
            <family val="2"/>
          </rPr>
          <t xml:space="preserve">Jane:
</t>
        </r>
        <r>
          <rPr>
            <sz val="9"/>
            <color indexed="81"/>
            <rFont val="Tahoma"/>
            <family val="2"/>
          </rPr>
          <t>10 lights were added for account 404996 Hills Mobilie Village. 1 light was reclassified as street light.</t>
        </r>
      </text>
    </comment>
    <comment ref="J8" authorId="0">
      <text>
        <r>
          <rPr>
            <b/>
            <sz val="9"/>
            <color indexed="81"/>
            <rFont val="Tahoma"/>
            <family val="2"/>
          </rPr>
          <t>Jane:</t>
        </r>
        <r>
          <rPr>
            <sz val="9"/>
            <color indexed="81"/>
            <rFont val="Tahoma"/>
            <family val="2"/>
          </rPr>
          <t xml:space="preserve">
Adjust for 24 underbilled lights and 36 reclassified lights from 2 unmetered loads accounts </t>
        </r>
      </text>
    </comment>
    <comment ref="E9" authorId="0">
      <text>
        <r>
          <rPr>
            <b/>
            <sz val="9"/>
            <color indexed="81"/>
            <rFont val="Tahoma"/>
            <family val="2"/>
          </rPr>
          <t xml:space="preserve">Jane: </t>
        </r>
        <r>
          <rPr>
            <sz val="9"/>
            <color indexed="81"/>
            <rFont val="Tahoma"/>
            <family val="2"/>
          </rPr>
          <t>Allan
Found underbilling for 24 lights in Westport &amp; added 36 lights for SD&amp;G (account 1261) ( - was in Unmetered loads account1320 and 6279
Agrees with RRR Dec 31/10</t>
        </r>
      </text>
    </comment>
    <comment ref="J9" authorId="0">
      <text>
        <r>
          <rPr>
            <b/>
            <sz val="9"/>
            <color indexed="81"/>
            <rFont val="Tahoma"/>
            <family val="2"/>
          </rPr>
          <t>Jane:</t>
        </r>
        <r>
          <rPr>
            <sz val="9"/>
            <color indexed="81"/>
            <rFont val="Tahoma"/>
            <family val="2"/>
          </rPr>
          <t xml:space="preserve">
Jane: Allan
Found underbilling for 24 lights in Westport &amp; added 36 lights for SD&amp;G - was in Scat
Agrees with RRR Dec 31/10</t>
        </r>
      </text>
    </comment>
    <comment ref="G10" authorId="0">
      <text>
        <r>
          <rPr>
            <b/>
            <sz val="9"/>
            <color indexed="81"/>
            <rFont val="Tahoma"/>
            <family val="2"/>
          </rPr>
          <t>Jane</t>
        </r>
        <r>
          <rPr>
            <sz val="9"/>
            <color indexed="81"/>
            <rFont val="Tahoma"/>
            <family val="2"/>
          </rPr>
          <t xml:space="preserve">
10 unmetered scattered load accounts were added from a cable company in early 2011</t>
        </r>
      </text>
    </comment>
    <comment ref="G27" authorId="1">
      <text>
        <r>
          <rPr>
            <b/>
            <sz val="8"/>
            <color indexed="81"/>
            <rFont val="Tahoma"/>
            <family val="2"/>
          </rPr>
          <t>jane</t>
        </r>
        <r>
          <rPr>
            <sz val="8"/>
            <color indexed="81"/>
            <rFont val="Tahoma"/>
            <family val="2"/>
          </rPr>
          <t xml:space="preserve">
Due to one time increase from the cable company</t>
        </r>
      </text>
    </comment>
    <comment ref="E35" authorId="0">
      <text>
        <r>
          <rPr>
            <b/>
            <sz val="9"/>
            <color indexed="81"/>
            <rFont val="Tahoma"/>
            <family val="2"/>
          </rPr>
          <t xml:space="preserve">Jane:
</t>
        </r>
        <r>
          <rPr>
            <sz val="9"/>
            <color indexed="81"/>
            <rFont val="Tahoma"/>
            <family val="2"/>
          </rPr>
          <t>Growth rate based on adjusted connection numbers</t>
        </r>
      </text>
    </comment>
    <comment ref="F35" authorId="1">
      <text>
        <r>
          <rPr>
            <b/>
            <sz val="8"/>
            <color indexed="81"/>
            <rFont val="Tahoma"/>
            <family val="2"/>
          </rPr>
          <t>Jane</t>
        </r>
        <r>
          <rPr>
            <sz val="8"/>
            <color indexed="81"/>
            <rFont val="Tahoma"/>
            <family val="2"/>
          </rPr>
          <t xml:space="preserve">
Increase in 2009 was one time event. Other than that connection number has been a constant.</t>
        </r>
      </text>
    </comment>
    <comment ref="G37" authorId="0">
      <text>
        <r>
          <rPr>
            <b/>
            <sz val="9"/>
            <color indexed="81"/>
            <rFont val="Tahoma"/>
            <family val="2"/>
          </rPr>
          <t>Jane:</t>
        </r>
        <r>
          <rPr>
            <sz val="9"/>
            <color indexed="81"/>
            <rFont val="Tahoma"/>
            <family val="2"/>
          </rPr>
          <t xml:space="preserve">
one time event from a cable company. It is not likely to happy again</t>
        </r>
      </text>
    </comment>
    <comment ref="L37" authorId="0">
      <text>
        <r>
          <rPr>
            <b/>
            <sz val="9"/>
            <color indexed="81"/>
            <rFont val="Tahoma"/>
            <family val="2"/>
          </rPr>
          <t>Jane:</t>
        </r>
        <r>
          <rPr>
            <sz val="9"/>
            <color indexed="81"/>
            <rFont val="Tahoma"/>
            <family val="2"/>
          </rPr>
          <t xml:space="preserve">
one time event from a cable company. It is not likely to happy again</t>
        </r>
      </text>
    </comment>
  </commentList>
</comments>
</file>

<file path=xl/comments5.xml><?xml version="1.0" encoding="utf-8"?>
<comments xmlns="http://schemas.openxmlformats.org/spreadsheetml/2006/main">
  <authors>
    <author>Jane</author>
  </authors>
  <commentList>
    <comment ref="C65" authorId="0">
      <text>
        <r>
          <rPr>
            <b/>
            <sz val="9"/>
            <color indexed="81"/>
            <rFont val="Tahoma"/>
            <family val="2"/>
          </rPr>
          <t>Jane:</t>
        </r>
        <r>
          <rPr>
            <sz val="9"/>
            <color indexed="81"/>
            <rFont val="Tahoma"/>
            <family val="2"/>
          </rPr>
          <t xml:space="preserve">
Ne need to adjust CDM for loss to be used as a variable</t>
        </r>
      </text>
    </comment>
  </commentList>
</comments>
</file>

<file path=xl/comments6.xml><?xml version="1.0" encoding="utf-8"?>
<comments xmlns="http://schemas.openxmlformats.org/spreadsheetml/2006/main">
  <authors>
    <author>Jane</author>
  </authors>
  <commentList>
    <comment ref="E13" authorId="0">
      <text>
        <r>
          <rPr>
            <b/>
            <sz val="9"/>
            <color indexed="81"/>
            <rFont val="Tahoma"/>
            <family val="2"/>
          </rPr>
          <t>Jane:</t>
        </r>
        <r>
          <rPr>
            <sz val="9"/>
            <color indexed="81"/>
            <rFont val="Tahoma"/>
            <family val="2"/>
          </rPr>
          <t xml:space="preserve">
Incremental savngs over 2014</t>
        </r>
      </text>
    </comment>
    <comment ref="E18" authorId="0">
      <text>
        <r>
          <rPr>
            <b/>
            <sz val="9"/>
            <color indexed="81"/>
            <rFont val="Tahoma"/>
            <family val="2"/>
          </rPr>
          <t>Jane:</t>
        </r>
        <r>
          <rPr>
            <sz val="9"/>
            <color indexed="81"/>
            <rFont val="Tahoma"/>
            <family val="2"/>
          </rPr>
          <t xml:space="preserve">
If OPA includes this program in 2014 final report, here should be 0</t>
        </r>
      </text>
    </comment>
  </commentList>
</comments>
</file>

<file path=xl/comments7.xml><?xml version="1.0" encoding="utf-8"?>
<comments xmlns="http://schemas.openxmlformats.org/spreadsheetml/2006/main">
  <authors>
    <author>Jane</author>
  </authors>
  <commentList>
    <comment ref="X5" authorId="0">
      <text>
        <r>
          <rPr>
            <b/>
            <sz val="9"/>
            <color indexed="81"/>
            <rFont val="Tahoma"/>
            <family val="2"/>
          </rPr>
          <t xml:space="preserve">Jane: </t>
        </r>
        <r>
          <rPr>
            <sz val="9"/>
            <color indexed="81"/>
            <rFont val="Tahoma"/>
            <family val="2"/>
          </rPr>
          <t xml:space="preserve">
For 2016. For both 2015 and 2016 if there is no actual for 2015
</t>
        </r>
      </text>
    </comment>
  </commentList>
</comments>
</file>

<file path=xl/comments8.xml><?xml version="1.0" encoding="utf-8"?>
<comments xmlns="http://schemas.openxmlformats.org/spreadsheetml/2006/main">
  <authors>
    <author>Jane</author>
    <author>Jane Wei</author>
  </authors>
  <commentList>
    <comment ref="K13" authorId="0">
      <text>
        <r>
          <rPr>
            <b/>
            <sz val="9"/>
            <color indexed="81"/>
            <rFont val="Tahoma"/>
            <family val="2"/>
          </rPr>
          <t>Jane:</t>
        </r>
        <r>
          <rPr>
            <sz val="9"/>
            <color indexed="81"/>
            <rFont val="Tahoma"/>
            <family val="2"/>
          </rPr>
          <t xml:space="preserve">
From OEB Regulated Price Plan Price Report page 3 Table ES-1 for the period Nov 1, 2015 to Oct 31, 2016: Forecast Wholesale Electricity Price of $18.82/MWh + Forecast Global Adjustment of $87.92/MWh.
</t>
        </r>
      </text>
    </comment>
    <comment ref="F15" authorId="0">
      <text>
        <r>
          <rPr>
            <b/>
            <sz val="9"/>
            <color indexed="81"/>
            <rFont val="Tahoma"/>
            <family val="2"/>
          </rPr>
          <t>Jane:</t>
        </r>
        <r>
          <rPr>
            <sz val="9"/>
            <color indexed="81"/>
            <rFont val="Tahoma"/>
            <family val="2"/>
          </rPr>
          <t xml:space="preserve">
From OEB Regulated Price Plan Price Report page 3 Table ES-1 last line for the period Nov 2016 to May 2017 issued April 14, 2016</t>
        </r>
      </text>
    </comment>
    <comment ref="F25" authorId="0">
      <text>
        <r>
          <rPr>
            <b/>
            <sz val="9"/>
            <color indexed="81"/>
            <rFont val="Tahoma"/>
            <family val="2"/>
          </rPr>
          <t xml:space="preserve">Jane: </t>
        </r>
        <r>
          <rPr>
            <sz val="9"/>
            <color indexed="81"/>
            <rFont val="Tahoma"/>
            <family val="2"/>
          </rPr>
          <t xml:space="preserve">
0.,10674 was found incorrect on October 12, 2016. The correct one is 0.10772. The impacto on revenue requirement is $ 220 only. Peter decided it is not worth of changing all numbers. it It is from a prior report effective November 1, 2015. The correct one should be effective May 1, 2016. May correct it during IRR.
</t>
        </r>
      </text>
    </comment>
    <comment ref="E35" authorId="1">
      <text>
        <r>
          <rPr>
            <b/>
            <sz val="8"/>
            <color indexed="81"/>
            <rFont val="Tahoma"/>
            <family val="2"/>
          </rPr>
          <t>Jane Wei
Changed to use upliftedload forecast</t>
        </r>
      </text>
    </comment>
    <comment ref="N37" authorId="0">
      <text>
        <r>
          <rPr>
            <b/>
            <sz val="9"/>
            <color indexed="81"/>
            <rFont val="Tahoma"/>
            <family val="2"/>
          </rPr>
          <t>Jane:</t>
        </r>
        <r>
          <rPr>
            <sz val="9"/>
            <color indexed="81"/>
            <rFont val="Tahoma"/>
            <family val="2"/>
          </rPr>
          <t xml:space="preserve">
RTST model / final RTS rates </t>
        </r>
      </text>
    </comment>
    <comment ref="G42" authorId="1">
      <text>
        <r>
          <rPr>
            <b/>
            <sz val="8"/>
            <color indexed="81"/>
            <rFont val="Tahoma"/>
            <family val="2"/>
          </rPr>
          <t>Jane Wei:</t>
        </r>
        <r>
          <rPr>
            <sz val="8"/>
            <color indexed="81"/>
            <rFont val="Tahoma"/>
            <family val="2"/>
          </rPr>
          <t xml:space="preserve">
Consistent with RTST model. This is wholesale charge paid out to Hydro One</t>
        </r>
      </text>
    </comment>
    <comment ref="F57" authorId="0">
      <text>
        <r>
          <rPr>
            <b/>
            <sz val="9"/>
            <color indexed="81"/>
            <rFont val="Tahoma"/>
            <family val="2"/>
          </rPr>
          <t>Jane:</t>
        </r>
        <r>
          <rPr>
            <sz val="9"/>
            <color indexed="81"/>
            <rFont val="Tahoma"/>
            <family val="2"/>
          </rPr>
          <t xml:space="preserve">
From 2015 IRM tariff sheet </t>
        </r>
      </text>
    </comment>
    <comment ref="F77" authorId="0">
      <text>
        <r>
          <rPr>
            <b/>
            <sz val="9"/>
            <color indexed="81"/>
            <rFont val="Tahoma"/>
            <family val="2"/>
          </rPr>
          <t>Jane:</t>
        </r>
        <r>
          <rPr>
            <sz val="9"/>
            <color indexed="81"/>
            <rFont val="Tahoma"/>
            <family val="2"/>
          </rPr>
          <t xml:space="preserve">
New rate for 2017</t>
        </r>
      </text>
    </comment>
  </commentList>
</comments>
</file>

<file path=xl/comments9.xml><?xml version="1.0" encoding="utf-8"?>
<comments xmlns="http://schemas.openxmlformats.org/spreadsheetml/2006/main">
  <authors>
    <author>Author</author>
    <author>Jane</author>
  </authors>
  <commentList>
    <comment ref="C6" authorId="0">
      <text>
        <r>
          <rPr>
            <b/>
            <sz val="9"/>
            <color indexed="81"/>
            <rFont val="Tahoma"/>
            <family val="2"/>
          </rPr>
          <t>Author:</t>
        </r>
        <r>
          <rPr>
            <sz val="9"/>
            <color indexed="81"/>
            <rFont val="Tahoma"/>
            <family val="2"/>
          </rPr>
          <t xml:space="preserve">
2005-2010 purchase is from 2012 COS. Purchase in 2005.01-2006.01 is 2012 COS kWh plus St Lawrence, i.e. unadjusted.
</t>
        </r>
      </text>
    </comment>
    <comment ref="R6" authorId="1">
      <text>
        <r>
          <rPr>
            <b/>
            <sz val="9"/>
            <color indexed="81"/>
            <rFont val="Tahoma"/>
            <family val="2"/>
          </rPr>
          <t>Jane:</t>
        </r>
        <r>
          <rPr>
            <sz val="9"/>
            <color indexed="81"/>
            <rFont val="Tahoma"/>
            <family val="2"/>
          </rPr>
          <t xml:space="preserve">
must enter 0 to run regression analysis; can't leave a cell blank
</t>
        </r>
      </text>
    </comment>
  </commentList>
</comments>
</file>

<file path=xl/sharedStrings.xml><?xml version="1.0" encoding="utf-8"?>
<sst xmlns="http://schemas.openxmlformats.org/spreadsheetml/2006/main" count="1585" uniqueCount="582">
  <si>
    <t>Loss Factor</t>
  </si>
  <si>
    <t xml:space="preserve">Residential </t>
  </si>
  <si>
    <t xml:space="preserve">Unmetered Loads </t>
  </si>
  <si>
    <t>Number of Days in Month</t>
  </si>
  <si>
    <t>% Difference</t>
  </si>
  <si>
    <t>Total</t>
  </si>
  <si>
    <t>Variances (kWh)</t>
  </si>
  <si>
    <t>% Variance</t>
  </si>
  <si>
    <t>Average</t>
  </si>
  <si>
    <t xml:space="preserve">Geomean </t>
  </si>
  <si>
    <t>Usage Per Customer</t>
  </si>
  <si>
    <t>Check</t>
  </si>
  <si>
    <t xml:space="preserve">Total </t>
  </si>
  <si>
    <t xml:space="preserve">Used </t>
  </si>
  <si>
    <t>SUMMARY OUTPUT</t>
  </si>
  <si>
    <t>Regression Statistics</t>
  </si>
  <si>
    <t>Multiple R</t>
  </si>
  <si>
    <t>R Square</t>
  </si>
  <si>
    <t>Adjusted R Square</t>
  </si>
  <si>
    <t>Standard Error</t>
  </si>
  <si>
    <t>Observations</t>
  </si>
  <si>
    <t>ANOVA</t>
  </si>
  <si>
    <t>Regression</t>
  </si>
  <si>
    <t>Residual</t>
  </si>
  <si>
    <t>Intercept</t>
  </si>
  <si>
    <t>df</t>
  </si>
  <si>
    <t>SS</t>
  </si>
  <si>
    <t>MS</t>
  </si>
  <si>
    <t>F</t>
  </si>
  <si>
    <t>Significance F</t>
  </si>
  <si>
    <t>Coefficients</t>
  </si>
  <si>
    <t>t Stat</t>
  </si>
  <si>
    <t>P-value</t>
  </si>
  <si>
    <t>Lower 95%</t>
  </si>
  <si>
    <t>Upper 95%</t>
  </si>
  <si>
    <t>% Weather Sensitive</t>
  </si>
  <si>
    <t>Allocation of Weather Sensitive Amount</t>
  </si>
  <si>
    <t xml:space="preserve">  Customers</t>
  </si>
  <si>
    <t xml:space="preserve">  kWh</t>
  </si>
  <si>
    <t xml:space="preserve">  kW</t>
  </si>
  <si>
    <t xml:space="preserve">2005 Actual </t>
  </si>
  <si>
    <t xml:space="preserve">2006 Actual </t>
  </si>
  <si>
    <t xml:space="preserve">2007 Actual </t>
  </si>
  <si>
    <t xml:space="preserve">  Connections</t>
  </si>
  <si>
    <t xml:space="preserve">  kW from applicable classes</t>
  </si>
  <si>
    <t xml:space="preserve">  Customer/Connections</t>
  </si>
  <si>
    <t>Actual kWh Purchases</t>
  </si>
  <si>
    <t>Predicted kWh Purchases</t>
  </si>
  <si>
    <t>By Class</t>
  </si>
  <si>
    <t>Used</t>
  </si>
  <si>
    <t>kW/kWh</t>
  </si>
  <si>
    <t>Jan</t>
  </si>
  <si>
    <t>Feb</t>
  </si>
  <si>
    <t>Mar</t>
  </si>
  <si>
    <t>Apr</t>
  </si>
  <si>
    <t>May</t>
  </si>
  <si>
    <t>Jun</t>
  </si>
  <si>
    <t>Jul</t>
  </si>
  <si>
    <t>Aug</t>
  </si>
  <si>
    <t>Sep</t>
  </si>
  <si>
    <t>Oct</t>
  </si>
  <si>
    <t>Nov</t>
  </si>
  <si>
    <t>Dec</t>
  </si>
  <si>
    <t>`</t>
  </si>
  <si>
    <t>kWh</t>
  </si>
  <si>
    <t>kW</t>
  </si>
  <si>
    <t>TOTAL</t>
  </si>
  <si>
    <t>Electricity - Commodity RPP</t>
  </si>
  <si>
    <t>Class per Load Forecast RPP</t>
  </si>
  <si>
    <t>Electricity - Commodity Non-RPP</t>
  </si>
  <si>
    <t>Class per Load Forecast</t>
  </si>
  <si>
    <t>Transmission - Network</t>
  </si>
  <si>
    <t>Volume</t>
  </si>
  <si>
    <t>Metric</t>
  </si>
  <si>
    <t>Transmission - Connection</t>
  </si>
  <si>
    <t>Wholesale Market Service</t>
  </si>
  <si>
    <t>Rural Rate Assistance</t>
  </si>
  <si>
    <t>4705-Power Purchased</t>
  </si>
  <si>
    <t>4708-Charges-WMS</t>
  </si>
  <si>
    <t>4714-Charges-NW</t>
  </si>
  <si>
    <t>4716-Charges-CN</t>
  </si>
  <si>
    <t xml:space="preserve">4730-Rural Rate Assistance </t>
  </si>
  <si>
    <t xml:space="preserve">4750-Low Voltage </t>
  </si>
  <si>
    <t>% Variance (Abs)</t>
  </si>
  <si>
    <t>CDM</t>
  </si>
  <si>
    <t xml:space="preserve">2008 Actual </t>
  </si>
  <si>
    <t xml:space="preserve">2010 Actual </t>
  </si>
  <si>
    <t xml:space="preserve">2011 Actual </t>
  </si>
  <si>
    <t>2011 Programs</t>
  </si>
  <si>
    <t>2012 Programs</t>
  </si>
  <si>
    <t>2013 Programs</t>
  </si>
  <si>
    <t>2014 Programs</t>
  </si>
  <si>
    <t xml:space="preserve">2009 Actual </t>
  </si>
  <si>
    <t xml:space="preserve">2012 Actual </t>
  </si>
  <si>
    <t>CDM Purchase Adjustment</t>
  </si>
  <si>
    <t>Predicted kWh Purchases after CDM</t>
  </si>
  <si>
    <t xml:space="preserve">Billed kWh </t>
  </si>
  <si>
    <t>CDM Activity</t>
  </si>
  <si>
    <t>Summary of Degree Day Information</t>
  </si>
  <si>
    <t>Month</t>
  </si>
  <si>
    <t>10 Year Avg</t>
  </si>
  <si>
    <t>20 Year Trend</t>
  </si>
  <si>
    <t>January</t>
  </si>
  <si>
    <t>February</t>
  </si>
  <si>
    <t>March</t>
  </si>
  <si>
    <t>April</t>
  </si>
  <si>
    <t>June</t>
  </si>
  <si>
    <t>July</t>
  </si>
  <si>
    <t>August</t>
  </si>
  <si>
    <t>September</t>
  </si>
  <si>
    <t>October</t>
  </si>
  <si>
    <t>November</t>
  </si>
  <si>
    <t>December</t>
  </si>
  <si>
    <t>20 Year Avg</t>
  </si>
  <si>
    <t>4751-Smart Meter Entity Charge</t>
  </si>
  <si>
    <t>4751 - Smart Metering Entity charge</t>
  </si>
  <si>
    <t>General Service &lt; 50 kW</t>
  </si>
  <si>
    <t>Cost of Power 2015</t>
  </si>
  <si>
    <t>2015 Load Forecast</t>
  </si>
  <si>
    <t>2015 Forecasted Metered kWhs</t>
  </si>
  <si>
    <t>2015  Loss Factor</t>
  </si>
  <si>
    <t xml:space="preserve">2013 Actual </t>
  </si>
  <si>
    <t xml:space="preserve">2014 Actual </t>
  </si>
  <si>
    <t>2015 Programs</t>
  </si>
  <si>
    <t>2016 Programs</t>
  </si>
  <si>
    <t>Lower 95.0%</t>
  </si>
  <si>
    <t>Upper 95.0%</t>
  </si>
  <si>
    <t>Regression Analysis</t>
  </si>
  <si>
    <t xml:space="preserve">Notes: </t>
  </si>
  <si>
    <t xml:space="preserve">Adjustment for Microfit </t>
  </si>
  <si>
    <t>Adjustment</t>
  </si>
  <si>
    <t>HDD</t>
  </si>
  <si>
    <t>CDD</t>
  </si>
  <si>
    <t>Spring/Fall Flag</t>
  </si>
  <si>
    <t>Holidays in Month</t>
  </si>
  <si>
    <t>Year</t>
  </si>
  <si>
    <t>Assess the model</t>
  </si>
  <si>
    <t>1)</t>
  </si>
  <si>
    <r>
      <t>R</t>
    </r>
    <r>
      <rPr>
        <vertAlign val="superscript"/>
        <sz val="10"/>
        <rFont val="Arial"/>
        <family val="2"/>
      </rPr>
      <t xml:space="preserve">2 </t>
    </r>
    <r>
      <rPr>
        <sz val="10"/>
        <rFont val="Arial"/>
        <family val="2"/>
      </rPr>
      <t xml:space="preserve"> </t>
    </r>
  </si>
  <si>
    <t>Close to 1</t>
  </si>
  <si>
    <t>higher is better</t>
  </si>
  <si>
    <t>Good</t>
  </si>
  <si>
    <t>2)</t>
  </si>
  <si>
    <r>
      <t>S</t>
    </r>
    <r>
      <rPr>
        <vertAlign val="subscript"/>
        <sz val="10"/>
        <rFont val="Arial"/>
        <family val="2"/>
      </rPr>
      <t>E</t>
    </r>
  </si>
  <si>
    <t>Small</t>
  </si>
  <si>
    <t>smaller is better</t>
  </si>
  <si>
    <t>3)</t>
  </si>
  <si>
    <r>
      <t>&gt;&gt;F</t>
    </r>
    <r>
      <rPr>
        <vertAlign val="subscript"/>
        <sz val="10"/>
        <rFont val="Arial"/>
        <family val="2"/>
      </rPr>
      <t>0.05,6,120-6-1</t>
    </r>
    <r>
      <rPr>
        <sz val="10"/>
        <rFont val="Arial"/>
        <family val="2"/>
      </rPr>
      <t xml:space="preserve"> =2.18</t>
    </r>
  </si>
  <si>
    <t>P value, i.e. Significance F Close 0</t>
  </si>
  <si>
    <t>Assess the Variables</t>
  </si>
  <si>
    <r>
      <t>All t &gt; t</t>
    </r>
    <r>
      <rPr>
        <vertAlign val="subscript"/>
        <sz val="10"/>
        <rFont val="Arial"/>
        <family val="2"/>
      </rPr>
      <t xml:space="preserve"> 0.05/2,120-2 </t>
    </r>
    <r>
      <rPr>
        <sz val="10"/>
        <rFont val="Arial"/>
        <family val="2"/>
      </rPr>
      <t xml:space="preserve"> = 1.981, or &lt; -1.981</t>
    </r>
  </si>
  <si>
    <t>Enough evidence of a linear relationship between each variable and purchased kWh</t>
  </si>
  <si>
    <t xml:space="preserve"> Actual</t>
  </si>
  <si>
    <t>Note: Statistically, MAPE is defined as the average of percentage errors</t>
  </si>
  <si>
    <t>Note: the median is the numerical value separating the higher half of a data sample, from the lower half</t>
  </si>
  <si>
    <t>Variables</t>
  </si>
  <si>
    <t>Change in Variables</t>
  </si>
  <si>
    <t>Coefficient</t>
  </si>
  <si>
    <t>Change in Predicted kWh</t>
  </si>
  <si>
    <t>%</t>
  </si>
  <si>
    <t>Predicted kWh</t>
  </si>
  <si>
    <t>Actual kWh</t>
  </si>
  <si>
    <t>Variance</t>
  </si>
  <si>
    <t>Adjustment for loss of St Lawrence Corp</t>
  </si>
  <si>
    <t>Heating Degree Days ( HDD)</t>
  </si>
  <si>
    <t>Use this</t>
  </si>
  <si>
    <t>20 year</t>
  </si>
  <si>
    <t>Monthly Increment (Year/78)</t>
  </si>
  <si>
    <t>2006 Programs</t>
  </si>
  <si>
    <t>2007 Programs</t>
  </si>
  <si>
    <t>2008 Programs</t>
  </si>
  <si>
    <t>2009 Programs</t>
  </si>
  <si>
    <t>2010 Programs</t>
  </si>
  <si>
    <t>CDM Activity Variable at Billed Level</t>
  </si>
  <si>
    <t>CDM Activity Variable at Purchased Level</t>
  </si>
  <si>
    <t xml:space="preserve">Monthly savings </t>
  </si>
  <si>
    <t xml:space="preserve">Annual savings </t>
  </si>
  <si>
    <t>Persisting to next year</t>
  </si>
  <si>
    <t>RSL 4 Year (2011-2014) kWh Target</t>
  </si>
  <si>
    <t>Billed kWh at the Meter (no loss)</t>
  </si>
  <si>
    <t xml:space="preserve">Streetlights </t>
  </si>
  <si>
    <t>Sentinel Lights</t>
  </si>
  <si>
    <t xml:space="preserve"> Billed Growth</t>
  </si>
  <si>
    <t>5 year average</t>
  </si>
  <si>
    <t xml:space="preserve">5 year average from Appendix </t>
  </si>
  <si>
    <t>Usage Growth</t>
  </si>
  <si>
    <t xml:space="preserve">Default is historical years </t>
  </si>
  <si>
    <t>North Bay used 2 year for usage, count, kW/kWh, 5 year for loss factor</t>
  </si>
  <si>
    <t>5 year</t>
  </si>
  <si>
    <t xml:space="preserve">Non Weather Corrected Forecast Billed </t>
  </si>
  <si>
    <t>Weather Normalization Percentage from 2006 Hydro One Study</t>
  </si>
  <si>
    <t>Manual Adjustment to the Load Forecast on a Net Level</t>
  </si>
  <si>
    <t>Predicted by Model</t>
  </si>
  <si>
    <t>Year over Year</t>
  </si>
  <si>
    <t>Mean Average Percentage Error (Mape) Annually:</t>
  </si>
  <si>
    <t>Mean Average Percentage Error (Mape) Monthly :</t>
  </si>
  <si>
    <t>Predicted Purchases(kWh)</t>
  </si>
  <si>
    <t>Average Used</t>
  </si>
  <si>
    <t>Hydro One Brampton</t>
  </si>
  <si>
    <t>Trend - 5 Y</t>
  </si>
  <si>
    <t>Weight Factor for Inclusion in CDM Adjustment to 2016 Load Forecast</t>
  </si>
  <si>
    <t>Manual CDM Adjustment kWh</t>
  </si>
  <si>
    <t>Total in Year</t>
  </si>
  <si>
    <t>2017 Programs</t>
  </si>
  <si>
    <t>2018 Programs</t>
  </si>
  <si>
    <t>2019 Programs</t>
  </si>
  <si>
    <t>2020 Programs</t>
  </si>
  <si>
    <t xml:space="preserve">% </t>
  </si>
  <si>
    <t xml:space="preserve">Weather Corrected Forecast After CDM </t>
  </si>
  <si>
    <t xml:space="preserve">Weather Corrected Forecast Before CDM </t>
  </si>
  <si>
    <t xml:space="preserve">Street lights </t>
  </si>
  <si>
    <t>Rerun regression analysis when input changes and just before submission</t>
  </si>
  <si>
    <t>B</t>
  </si>
  <si>
    <t>E</t>
  </si>
  <si>
    <t>Do not submit this, for internal use only</t>
  </si>
  <si>
    <t xml:space="preserve">Street Lights </t>
  </si>
  <si>
    <t>Actual Purchases</t>
  </si>
  <si>
    <t>File Number:</t>
  </si>
  <si>
    <t>Jane:</t>
  </si>
  <si>
    <t>Notes in red apply to RSL</t>
  </si>
  <si>
    <t>Exhibit:</t>
  </si>
  <si>
    <t>Tab:</t>
  </si>
  <si>
    <t>Schedule:</t>
  </si>
  <si>
    <t>Page:</t>
  </si>
  <si>
    <t>Date:</t>
  </si>
  <si>
    <t>Appendix 2-R</t>
  </si>
  <si>
    <t>Loss Factors</t>
  </si>
  <si>
    <t>Historical Years</t>
  </si>
  <si>
    <t>5-Year Average</t>
  </si>
  <si>
    <t>A(1)</t>
  </si>
  <si>
    <t>"Wholesale" kWh delivered to distributor (higher value)</t>
  </si>
  <si>
    <t>Updated Feb 19, 2015 for 2016 COS</t>
  </si>
  <si>
    <t>A(2)</t>
  </si>
  <si>
    <t>"Wholesale" kWh delivered to distributor (lower value)</t>
  </si>
  <si>
    <t>Add microfit kWh</t>
  </si>
  <si>
    <t>Portion of "Wholesale" kWh delivered to distributor for its Large Use Customer(s)</t>
  </si>
  <si>
    <t>C</t>
  </si>
  <si>
    <r>
      <t xml:space="preserve">Net "Wholesale" kWh delivered to distributor  = </t>
    </r>
    <r>
      <rPr>
        <b/>
        <sz val="10"/>
        <rFont val="Arial"/>
        <family val="2"/>
      </rPr>
      <t>A(2) - B</t>
    </r>
  </si>
  <si>
    <t>D</t>
  </si>
  <si>
    <t>"Retail" kWh delivered by distributor</t>
  </si>
  <si>
    <t>Portion of "Retail" kWh delivered by distributor to its Large Use Customer(s)</t>
  </si>
  <si>
    <r>
      <t xml:space="preserve">Net "Retail" kWh delivered by distributor = </t>
    </r>
    <r>
      <rPr>
        <b/>
        <sz val="10"/>
        <rFont val="Arial"/>
        <family val="2"/>
      </rPr>
      <t>D - E</t>
    </r>
  </si>
  <si>
    <t>G</t>
  </si>
  <si>
    <r>
      <t xml:space="preserve">Loss Factor in Distributor's system = </t>
    </r>
    <r>
      <rPr>
        <b/>
        <sz val="10"/>
        <rFont val="Arial"/>
        <family val="2"/>
      </rPr>
      <t>C / F</t>
    </r>
  </si>
  <si>
    <t>Losses Upstream of Distributor's System</t>
  </si>
  <si>
    <t>H</t>
  </si>
  <si>
    <t>Supply Facilities Loss Factor</t>
  </si>
  <si>
    <t>Total Losses</t>
  </si>
  <si>
    <t>I</t>
  </si>
  <si>
    <r>
      <t xml:space="preserve">Total Loss Factor = </t>
    </r>
    <r>
      <rPr>
        <b/>
        <sz val="10"/>
        <rFont val="Arial"/>
        <family val="2"/>
      </rPr>
      <t>G x H</t>
    </r>
  </si>
  <si>
    <t>Notes</t>
  </si>
  <si>
    <r>
      <t xml:space="preserve">If directly connected to the IESO-controlled grid, kWh pertains to the virtual meter on the primary or high voltage side of the transformer at the interface with the transmission grid.  This corresponds to the "With Losses" kWh value provided by the IESO's MV-WEB.  It is the </t>
    </r>
    <r>
      <rPr>
        <u/>
        <sz val="10"/>
        <rFont val="Arial"/>
        <family val="2"/>
      </rPr>
      <t>higher</t>
    </r>
    <r>
      <rPr>
        <sz val="10"/>
        <rFont val="Arial"/>
        <family val="2"/>
      </rPr>
      <t xml:space="preserve"> of the two values provided by MV-WEB.</t>
    </r>
  </si>
  <si>
    <r>
      <t xml:space="preserve">If fully embedded within a host distributor, kWh pertains to the virtual meter on the primary or high voltage side of the transformer, at the interface between the host distributor and the transmission grid.  For example, </t>
    </r>
    <r>
      <rPr>
        <sz val="10"/>
        <color rgb="FFFF0000"/>
        <rFont val="Arial"/>
        <family val="2"/>
      </rPr>
      <t>if the host distributor is Hydro One Networks Inc., kWh from the Hydro One Networks' invoice corresponding to "Total kWh w Losses" should be reported</t>
    </r>
    <r>
      <rPr>
        <sz val="10"/>
        <rFont val="Arial"/>
        <family val="2"/>
      </rPr>
      <t xml:space="preserve">.  This corresponds to the </t>
    </r>
    <r>
      <rPr>
        <u/>
        <sz val="10"/>
        <rFont val="Arial"/>
        <family val="2"/>
      </rPr>
      <t>higher</t>
    </r>
    <r>
      <rPr>
        <sz val="10"/>
        <rFont val="Arial"/>
        <family val="2"/>
      </rPr>
      <t xml:space="preserve"> of the two kWh values provided in Hydro One Networks' invoice.</t>
    </r>
  </si>
  <si>
    <t>If partially embedded, kWh pertains to the sum of the above.</t>
  </si>
  <si>
    <r>
      <t xml:space="preserve">If directly connected to the IESO-controlled grid, kWh pertains to a metering installation on the secondary or low voltage side of the transformer at the interface with the transmission grid.  This corresponds to the "Without Losses" kWh value provided by the IESO's MV-WEB.  It is the </t>
    </r>
    <r>
      <rPr>
        <u/>
        <sz val="10"/>
        <rFont val="Arial"/>
        <family val="2"/>
      </rPr>
      <t>lower</t>
    </r>
    <r>
      <rPr>
        <sz val="10"/>
        <rFont val="Arial"/>
        <family val="2"/>
      </rPr>
      <t xml:space="preserve"> of the two kWh values provided by MV-WEB.</t>
    </r>
  </si>
  <si>
    <r>
      <t xml:space="preserve">If fully embedded with the host distributor, kWh pertains to a metering installation on the secondary or low voltage side of the transformer at the interface between the embedded distributor and the host distributor.  For example, </t>
    </r>
    <r>
      <rPr>
        <sz val="10"/>
        <color rgb="FFFF0000"/>
        <rFont val="Arial"/>
        <family val="2"/>
      </rPr>
      <t>if the host distributor is Hydro One Networks Inc., kWh from the Hydro One Networks' invoice corresponding to "Total kWh" should be reported</t>
    </r>
    <r>
      <rPr>
        <sz val="10"/>
        <rFont val="Arial"/>
        <family val="2"/>
      </rPr>
      <t xml:space="preserve">.  This corresponds to the </t>
    </r>
    <r>
      <rPr>
        <u/>
        <sz val="10"/>
        <rFont val="Arial"/>
        <family val="2"/>
      </rPr>
      <t>lower</t>
    </r>
    <r>
      <rPr>
        <sz val="10"/>
        <rFont val="Arial"/>
        <family val="2"/>
      </rPr>
      <t xml:space="preserve"> of the two kWh values provided in Hydro One Networks' invoice.</t>
    </r>
  </si>
  <si>
    <r>
      <t xml:space="preserve">Additionally, kWh pertaining to distributed generation directly connected to the distributor's own distribution network should be included in </t>
    </r>
    <r>
      <rPr>
        <b/>
        <sz val="10"/>
        <color rgb="FFFF0000"/>
        <rFont val="Arial"/>
        <family val="2"/>
      </rPr>
      <t>A(2)</t>
    </r>
    <r>
      <rPr>
        <sz val="10"/>
        <color rgb="FFFF0000"/>
        <rFont val="Arial"/>
        <family val="2"/>
      </rPr>
      <t>.</t>
    </r>
  </si>
  <si>
    <r>
      <t xml:space="preserve">If a Large Use Customer is metered on the secondary or low voltage side of the transformer, the default loss is 1%                         (i.e., </t>
    </r>
    <r>
      <rPr>
        <b/>
        <sz val="10"/>
        <rFont val="Arial"/>
        <family val="2"/>
      </rPr>
      <t>B</t>
    </r>
    <r>
      <rPr>
        <sz val="10"/>
        <rFont val="Arial"/>
        <family val="2"/>
      </rPr>
      <t xml:space="preserve"> = 1.01 X </t>
    </r>
    <r>
      <rPr>
        <b/>
        <sz val="10"/>
        <rFont val="Arial"/>
        <family val="2"/>
      </rPr>
      <t>E</t>
    </r>
    <r>
      <rPr>
        <sz val="10"/>
        <rFont val="Arial"/>
        <family val="2"/>
      </rPr>
      <t>).</t>
    </r>
  </si>
  <si>
    <t>kWh corresponding to D should equal metered or estimated kWh at the customer’s delivery point.</t>
  </si>
  <si>
    <r>
      <t>G</t>
    </r>
    <r>
      <rPr>
        <sz val="10"/>
        <rFont val="Arial"/>
        <family val="2"/>
      </rPr>
      <t xml:space="preserve"> and </t>
    </r>
    <r>
      <rPr>
        <b/>
        <sz val="10"/>
        <rFont val="Arial"/>
        <family val="2"/>
      </rPr>
      <t>I</t>
    </r>
  </si>
  <si>
    <t>These loss factors pertain to secondary-metered customers with demand less than 5,000 kW.</t>
  </si>
  <si>
    <t>If directly connected to the IESO-controlled grid, SFLF = 1.0045.</t>
  </si>
  <si>
    <r>
      <t xml:space="preserve">If fully embedded within a host distributor, SFLF = loss factor re losses in transformer at grid interface X loss factor re losses in host distributor's system. </t>
    </r>
    <r>
      <rPr>
        <sz val="10"/>
        <color rgb="FFFF0000"/>
        <rFont val="Arial"/>
        <family val="2"/>
      </rPr>
      <t xml:space="preserve"> If the host distributor is Hydro One Networks Inc., SFLF = 1.0060 X 1.0278 = 1.0340</t>
    </r>
    <r>
      <rPr>
        <sz val="10"/>
        <rFont val="Arial"/>
        <family val="2"/>
      </rPr>
      <t>. If partially embedded, SFLF should be calculated as the weighted average of above.</t>
    </r>
  </si>
  <si>
    <t>Distributors that wish to propose a different SFLF should provide appropriate justification for any such proposal including supporting</t>
  </si>
  <si>
    <t>calculations and any other relevant material.</t>
  </si>
  <si>
    <t>Revised Purchases kWh</t>
  </si>
  <si>
    <t>Don/t delete this</t>
  </si>
  <si>
    <t xml:space="preserve">CDM at Billed </t>
  </si>
  <si>
    <t xml:space="preserve">CDM at Purchase </t>
  </si>
  <si>
    <t>20 year trend</t>
  </si>
  <si>
    <t xml:space="preserve"> Forecasted Purchases kWh</t>
  </si>
  <si>
    <t>LV</t>
  </si>
  <si>
    <t>Customers</t>
  </si>
  <si>
    <t>Manual Adjustment for CDM</t>
  </si>
  <si>
    <t>Final Purchase after CDM</t>
  </si>
  <si>
    <t>Add back to purchase</t>
  </si>
  <si>
    <t>Unadjusted Purchases kWh</t>
  </si>
  <si>
    <t>Ne need to adjust for Load transfers because purchase and sales match</t>
  </si>
  <si>
    <t>Network</t>
  </si>
  <si>
    <t>Connection</t>
  </si>
  <si>
    <t>GS&gt;50 Interval metered</t>
  </si>
  <si>
    <t>GS&gt;50 excluding interval metered</t>
  </si>
  <si>
    <t>2014 kW</t>
  </si>
  <si>
    <t>Weighted average transmission rate</t>
  </si>
  <si>
    <t>Transmission Rate</t>
  </si>
  <si>
    <t>GS&gt;50</t>
  </si>
  <si>
    <t>IESO Smart Meter Entity Charge</t>
  </si>
  <si>
    <t xml:space="preserve">kWh Variance </t>
  </si>
  <si>
    <t xml:space="preserve">% Variance </t>
  </si>
  <si>
    <t>% Variance Abs</t>
  </si>
  <si>
    <t>Se/Average purchase</t>
  </si>
  <si>
    <t>Net Energy Savings (kWh)</t>
  </si>
  <si>
    <t>RSL 6 Year (2015-2020) kWh Target</t>
  </si>
  <si>
    <t>Brampton Used 5 year average for usage, customer count, kW/kWh, loss factor =sum of historical purchase / sum of historical billed</t>
  </si>
  <si>
    <t>2016 CDM annualized savings (kWh)</t>
  </si>
  <si>
    <t xml:space="preserve"> </t>
  </si>
  <si>
    <t>Half Year Rule to New Programs</t>
  </si>
  <si>
    <t xml:space="preserve">2012 COS used historical years for usage, count, kW/ kWh, 5 years for loss factor calculated in Appendix </t>
  </si>
  <si>
    <t>Niagara Peninsula used historical years for usage, customer count, 3 years for kw/ kWh, 5 years average for loss factor</t>
  </si>
  <si>
    <t>General Service 50 to 4,999 kW</t>
  </si>
  <si>
    <t>General Service 50 to 4,999 kW – Interval Metered</t>
  </si>
  <si>
    <t>Unmetered Scattered Load</t>
  </si>
  <si>
    <t>Sentinel Lighting</t>
  </si>
  <si>
    <t>Street Lighting</t>
  </si>
  <si>
    <t>Rate Class</t>
  </si>
  <si>
    <t>Unit</t>
  </si>
  <si>
    <t>Residential</t>
  </si>
  <si>
    <t>General Service Less Than 50 kW</t>
  </si>
  <si>
    <t>The LRAMVA amount is allocated to the customer classes based on the  proportions of the class CDM adjustment kWh to the total in load forecast.</t>
  </si>
  <si>
    <t>Total Excluding Street Lights</t>
  </si>
  <si>
    <t>Half of Incremental Savings</t>
  </si>
  <si>
    <t>Half year pattern</t>
  </si>
  <si>
    <t>See Kitchener-Wilmot Hydro Inc.’s 2014 COS Application, EB-2013-0147, Exhibit 3, Tab 1, Schedule 4</t>
  </si>
  <si>
    <t>Not Used</t>
  </si>
  <si>
    <t>Year End</t>
  </si>
  <si>
    <t>Average of year beginning and ending</t>
  </si>
  <si>
    <t>From 2016 RTSR Model</t>
  </si>
  <si>
    <t>Cooling Degree Days (CDD)</t>
  </si>
  <si>
    <t>Full year Incremental Savings (over prior year)</t>
  </si>
  <si>
    <t>Drivers of Change in Predicted kWh</t>
  </si>
  <si>
    <t>Annual Savings</t>
  </si>
  <si>
    <t>Predicted Purchased kWh is 230,000 kWh smaller</t>
  </si>
  <si>
    <t xml:space="preserve">Adjusted Street Lights </t>
  </si>
  <si>
    <t xml:space="preserve">Adjusted Unmetered Loads </t>
  </si>
  <si>
    <t>RPP % by kWh is from 2015 RRR2.1.5 Demand and Delivery ( kWh is net consumption)</t>
  </si>
  <si>
    <t>Check update</t>
  </si>
  <si>
    <t>Microfit kWh cost: 0.802</t>
  </si>
  <si>
    <t>Don't delete this</t>
  </si>
  <si>
    <t>Proposed Rates</t>
  </si>
  <si>
    <t>Proportion %</t>
  </si>
  <si>
    <t xml:space="preserve"> Or from 2014 reg asset file 1589 - tab Ga Sales -column BM ( Total Ratio) &amp; line 123 RPP for each class (total kWh is loss adjusted)</t>
  </si>
  <si>
    <t>SD&amp;G is Stormont , Dundasand Glengarry United Counties. Included in Morrisburg.</t>
  </si>
  <si>
    <t>General Service 50 - 4,999 kW Interval</t>
  </si>
  <si>
    <t>General Service  50 to 4,999 kW</t>
  </si>
  <si>
    <t>Actual Purchases kWh</t>
  </si>
  <si>
    <t>From IESO (OPA) 2011-2014 Final Report</t>
  </si>
  <si>
    <t xml:space="preserve"> Annual Increment (net of persistence from prior year)</t>
  </si>
  <si>
    <t>Reported Savings Adjusted for Half Year Rule</t>
  </si>
  <si>
    <t xml:space="preserve">Reported Savings (kWh) Net </t>
  </si>
  <si>
    <t>Table 3.1: Summary of Operating Revenue</t>
  </si>
  <si>
    <t>2012 Board Approved</t>
  </si>
  <si>
    <t>2012 Actual</t>
  </si>
  <si>
    <t>2013 Actual</t>
  </si>
  <si>
    <t>2014 Actual</t>
  </si>
  <si>
    <t>2016 Test Year</t>
  </si>
  <si>
    <t>Base Revenue</t>
  </si>
  <si>
    <t>GS &lt; 50 kW</t>
  </si>
  <si>
    <t>GS &gt;50 to 4999 kW</t>
  </si>
  <si>
    <t>Unmetered and Scattered</t>
  </si>
  <si>
    <t>Subtotal</t>
  </si>
  <si>
    <t>Other Distribution Revenue</t>
  </si>
  <si>
    <t>Specific Service Charges</t>
  </si>
  <si>
    <t>Late Payment Charges</t>
  </si>
  <si>
    <t>Other Operating Revenues</t>
  </si>
  <si>
    <t>Other Income or Deductions</t>
  </si>
  <si>
    <t xml:space="preserve">Service Revenue Total </t>
  </si>
  <si>
    <t>Change %</t>
  </si>
  <si>
    <t>2006 through 2014 Final Results - kWh</t>
  </si>
  <si>
    <t>2015-2016 Forecast - kWh</t>
  </si>
  <si>
    <t>RSL 2011-2014 Target :5.1MkWh, 2011-2014 Actual: 7.251 MkWh</t>
  </si>
  <si>
    <t>11 year</t>
  </si>
  <si>
    <t>2015 %RPP</t>
  </si>
  <si>
    <t xml:space="preserve"> Geomean </t>
  </si>
  <si>
    <t>Non-Normal Weather Billed Energy Forecast (kWh)</t>
  </si>
  <si>
    <t>Adjustment for Weather (kWh)</t>
  </si>
  <si>
    <t>Weather Normalized Billed Energy Forecast (kWh)</t>
  </si>
  <si>
    <t>2016 Forecast</t>
  </si>
  <si>
    <t>2016 Test Year - 11 Year Average</t>
  </si>
  <si>
    <t>Target</t>
  </si>
  <si>
    <t>2016 CDM kWh Target</t>
  </si>
  <si>
    <t>Split Excluding Street Lights</t>
  </si>
  <si>
    <t xml:space="preserve">KWh Allocation </t>
  </si>
  <si>
    <t>2016 LRAMVA kWh</t>
  </si>
  <si>
    <t>2016 LRAMVA kW</t>
  </si>
  <si>
    <t>Adjustment for CDM (kWh)</t>
  </si>
  <si>
    <t>Revenue</t>
  </si>
  <si>
    <t xml:space="preserve">  Revenue</t>
  </si>
  <si>
    <t xml:space="preserve">2015 Actual </t>
  </si>
  <si>
    <t xml:space="preserve">  Average Usage per Customer per Month </t>
  </si>
  <si>
    <t xml:space="preserve">  Average kW per Customer </t>
  </si>
  <si>
    <t xml:space="preserve">  Average kW per Connection</t>
  </si>
  <si>
    <t xml:space="preserve">  Average Usage per Connection</t>
  </si>
  <si>
    <t>2015 Actual</t>
  </si>
  <si>
    <t>1562, 1563</t>
  </si>
  <si>
    <t xml:space="preserve">Pils to refund </t>
  </si>
  <si>
    <t>8 months of fixed rate difference</t>
  </si>
  <si>
    <t>8 months of variable rate difference</t>
  </si>
  <si>
    <t>Decrease in kWh</t>
  </si>
  <si>
    <t>Residential revenue increase  driver</t>
  </si>
  <si>
    <t>LRAM</t>
  </si>
  <si>
    <t>Smart Meter rider</t>
  </si>
  <si>
    <t>Decrease in kW</t>
  </si>
  <si>
    <t>ST</t>
  </si>
  <si>
    <t>Decrease in kW/kWh</t>
  </si>
  <si>
    <t>Customer numbers</t>
  </si>
  <si>
    <t>7 months of fixed rate difference</t>
  </si>
  <si>
    <t>7 months of variable rate difference</t>
  </si>
  <si>
    <t>4 months of Foregone revenue expired fixed</t>
  </si>
  <si>
    <t>4 months of Foregone revenue expired volumetric</t>
  </si>
  <si>
    <t>8 months of smart meter expired</t>
  </si>
  <si>
    <t>volumetric rates</t>
  </si>
  <si>
    <t>Fixed rates</t>
  </si>
  <si>
    <t>LRAM. Pils</t>
  </si>
  <si>
    <t>R</t>
  </si>
  <si>
    <t>Increase in kWh</t>
  </si>
  <si>
    <t>LRAMvA</t>
  </si>
  <si>
    <t>USoA #</t>
  </si>
  <si>
    <t>USoA Description</t>
  </si>
  <si>
    <t>Reporting Basis</t>
  </si>
  <si>
    <t>Retail Services Revenues</t>
  </si>
  <si>
    <t>Service Transaction Requests</t>
  </si>
  <si>
    <t>SSS Administration Revenue</t>
  </si>
  <si>
    <t>Rent from Electric Property</t>
  </si>
  <si>
    <t xml:space="preserve">Gain on Disposition </t>
  </si>
  <si>
    <t>Loss on Disposition</t>
  </si>
  <si>
    <t>Revenues from Non-Utility Operations</t>
  </si>
  <si>
    <t>Expenses of Non-Utility Operations</t>
  </si>
  <si>
    <t>Miscellaneous Non-Operating Income</t>
  </si>
  <si>
    <t>Interest and Dividend Income</t>
  </si>
  <si>
    <t>$</t>
  </si>
  <si>
    <t>2016 Test</t>
  </si>
  <si>
    <t>Table 3.2</t>
  </si>
  <si>
    <t>Table 3.3: Unadjusted Wholesale Purchases 2005-2015 (kWh)</t>
  </si>
  <si>
    <t>Table 3.8:  Purchased vs Weather Adjusted</t>
  </si>
  <si>
    <t>Table 3.6: CDM Summary</t>
  </si>
  <si>
    <t>2011-2010</t>
  </si>
  <si>
    <t>2013-2012</t>
  </si>
  <si>
    <t>2015-2014</t>
  </si>
  <si>
    <t>2008-2007</t>
  </si>
  <si>
    <t>Table 3.11:  Forecast using a twenty year trend weather normalization</t>
  </si>
  <si>
    <t>Table 3.12 Customer/Connection Data</t>
  </si>
  <si>
    <t>Table 3.14: Annual kWh Usage per Customer/Connection</t>
  </si>
  <si>
    <t>Table 3.13 Growth Rate in Customer Numbers</t>
  </si>
  <si>
    <t xml:space="preserve">Smart meter disposition </t>
  </si>
  <si>
    <t>Table 3.26: RSL Weather Normalized Load Forecast for 2016 Rate Application</t>
  </si>
  <si>
    <t>May 1, 2016 - November 1, 2016</t>
  </si>
  <si>
    <t>RPP</t>
  </si>
  <si>
    <t>Non RPP</t>
  </si>
  <si>
    <t xml:space="preserve"> November 1, 2015 - October 31, 2016</t>
  </si>
  <si>
    <t xml:space="preserve">Evidence: </t>
  </si>
  <si>
    <t xml:space="preserve">Jan to May </t>
  </si>
  <si>
    <t xml:space="preserve">Industrial demand </t>
  </si>
  <si>
    <t>Per Customer kW</t>
  </si>
  <si>
    <t>Per Connection kW</t>
  </si>
  <si>
    <t>Per Customer per Month kWh</t>
  </si>
  <si>
    <t>Per Connection per month kWh</t>
  </si>
  <si>
    <t xml:space="preserve">Table 3.13: Growth Rate in Customer Numbers </t>
  </si>
  <si>
    <t>Ch2 Filing Requirement, Tab 2-ILF CDM</t>
  </si>
  <si>
    <t>Rate</t>
  </si>
  <si>
    <t>Amount</t>
  </si>
  <si>
    <t xml:space="preserve">Ontario Electricity Support Program </t>
  </si>
  <si>
    <t>4708-Charges-WMS-OESP</t>
  </si>
  <si>
    <t xml:space="preserve">Year </t>
  </si>
  <si>
    <t xml:space="preserve">Billed (GWh) </t>
  </si>
  <si>
    <t>Growth (GWh)</t>
  </si>
  <si>
    <t>Percent Change (%)</t>
  </si>
  <si>
    <t xml:space="preserve"> Growth</t>
  </si>
  <si>
    <t>Customer /Connection Count</t>
  </si>
  <si>
    <t xml:space="preserve">Percent Change </t>
  </si>
  <si>
    <t>2016 Weather Normalized</t>
  </si>
  <si>
    <t>Table 3.2:  Customer and Volume Trend Table</t>
  </si>
  <si>
    <t>Table 3.: Summary of Load and Customer/Connection Forecast</t>
  </si>
  <si>
    <t xml:space="preserve">See Tab Summary </t>
  </si>
  <si>
    <t xml:space="preserve"> Table 3.5:  HDD and CDD </t>
  </si>
  <si>
    <t>See Tab HDD &amp; CDD</t>
  </si>
  <si>
    <t>Table 3.10:  Forecast Using A Ten Year Average Weather Normalization</t>
  </si>
  <si>
    <t>Predicted Purchases (kWh)</t>
  </si>
  <si>
    <t>Customer Number</t>
  </si>
  <si>
    <t>Table 3.7:  Correlation/Regression Results</t>
  </si>
  <si>
    <t>See Tab Purchased Power Model</t>
  </si>
  <si>
    <t xml:space="preserve">Table 3.8:  Predicted Purchases vs Actual Purchased  </t>
  </si>
  <si>
    <t>Table 3.9:  Predicted VS Actual</t>
  </si>
  <si>
    <t xml:space="preserve">Table 3.12 Number of Customers/Connections </t>
  </si>
  <si>
    <t>See Tab Rate Class Customer Model</t>
  </si>
  <si>
    <t>Table 3.16: Billed Consumption Forecast Adjusted for Weather</t>
  </si>
  <si>
    <t>Table 3.15: Weather Sensitivity</t>
  </si>
  <si>
    <t>Table 3.17: 2011-2014 Net Saving (kWh) Target</t>
  </si>
  <si>
    <t>Table 3.18: 2015-2020 kWh Saving Target</t>
  </si>
  <si>
    <t>Table 3.19: Weight Factor for Inclusion in CDM Adjustment to 2016 Load Forecast</t>
  </si>
  <si>
    <t>Ch2 Filing Requirement Appendix, Tab 2-ILF CDM</t>
  </si>
  <si>
    <t>Table 3.20: Allocation of CDM Adjustment</t>
  </si>
  <si>
    <t>Table 3.21: 2016 Expected CDM Savings by Rate Class for LRAM Variance Account</t>
  </si>
  <si>
    <t>Table 3.22: CDM Impact and LRAMVA Threshold</t>
  </si>
  <si>
    <t>Table 3.23: Alignment of Non-Normal to Weather Normal Forecast</t>
  </si>
  <si>
    <t>Table 3.24: Historical Annual kW</t>
  </si>
  <si>
    <t>Table 3.25: kW/kWh Ratio</t>
  </si>
  <si>
    <t xml:space="preserve"> see Tab Summary</t>
  </si>
  <si>
    <t>Table 3.27: 2016 Test Year Revenue at Existing Rates</t>
  </si>
  <si>
    <t>Table 3.28: 2016 Test Year Distribution Revenue at Proposed Rates</t>
  </si>
  <si>
    <t>See Rate design model, Tab "2016 Test Yr on Existing Rates"</t>
  </si>
  <si>
    <t>Table 3.29: Historical Analysis of Distribution Revenue and Billing Determinants</t>
  </si>
  <si>
    <t>Table 3.30: 2012 Actual vs 2012 Board Approved</t>
  </si>
  <si>
    <t>Table 3.31: 2013 Actual vs 2012 Actual</t>
  </si>
  <si>
    <t xml:space="preserve">Table 3.32: 2014 Actual vs 2013 Actual </t>
  </si>
  <si>
    <t>Table 3.33: 2015 Actual vs 2014 Actual</t>
  </si>
  <si>
    <t>Table 3.34: 2016 Test Year vs 2015 Actual</t>
  </si>
  <si>
    <t>Table 3.37:  OEB Appendix 2-H Other Operating Revenue</t>
  </si>
  <si>
    <t>Table 3.38: 2012 Actual vs 2012 Board Approved</t>
  </si>
  <si>
    <t>Table 3.39: 2013 Actual vs 2012 Actual</t>
  </si>
  <si>
    <t>Table 3.40: 2014 Actual vs 2013 Actual</t>
  </si>
  <si>
    <t>Table 3.41: 2015 Actual vs 2014 Actual</t>
  </si>
  <si>
    <t>Table 3.42: 2016 Test Year vs 2015 Actual</t>
  </si>
  <si>
    <t>Table 3.4: Adjusted Wholesale Purchases 2005-2014 (kWh)</t>
  </si>
  <si>
    <t>2015 vs 2012 Board Approved</t>
  </si>
  <si>
    <t>2014 Purchase</t>
  </si>
  <si>
    <t>2015 Purchase</t>
  </si>
  <si>
    <t>Table 3.36: Average  per Customer / Connection Use</t>
  </si>
  <si>
    <t>Table 3.35: OEB Appendix 2-IA Summary and Variances of Actual and Forecast Data</t>
  </si>
  <si>
    <t>See Ch2 Filing Requirement Appendices</t>
  </si>
  <si>
    <t>kW Savings</t>
  </si>
  <si>
    <t>kWh Savings</t>
  </si>
  <si>
    <t>Industrial  2012</t>
  </si>
  <si>
    <t>Industrial  2013</t>
  </si>
  <si>
    <t>Industrial  2014</t>
  </si>
  <si>
    <t xml:space="preserve">LRAMVA 
In accordance with the Guidelines for Electricity Distributor Conservation and Demand Management (EB-2014-0278), issued December 19, 2014 (“CDM Guidelines”), it is RSL’s understanding that as part of this Application, expected CDM savings in 2016 from
2015 and 2016 programs will need to be established for lost revenue adjustment mechanism (“LRAM”) variance account purposes.  RSL also understands that the IESO (formally the OPA) will measure CDM results on a full year net basis.  Consistent with past practices, it is expected the full year net level of savings will be used for LRAM variance calculations.  As a result, it is RSL’s view that the units used for the 2016 LRAM variance account should also be on a full year net basis.  Based on the information in Table 3.18 above, RSL expects to achieve 1,666,666 net kWh savings in 2016 from 2015 to 2016 CDM programs.  For LRAM variance account purposes, the following Table 3.21 outlines how this expected savings has been allocated to rate classes.  The expected kW savings has also been provided in Table 3.21 for those classes of which distribution charges are billed on a kW basis using the average kW/KWh ratios from Table 3.25.
Table 3.21: 2016 Expected CDM Savings by Rate Class for LRAM Variance Account
</t>
  </si>
  <si>
    <t>Ontario Real GDP</t>
  </si>
  <si>
    <t>Customer Count (R+C+I)</t>
  </si>
  <si>
    <t>Scenario 1</t>
  </si>
  <si>
    <t>Scenario 2</t>
  </si>
  <si>
    <t>Scenario 3</t>
  </si>
  <si>
    <t>Scenario 4</t>
  </si>
  <si>
    <t>RPP Supply Cost Summary</t>
  </si>
  <si>
    <t xml:space="preserve">Load-Weighted Price for RPP Consumers ($ / MWh) </t>
  </si>
  <si>
    <t xml:space="preserve">Impact of the Global Adjustment ($ / MWh) </t>
  </si>
  <si>
    <t xml:space="preserve">+ </t>
  </si>
  <si>
    <t xml:space="preserve">Adjustment to Address Bias Towards Unfavourable Variance ($ / MWh) </t>
  </si>
  <si>
    <t xml:space="preserve">Adjustment to Clear Existing Variance ($ / MWh) </t>
  </si>
  <si>
    <t>=</t>
  </si>
  <si>
    <t xml:space="preserve">Average Supply Cost for RPP Consumers ($ / MWh) </t>
  </si>
  <si>
    <t xml:space="preserve">       Forecast Wholesale Electricity Price </t>
  </si>
  <si>
    <t>Non-RPP Supply Cost Summary</t>
  </si>
  <si>
    <t>Uplifted kWh</t>
  </si>
  <si>
    <t>GRAND TOTAL</t>
  </si>
  <si>
    <t xml:space="preserve">Total: 2016 Cost of Power Expenses </t>
  </si>
  <si>
    <t>for the period from November 1, 2015 through October 31, 2016</t>
  </si>
  <si>
    <t>Price Report</t>
  </si>
  <si>
    <t>to</t>
  </si>
  <si>
    <t>Ontario Energy Board</t>
  </si>
  <si>
    <t>Regulated Price Plan Price Report</t>
  </si>
  <si>
    <t>Published October 15, 2015</t>
  </si>
  <si>
    <t>November 1, 2015 to October 31, 2016</t>
  </si>
  <si>
    <t>Table 2. – Summary of Commodity Price</t>
  </si>
  <si>
    <t>Annual Usage Per Customer/Connection</t>
  </si>
  <si>
    <t>Customer/Connection</t>
  </si>
  <si>
    <t>Weather Normalized kWh before CDM Adjustment</t>
  </si>
  <si>
    <t xml:space="preserve"> Weather Normalized Billed Energy Forecast after CDM Adjustment  (kWh)</t>
  </si>
  <si>
    <t>don't delete - linked to Chapter 2</t>
  </si>
  <si>
    <t>Half 2015 impact is included in 2015CDM variable. Full 2015 persistence is included in 2016 and 2017 CDM variable</t>
  </si>
  <si>
    <t>2017  Normal</t>
  </si>
  <si>
    <t>Full 2015 CDM persistence is included in CDM variable for 2016 and 2017</t>
  </si>
  <si>
    <t>2017 Normal -10 year average</t>
  </si>
  <si>
    <t>2017 Normal -20 year trend</t>
  </si>
  <si>
    <t>12 year average</t>
  </si>
  <si>
    <t>12 year</t>
  </si>
  <si>
    <t>2017 Forecast 2017</t>
  </si>
  <si>
    <t>Jane: 12year gives a lower kW</t>
  </si>
  <si>
    <t>2017 CDM annualized savings (kWh)</t>
  </si>
  <si>
    <t>2017 CDM net kWh</t>
  </si>
  <si>
    <t>2017 CDM kW</t>
  </si>
  <si>
    <t>CDM Adjustment in 2017 Load Forecast (billed kWh)</t>
  </si>
  <si>
    <t>2017 Expected CDM Savings for LRAM Variance Account</t>
  </si>
  <si>
    <t>2017 Weather Normal</t>
  </si>
  <si>
    <t xml:space="preserve">2016 Actual </t>
  </si>
  <si>
    <t>2017 Load Forecast</t>
  </si>
  <si>
    <t>Table 2.17: Cost of Power Calculation for 2017 Test Year</t>
  </si>
  <si>
    <t>2016 %RPP</t>
  </si>
  <si>
    <t>2017 Forecasted Metered kWh</t>
  </si>
  <si>
    <t>2017  Loss Factor</t>
  </si>
  <si>
    <t>November 1, 2016 to October 31, 2017</t>
  </si>
  <si>
    <t>Published October 14, 2016</t>
  </si>
  <si>
    <t>for the period from November 1, 2016 through October 31, 2017</t>
  </si>
  <si>
    <t>Data 2005 - 2015 is used in regression analysis, because 2016 CDM is unavalaible</t>
  </si>
  <si>
    <t>Comparison of 2015 CDM Impacts</t>
  </si>
  <si>
    <t>VECC 3-17-d)</t>
  </si>
  <si>
    <t>Source</t>
  </si>
  <si>
    <t>2016 Load Forecast</t>
  </si>
  <si>
    <t xml:space="preserve">IESO Report </t>
  </si>
  <si>
    <t>2016 LRAMVA</t>
  </si>
  <si>
    <t>2017 LRAMVA</t>
  </si>
  <si>
    <t>2017 new programs + 2016 persistance - 2017 COS forecasat</t>
  </si>
  <si>
    <t>2016 new programs + 2011-2015 persistance - 2012 COS forecast</t>
  </si>
  <si>
    <t>Settlement</t>
  </si>
</sst>
</file>

<file path=xl/styles.xml><?xml version="1.0" encoding="utf-8"?>
<styleSheet xmlns="http://schemas.openxmlformats.org/spreadsheetml/2006/main">
  <numFmts count="148">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0"/>
    <numFmt numFmtId="175" formatCode="#,##0.0000"/>
    <numFmt numFmtId="176" formatCode="0.0000%"/>
    <numFmt numFmtId="177" formatCode="#,##0.0000_);\(#,##0.0000\)"/>
    <numFmt numFmtId="178" formatCode="_(* #,##0_);_(* \(#,##0\);_(* &quot;-&quot;??_);_(@_)"/>
    <numFmt numFmtId="179" formatCode="_(* #,##0.0_);_(* \(#,##0.0\);_(* &quot;-&quot;??_);_(@_)"/>
    <numFmt numFmtId="180" formatCode="_(* #,##0.0000_);_(* \(#,##0.0000\);_(* &quot;-&quot;??_);_(@_)"/>
    <numFmt numFmtId="181" formatCode="_-* #,##0_-;\-* #,##0_-;_-* &quot;-&quot;??_-;_-@_-"/>
    <numFmt numFmtId="182" formatCode="&quot;$&quot;#,##0.00000_);\(&quot;$&quot;#,##0.00000\)"/>
    <numFmt numFmtId="183" formatCode="#,##0.00000_);\(#,##0.00000\)"/>
    <numFmt numFmtId="184" formatCode="&quot;$&quot;#,##0.0000_);\(&quot;$&quot;#,##0.0000\)"/>
    <numFmt numFmtId="185" formatCode="_-* #,##0.0_-;\-* #,##0.0_-;_-* &quot;-&quot;??_-;_-@_-"/>
    <numFmt numFmtId="186" formatCode="_-* #,##0.0000000_-;\-* #,##0.0000000_-;_-* &quot;-&quot;??_-;_-@_-"/>
    <numFmt numFmtId="187" formatCode="#,##0.0"/>
    <numFmt numFmtId="188" formatCode="mm/dd/yyyy"/>
    <numFmt numFmtId="189" formatCode="0\-0"/>
    <numFmt numFmtId="190" formatCode="##\-#"/>
    <numFmt numFmtId="191" formatCode="&quot;£ &quot;#,##0.00;[Red]\-&quot;£ &quot;#,##0.00"/>
    <numFmt numFmtId="192" formatCode="[$-F800]dddd\,\ mmmm\ dd\,\ yyyy"/>
    <numFmt numFmtId="193" formatCode="_-* #,##0.0000_-;\-* #,##0.0000_-;_-* &quot;-&quot;????_-;_-@_-"/>
    <numFmt numFmtId="194" formatCode="#,##0.000"/>
    <numFmt numFmtId="195" formatCode="#,##0.000000"/>
    <numFmt numFmtId="196" formatCode="_(&quot;$&quot;* #,##0_);_(&quot;$&quot;* \(#,##0\);_(&quot;$&quot;* &quot;-&quot;??_);_(@_)"/>
    <numFmt numFmtId="197" formatCode="#,##0.0_);[Red]\(#,##0.0\)"/>
    <numFmt numFmtId="198" formatCode="#,##0.0_);\(#,##0.0\)"/>
    <numFmt numFmtId="199" formatCode="&quot;$&quot;_(#,##0.00_);&quot;$&quot;\(#,##0.00\)"/>
    <numFmt numFmtId="200" formatCode="_(&quot;$&quot;* #,##0.00000000000000000_);_(&quot;$&quot;* \(#,##0.00000000000000000\);_(&quot;$&quot;* &quot;-&quot;??_);_(@_)"/>
    <numFmt numFmtId="201" formatCode="_-&quot;£&quot;* #,##0.00_-;\-&quot;£&quot;* #,##0.00_-;_-&quot;£&quot;* &quot;-&quot;??_-;_-@_-"/>
    <numFmt numFmtId="202" formatCode="#,##0.0_)\x;\(#,##0.0\)\x"/>
    <numFmt numFmtId="203" formatCode="_(&quot;$&quot;* #,##0.00000000_);_(&quot;$&quot;* \(#,##0.00000000\);_(&quot;$&quot;* &quot;-&quot;??_);_(@_)"/>
    <numFmt numFmtId="204" formatCode="_(&quot;$&quot;* #,##0.00000000000_);_(&quot;$&quot;* \(#,##0.00000000000\);_(&quot;$&quot;* &quot;-&quot;??_);_(@_)"/>
    <numFmt numFmtId="205" formatCode="_(&quot;$&quot;* #,##0.000000000000_);_(&quot;$&quot;* \(#,##0.000000000000\);_(&quot;$&quot;* &quot;-&quot;??_);_(@_)"/>
    <numFmt numFmtId="206" formatCode="_-&quot;£&quot;* #,##0_-;\-&quot;£&quot;* #,##0_-;_-&quot;£&quot;* &quot;-&quot;_-;_-@_-"/>
    <numFmt numFmtId="207" formatCode="#,##0.0_)_x;\(#,##0.0\)_x"/>
    <numFmt numFmtId="208" formatCode="_(* #,##0.0_);_(* \(#,##0.0\);_(* &quot;-&quot;?_);_(@_)"/>
    <numFmt numFmtId="209" formatCode="#,##0.0_)_x;\(#,##0.0\)_x;0.0_)_x;@_)_x"/>
    <numFmt numFmtId="210" formatCode="_(&quot;$&quot;* #,##0.00000000000000_);_(&quot;$&quot;* \(#,##0.00000000000000\);_(&quot;$&quot;* &quot;-&quot;??_);_(@_)"/>
    <numFmt numFmtId="211" formatCode="0.0_)\%;\(0.0\)\%"/>
    <numFmt numFmtId="212" formatCode="_(&quot;$&quot;* #,##0.000000000000000_);_(&quot;$&quot;* \(#,##0.000000000000000\);_(&quot;$&quot;* &quot;-&quot;??_);_(@_)"/>
    <numFmt numFmtId="213" formatCode="#,##0.0_)_%;\(#,##0.0\)_%"/>
    <numFmt numFmtId="214" formatCode="_(* #,##0.000_);_(* \(#,##0.000\);_(* &quot;-&quot;??_);_(@_)"/>
    <numFmt numFmtId="215" formatCode="#,##0.0_);\(#,##0.0\);0_._0_)"/>
    <numFmt numFmtId="216" formatCode="\¥\ #,##0_);[Red]\(\¥\ #,##0\)"/>
    <numFmt numFmtId="217" formatCode="0.000000"/>
    <numFmt numFmtId="218" formatCode="[&gt;1]&quot;10Q: &quot;0&quot; qtrs&quot;;&quot;10Q: &quot;0&quot; qtr&quot;"/>
    <numFmt numFmtId="219" formatCode="0.0%;[Red]\(0.0%\)"/>
    <numFmt numFmtId="220" formatCode="#,##0.0\ \ \ _);\(#,##0.0\)\ \ "/>
    <numFmt numFmtId="221" formatCode="#,##0.00;[Red]\(#,##0.00\)"/>
    <numFmt numFmtId="222" formatCode="_-* #,##0.00\ _F_-;\-* #,##0.00\ _F_-;_-* &quot;-&quot;??\ _F_-;_-@_-"/>
    <numFmt numFmtId="223" formatCode="m\-d\-yy"/>
    <numFmt numFmtId="224" formatCode="&quot;£&quot;#,##0.00_);[Red]\(&quot;£&quot;#,##0.00\)"/>
    <numFmt numFmtId="225" formatCode="0.0_)"/>
    <numFmt numFmtId="226" formatCode="m/yy"/>
    <numFmt numFmtId="227" formatCode="#,###.0#"/>
    <numFmt numFmtId="228" formatCode="#,###.#"/>
    <numFmt numFmtId="229" formatCode="&quot;$&quot;#,##0.00"/>
    <numFmt numFmtId="230" formatCode="0000\ \-\ 0000"/>
    <numFmt numFmtId="231" formatCode="[Red][&gt;0.0000001]\+#,##0.?#;[Red][&lt;-0.0000001]\-#,##0.?#;[Green]&quot;=  &quot;"/>
    <numFmt numFmtId="232" formatCode="#.#######\x"/>
    <numFmt numFmtId="233" formatCode="0.00000E+00"/>
    <numFmt numFmtId="234" formatCode="_(* #,##0.0_);_(* \(#,##0.0\);_(* &quot;-&quot;_);_(@_)"/>
    <numFmt numFmtId="235" formatCode="_-* #,##0.00\ _D_M_-;\-* #,##0.00\ _D_M_-;_-* &quot;-&quot;??\ _D_M_-;_-@_-"/>
    <numFmt numFmtId="236" formatCode="#,##0_%_);\(#,##0\)_%;#,##0_%_);@_%_)"/>
    <numFmt numFmtId="237" formatCode="#,##0.00_%_);\(#,##0.00\)_%;**;@_%_)"/>
    <numFmt numFmtId="238" formatCode="0.000\x"/>
    <numFmt numFmtId="239" formatCode="&quot;$&quot;#,##0.00_);[Red]\(&quot;$&quot;#,##0.00\);&quot;--  &quot;;_(@_)"/>
    <numFmt numFmtId="240" formatCode="_(&quot;$&quot;* #,##0.0_);_(&quot;$&quot;* \(#,##0.0\);_(&quot;$&quot;* &quot;-&quot;_);_(@_)"/>
    <numFmt numFmtId="241" formatCode="&quot;$&quot;#,##0.00_%_);\(&quot;$&quot;#,##0.00\)_%;**;@_%_)"/>
    <numFmt numFmtId="242" formatCode="&quot;$&quot;#,##0.00_%_);\(&quot;$&quot;#,##0.00\)_%;&quot;$&quot;###0.00_%_);@_%_)"/>
    <numFmt numFmtId="243" formatCode="_(\§\ #,##0_)\ ;[Red]\(\§\ #,##0\)\ ;&quot; - &quot;;_(@\ _)"/>
    <numFmt numFmtId="244" formatCode="_(\§\ #,##0.00_);[Red]\(\§\ #,##0.00\);&quot; - &quot;_0_0;_(@_)"/>
    <numFmt numFmtId="245" formatCode="###0.00_)"/>
    <numFmt numFmtId="246" formatCode="m/d/yy_%_)"/>
    <numFmt numFmtId="247" formatCode="mmm\-dd\-yyyy"/>
    <numFmt numFmtId="248" formatCode="mmm\-d\-yyyy"/>
    <numFmt numFmtId="249" formatCode="mmm\-yyyy"/>
    <numFmt numFmtId="250" formatCode="m/d/yy_%_);;**"/>
    <numFmt numFmtId="251" formatCode="_([$€-2]* #,##0.00_);_([$€-2]* \(#,##0.00\);_([$€-2]* &quot;-&quot;??_)"/>
    <numFmt numFmtId="252" formatCode="&quot;$&quot;#,##0.000_);[Red]\(&quot;$&quot;#,##0.000\)"/>
    <numFmt numFmtId="253" formatCode="0.0000000000000"/>
    <numFmt numFmtId="254" formatCode="0_)"/>
    <numFmt numFmtId="255" formatCode="[$-409]d\-mmm\-yy;@"/>
    <numFmt numFmtId="256" formatCode="#,##0.00_);[Red]\(#,##0.00\);\-\-\ \ \ "/>
    <numFmt numFmtId="257" formatCode="General_)"/>
    <numFmt numFmtId="258" formatCode="&quot;&quot;"/>
    <numFmt numFmtId="259" formatCode="#,##0.0\ ;\(#,##0.0\ \)"/>
    <numFmt numFmtId="260" formatCode="0.0%;0.0%;\-\ "/>
    <numFmt numFmtId="261" formatCode="0.0%\ ;\(0.0%\)"/>
    <numFmt numFmtId="262" formatCode="_ * #,##0.00_)\ _$_ ;_ * \(#,##0.00\)\ _$_ ;_ * &quot;-&quot;??_)\ _$_ ;_ @_ "/>
    <numFmt numFmtId="263" formatCode="#,##0.00000\ ;\(#,##0.00000\ \)"/>
    <numFmt numFmtId="264" formatCode="0.000000000000"/>
    <numFmt numFmtId="265" formatCode="_ * #,##0.00_)\ &quot;$&quot;_ ;_ * \(#,##0.00\)\ &quot;$&quot;_ ;_ * &quot;-&quot;??_)\ &quot;$&quot;_ ;_ @_ "/>
    <numFmt numFmtId="266" formatCode="#,##0.0000\ ;\(#,##0.0000\ \)"/>
    <numFmt numFmtId="267" formatCode="0.000%\ ;\(0.000%\)"/>
    <numFmt numFmtId="268" formatCode="#,##0.0\x_)_);\(#,##0.0\x\)_);#,##0.0\x_)_);@_%_)"/>
    <numFmt numFmtId="269" formatCode="_(* #,##0.00000_);_(* \(#,##0.00000\);_(* &quot;-&quot;?_);_(@_)"/>
    <numFmt numFmtId="270" formatCode="#,##0.0_);[Red]\(#,##0.0\);&quot;--  &quot;"/>
    <numFmt numFmtId="271" formatCode="0.00_)"/>
    <numFmt numFmtId="272" formatCode="#,##0.000_);[Red]\(#,##0.000\)"/>
    <numFmt numFmtId="273" formatCode="0_);\(0\)"/>
    <numFmt numFmtId="274" formatCode="[$-1009]d\-mmm\-yy;@"/>
    <numFmt numFmtId="275" formatCode="#,##0.00&quot;x&quot;_);[Red]\(#,##0.00&quot;x&quot;\)"/>
    <numFmt numFmtId="276" formatCode="#,##0_);\(#,##0\);&quot;-  &quot;"/>
    <numFmt numFmtId="277" formatCode="#,##0.0_);\(#,##0.0\);&quot;-  &quot;"/>
    <numFmt numFmtId="278" formatCode="#,##0.0_);\(#,##0.0\);\-_)"/>
    <numFmt numFmtId="279" formatCode="0.00000000"/>
    <numFmt numFmtId="280" formatCode="#,##0.0%_);[Red]\(#,##0.0%\)"/>
    <numFmt numFmtId="281" formatCode="#,##0.00%_);[Red]\(#,##0.00%\)"/>
    <numFmt numFmtId="282" formatCode="0.0%_);\(0.0%\);&quot;-  &quot;"/>
    <numFmt numFmtId="283" formatCode="#,##0.0\%_);\(#,##0.0\%\);#,##0.0\%_);@_%_)"/>
    <numFmt numFmtId="284" formatCode="mm/dd/yy"/>
    <numFmt numFmtId="285" formatCode="0.00\ ;\-0.00\ ;&quot;- &quot;"/>
    <numFmt numFmtId="286" formatCode="#,##0\ ;[Red]\(#,##0\);\ \-\ "/>
    <numFmt numFmtId="287" formatCode="#,##0.00_);\(#,##0.00\);#,##0.00_);@_)"/>
    <numFmt numFmtId="288" formatCode="[White]General"/>
    <numFmt numFmtId="289" formatCode="#,###.##"/>
    <numFmt numFmtId="290" formatCode="&quot;$&quot;#,##0.000000_);[Red]\(&quot;$&quot;#,##0.000000\)"/>
    <numFmt numFmtId="291" formatCode="&quot;Table &quot;0"/>
    <numFmt numFmtId="292" formatCode="_(General_)"/>
    <numFmt numFmtId="293" formatCode="0.00\ "/>
    <numFmt numFmtId="294" formatCode="_-&quot;L.&quot;\ * #,##0.00_-;\-&quot;L.&quot;\ * #,##0.00_-;_-&quot;L.&quot;\ * &quot;-&quot;??_-;_-@_-"/>
    <numFmt numFmtId="295" formatCode="0_%_);\(0\)_%;0_%_);@_%_)"/>
    <numFmt numFmtId="296" formatCode="0,000\x"/>
    <numFmt numFmtId="297" formatCode="yyyy&quot;A&quot;"/>
    <numFmt numFmtId="298" formatCode="_-* #,##0\ _D_M_-;\-* #,##0\ _D_M_-;_-* &quot;-&quot;\ _D_M_-;_-@_-"/>
    <numFmt numFmtId="299" formatCode="&quot;@ &quot;0.00"/>
    <numFmt numFmtId="300" formatCode="&quot;Yes&quot;_%_);&quot;Error&quot;_%_);&quot;No&quot;_%_);&quot;--&quot;_%_)"/>
    <numFmt numFmtId="301" formatCode="0.00000"/>
    <numFmt numFmtId="302" formatCode="0.000"/>
    <numFmt numFmtId="303" formatCode="_-&quot;$&quot;* #,##0_-;\-&quot;$&quot;* #,##0_-;_-&quot;$&quot;* &quot;-&quot;??_-;_-@_-"/>
    <numFmt numFmtId="304" formatCode="#,##0.0;\-#,##0.0"/>
    <numFmt numFmtId="305" formatCode="_(* #,##0.00000000_);_(* \(#,##0.00000000\);_(* &quot;-&quot;??_);_(@_)"/>
    <numFmt numFmtId="306" formatCode="_(* #,##0.00000_);_(* \(#,##0.00000\);_(* &quot;-&quot;??_);_(@_)"/>
  </numFmts>
  <fonts count="24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name val="Arial"/>
      <family val="2"/>
    </font>
    <font>
      <b/>
      <sz val="10"/>
      <name val="Arial"/>
      <family val="2"/>
    </font>
    <font>
      <b/>
      <sz val="12"/>
      <name val="Arial"/>
      <family val="2"/>
    </font>
    <font>
      <i/>
      <sz val="10"/>
      <name val="Arial"/>
      <family val="2"/>
    </font>
    <font>
      <sz val="8"/>
      <name val="Arial"/>
      <family val="2"/>
    </font>
    <font>
      <sz val="10"/>
      <name val="Arial"/>
      <family val="2"/>
    </font>
    <font>
      <b/>
      <i/>
      <u/>
      <sz val="10"/>
      <name val="Arial"/>
      <family val="2"/>
    </font>
    <font>
      <sz val="10"/>
      <color rgb="FFFF0000"/>
      <name val="Arial"/>
      <family val="2"/>
    </font>
    <font>
      <sz val="10"/>
      <name val="Arial"/>
      <family val="2"/>
    </font>
    <font>
      <i/>
      <sz val="8"/>
      <name val="Arial"/>
      <family val="2"/>
    </font>
    <font>
      <b/>
      <u/>
      <sz val="8"/>
      <name val="Arial"/>
      <family val="2"/>
    </font>
    <font>
      <b/>
      <sz val="8"/>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Times New Roman"/>
      <family val="1"/>
    </font>
    <font>
      <sz val="10"/>
      <name val="Times New Roman"/>
      <family val="1"/>
    </font>
    <font>
      <b/>
      <sz val="18"/>
      <color rgb="FF000000"/>
      <name val="Arial"/>
      <family val="2"/>
    </font>
    <font>
      <b/>
      <i/>
      <u/>
      <sz val="12"/>
      <color rgb="FF000000"/>
      <name val="Arial"/>
      <family val="2"/>
    </font>
    <font>
      <sz val="11"/>
      <name val="Arial"/>
      <family val="2"/>
    </font>
    <font>
      <b/>
      <sz val="10"/>
      <name val="Times New Roman"/>
      <family val="1"/>
    </font>
    <font>
      <vertAlign val="superscript"/>
      <sz val="10"/>
      <name val="Arial"/>
      <family val="2"/>
    </font>
    <font>
      <vertAlign val="subscript"/>
      <sz val="10"/>
      <name val="Arial"/>
      <family val="2"/>
    </font>
    <font>
      <i/>
      <sz val="9"/>
      <name val="Arial"/>
      <family val="2"/>
    </font>
    <font>
      <sz val="10"/>
      <color theme="9" tint="-0.249977111117893"/>
      <name val="Arial"/>
      <family val="2"/>
    </font>
    <font>
      <sz val="10"/>
      <color theme="0" tint="-0.499984740745262"/>
      <name val="Arial"/>
      <family val="2"/>
    </font>
    <font>
      <sz val="11"/>
      <color theme="0" tint="-0.499984740745262"/>
      <name val="Arial"/>
      <family val="2"/>
    </font>
    <font>
      <b/>
      <sz val="9"/>
      <color indexed="81"/>
      <name val="Tahoma"/>
      <family val="2"/>
    </font>
    <font>
      <sz val="9"/>
      <color indexed="81"/>
      <name val="Tahoma"/>
      <family val="2"/>
    </font>
    <font>
      <sz val="10"/>
      <color theme="1"/>
      <name val="Arial"/>
      <family val="2"/>
    </font>
    <font>
      <sz val="11"/>
      <color indexed="8"/>
      <name val="Calibri"/>
      <family val="2"/>
    </font>
    <font>
      <sz val="10"/>
      <color theme="0"/>
      <name val="Arial"/>
      <family val="2"/>
    </font>
    <font>
      <sz val="11"/>
      <color indexed="9"/>
      <name val="Calibri"/>
      <family val="2"/>
    </font>
    <font>
      <sz val="10"/>
      <color rgb="FF9C0006"/>
      <name val="Arial"/>
      <family val="2"/>
    </font>
    <font>
      <sz val="11"/>
      <color indexed="20"/>
      <name val="Calibri"/>
      <family val="2"/>
    </font>
    <font>
      <b/>
      <sz val="10"/>
      <color rgb="FFFA7D00"/>
      <name val="Arial"/>
      <family val="2"/>
    </font>
    <font>
      <b/>
      <sz val="11"/>
      <color indexed="52"/>
      <name val="Calibri"/>
      <family val="2"/>
    </font>
    <font>
      <b/>
      <sz val="10"/>
      <color theme="0"/>
      <name val="Arial"/>
      <family val="2"/>
    </font>
    <font>
      <b/>
      <sz val="11"/>
      <color indexed="9"/>
      <name val="Calibri"/>
      <family val="2"/>
    </font>
    <font>
      <i/>
      <sz val="10"/>
      <color rgb="FF7F7F7F"/>
      <name val="Arial"/>
      <family val="2"/>
    </font>
    <font>
      <i/>
      <sz val="11"/>
      <color indexed="23"/>
      <name val="Calibri"/>
      <family val="2"/>
    </font>
    <font>
      <sz val="10"/>
      <color rgb="FF006100"/>
      <name val="Arial"/>
      <family val="2"/>
    </font>
    <font>
      <sz val="11"/>
      <color indexed="17"/>
      <name val="Calibri"/>
      <family val="2"/>
    </font>
    <font>
      <b/>
      <sz val="15"/>
      <color theme="3"/>
      <name val="Arial"/>
      <family val="2"/>
    </font>
    <font>
      <b/>
      <sz val="15"/>
      <color indexed="56"/>
      <name val="Calibri"/>
      <family val="2"/>
    </font>
    <font>
      <b/>
      <sz val="13"/>
      <color theme="3"/>
      <name val="Arial"/>
      <family val="2"/>
    </font>
    <font>
      <b/>
      <sz val="13"/>
      <color indexed="56"/>
      <name val="Calibri"/>
      <family val="2"/>
    </font>
    <font>
      <b/>
      <sz val="11"/>
      <color theme="3"/>
      <name val="Arial"/>
      <family val="2"/>
    </font>
    <font>
      <b/>
      <sz val="11"/>
      <color indexed="56"/>
      <name val="Calibri"/>
      <family val="2"/>
    </font>
    <font>
      <u/>
      <sz val="10"/>
      <color theme="10"/>
      <name val="Times New Roman"/>
      <family val="1"/>
    </font>
    <font>
      <u/>
      <sz val="10"/>
      <color theme="10"/>
      <name val="Arial"/>
      <family val="2"/>
    </font>
    <font>
      <u/>
      <sz val="10"/>
      <color indexed="12"/>
      <name val="Arial"/>
      <family val="2"/>
    </font>
    <font>
      <sz val="10"/>
      <color rgb="FF3F3F76"/>
      <name val="Arial"/>
      <family val="2"/>
    </font>
    <font>
      <sz val="11"/>
      <color indexed="62"/>
      <name val="Calibri"/>
      <family val="2"/>
    </font>
    <font>
      <sz val="10"/>
      <color rgb="FFFA7D00"/>
      <name val="Arial"/>
      <family val="2"/>
    </font>
    <font>
      <sz val="11"/>
      <color indexed="52"/>
      <name val="Calibri"/>
      <family val="2"/>
    </font>
    <font>
      <sz val="10"/>
      <color rgb="FF9C6500"/>
      <name val="Arial"/>
      <family val="2"/>
    </font>
    <font>
      <sz val="11"/>
      <color indexed="60"/>
      <name val="Calibri"/>
      <family val="2"/>
    </font>
    <font>
      <sz val="10"/>
      <color indexed="8"/>
      <name val="Arial"/>
      <family val="2"/>
    </font>
    <font>
      <b/>
      <sz val="10"/>
      <color rgb="FF3F3F3F"/>
      <name val="Arial"/>
      <family val="2"/>
    </font>
    <font>
      <b/>
      <sz val="11"/>
      <color indexed="63"/>
      <name val="Calibri"/>
      <family val="2"/>
    </font>
    <font>
      <b/>
      <sz val="18"/>
      <color indexed="56"/>
      <name val="Cambria"/>
      <family val="2"/>
    </font>
    <font>
      <b/>
      <sz val="10"/>
      <color theme="1"/>
      <name val="Arial"/>
      <family val="2"/>
    </font>
    <font>
      <b/>
      <sz val="11"/>
      <color indexed="8"/>
      <name val="Calibri"/>
      <family val="2"/>
    </font>
    <font>
      <sz val="11"/>
      <color indexed="10"/>
      <name val="Calibri"/>
      <family val="2"/>
    </font>
    <font>
      <sz val="10"/>
      <name val="Calibri"/>
      <family val="2"/>
      <scheme val="minor"/>
    </font>
    <font>
      <b/>
      <sz val="11"/>
      <name val="Arial"/>
      <family val="2"/>
    </font>
    <font>
      <sz val="12"/>
      <name val="Arial"/>
      <family val="2"/>
    </font>
    <font>
      <b/>
      <sz val="14"/>
      <name val="Arial"/>
      <family val="2"/>
    </font>
    <font>
      <b/>
      <u/>
      <sz val="10"/>
      <name val="Arial"/>
      <family val="2"/>
    </font>
    <font>
      <b/>
      <i/>
      <sz val="10"/>
      <name val="Arial"/>
      <family val="2"/>
    </font>
    <font>
      <b/>
      <sz val="10"/>
      <color rgb="FFFF0000"/>
      <name val="Arial"/>
      <family val="2"/>
    </font>
    <font>
      <b/>
      <sz val="10"/>
      <name val="Calibri"/>
      <family val="2"/>
      <scheme val="minor"/>
    </font>
    <font>
      <sz val="8"/>
      <color indexed="81"/>
      <name val="Tahoma"/>
      <family val="2"/>
    </font>
    <font>
      <b/>
      <sz val="8"/>
      <color indexed="81"/>
      <name val="Tahoma"/>
      <family val="2"/>
    </font>
    <font>
      <sz val="10"/>
      <name val="Arial"/>
      <family val="2"/>
    </font>
    <font>
      <sz val="11"/>
      <color rgb="FF000000"/>
      <name val="Calibri"/>
      <family val="2"/>
      <scheme val="minor"/>
    </font>
    <font>
      <u/>
      <sz val="11"/>
      <color theme="10"/>
      <name val="Calibri"/>
      <family val="2"/>
    </font>
    <font>
      <sz val="8"/>
      <color indexed="12"/>
      <name val="Arial"/>
      <family val="2"/>
    </font>
    <font>
      <sz val="10"/>
      <name val="Geneva"/>
    </font>
    <font>
      <sz val="10"/>
      <name val="Book Antiqua"/>
      <family val="1"/>
    </font>
    <font>
      <sz val="10"/>
      <name val="Helv"/>
      <charset val="204"/>
    </font>
    <font>
      <sz val="10"/>
      <name val="Frutiger 45 Light"/>
    </font>
    <font>
      <sz val="10"/>
      <name val="Frutiger 45 Light"/>
      <family val="2"/>
    </font>
    <font>
      <sz val="12"/>
      <name val="Times New Roman"/>
      <family val="1"/>
    </font>
    <font>
      <sz val="11"/>
      <color theme="1"/>
      <name val="Arial"/>
      <family val="2"/>
    </font>
    <font>
      <sz val="12"/>
      <color theme="1"/>
      <name val="Times New Roman"/>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rgb="FFFA7D00"/>
      <name val="Arial"/>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indexed="24"/>
      <name val="Arial"/>
      <family val="2"/>
    </font>
    <font>
      <sz val="11"/>
      <name val="Times New Roman"/>
      <family val="1"/>
    </font>
    <font>
      <i/>
      <sz val="9"/>
      <name val="MS Sans Serif"/>
      <family val="2"/>
    </font>
    <font>
      <sz val="24"/>
      <name val="MS Sans Serif"/>
      <family val="2"/>
    </font>
    <font>
      <sz val="9"/>
      <name val="Arial"/>
      <family val="2"/>
    </font>
    <font>
      <sz val="11"/>
      <color indexed="12"/>
      <name val="Book Antiqua"/>
      <family val="1"/>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Times New Roman"/>
      <family val="1"/>
    </font>
    <font>
      <u/>
      <sz val="11"/>
      <color theme="10"/>
      <name val="Calibri"/>
      <family val="2"/>
      <scheme val="minor"/>
    </font>
    <font>
      <u/>
      <sz val="11"/>
      <color indexed="1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4"/>
      <color indexed="9"/>
      <name val="Times New Roman"/>
      <family val="1"/>
    </font>
    <font>
      <b/>
      <sz val="14"/>
      <name val="Times New Roman"/>
      <family val="1"/>
    </font>
    <font>
      <b/>
      <sz val="12"/>
      <name val="Helv"/>
    </font>
    <font>
      <b/>
      <sz val="11"/>
      <color theme="1"/>
      <name val="Arial"/>
      <family val="2"/>
    </font>
    <font>
      <b/>
      <sz val="12"/>
      <color theme="1"/>
      <name val="Calibri"/>
      <family val="2"/>
    </font>
    <font>
      <u/>
      <sz val="8"/>
      <color indexed="8"/>
      <name val="Arial"/>
      <family val="2"/>
    </font>
    <font>
      <sz val="16"/>
      <name val="WarburgLogo"/>
      <family val="1"/>
    </font>
    <font>
      <sz val="11"/>
      <color rgb="FFFF0000"/>
      <name val="Arial"/>
      <family val="2"/>
    </font>
    <font>
      <sz val="8"/>
      <color indexed="12"/>
      <name val="Times New Roman"/>
      <family val="1"/>
    </font>
    <font>
      <b/>
      <sz val="12"/>
      <color theme="1"/>
      <name val="Arial"/>
      <family val="2"/>
    </font>
    <font>
      <sz val="9"/>
      <color theme="1"/>
      <name val="Arial"/>
      <family val="2"/>
    </font>
    <font>
      <sz val="10"/>
      <color theme="0" tint="-0.34998626667073579"/>
      <name val="Arial"/>
      <family val="2"/>
    </font>
    <font>
      <b/>
      <sz val="10"/>
      <color theme="0" tint="-0.34998626667073579"/>
      <name val="Arial"/>
      <family val="2"/>
    </font>
    <font>
      <b/>
      <sz val="12"/>
      <name val="Calibri"/>
      <family val="2"/>
    </font>
    <font>
      <b/>
      <sz val="9"/>
      <color theme="1"/>
      <name val="Arial"/>
      <family val="2"/>
    </font>
    <font>
      <b/>
      <u/>
      <sz val="11"/>
      <name val="Arial"/>
      <family val="2"/>
    </font>
    <font>
      <sz val="8"/>
      <color theme="1"/>
      <name val="Arial"/>
      <family val="2"/>
    </font>
    <font>
      <sz val="10"/>
      <name val="Calibri"/>
      <family val="2"/>
    </font>
    <font>
      <sz val="12"/>
      <color theme="1"/>
      <name val="Calibri"/>
      <family val="2"/>
      <scheme val="minor"/>
    </font>
  </fonts>
  <fills count="99">
    <fill>
      <patternFill patternType="none"/>
    </fill>
    <fill>
      <patternFill patternType="gray125"/>
    </fill>
    <fill>
      <patternFill patternType="solid">
        <fgColor indexed="11"/>
        <bgColor indexed="64"/>
      </patternFill>
    </fill>
    <fill>
      <patternFill patternType="solid">
        <fgColor rgb="FFFFFF00"/>
        <bgColor indexed="64"/>
      </patternFill>
    </fill>
    <fill>
      <patternFill patternType="solid">
        <fgColor rgb="FF00B0F0"/>
        <bgColor indexed="64"/>
      </patternFill>
    </fill>
    <fill>
      <patternFill patternType="solid">
        <fgColor rgb="FF00FF00"/>
        <bgColor indexed="64"/>
      </patternFill>
    </fill>
    <fill>
      <patternFill patternType="solid">
        <fgColor indexed="9"/>
        <bgColor indexed="64"/>
      </patternFill>
    </fill>
    <fill>
      <patternFill patternType="solid">
        <fgColor rgb="FFCCFFCC"/>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3"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8" tint="0.59999389629810485"/>
        <bgColor indexed="64"/>
      </patternFill>
    </fill>
    <fill>
      <patternFill patternType="solid">
        <fgColor rgb="FF92D050"/>
        <bgColor indexed="64"/>
      </patternFill>
    </fill>
    <fill>
      <patternFill patternType="solid">
        <fgColor theme="6" tint="0.59999389629810485"/>
        <bgColor indexed="64"/>
      </patternFill>
    </fill>
    <fill>
      <patternFill patternType="solid">
        <fgColor theme="4" tint="0.59999389629810485"/>
        <bgColor indexed="64"/>
      </patternFill>
    </fill>
  </fills>
  <borders count="18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auto="1"/>
      </left>
      <right style="hair">
        <color auto="1"/>
      </right>
      <top style="hair">
        <color auto="1"/>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right/>
      <top style="thin">
        <color auto="1"/>
      </top>
      <bottom/>
      <diagonal/>
    </border>
    <border>
      <left/>
      <right style="thin">
        <color auto="1"/>
      </right>
      <top style="thin">
        <color auto="1"/>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theme="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right style="hair">
        <color indexed="64"/>
      </right>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thin">
        <color indexed="28"/>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bottom style="thick">
        <color indexed="64"/>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style="hair">
        <color auto="1"/>
      </left>
      <right style="hair">
        <color auto="1"/>
      </right>
      <top/>
      <bottom/>
      <diagonal/>
    </border>
    <border>
      <left style="hair">
        <color auto="1"/>
      </left>
      <right/>
      <top/>
      <bottom/>
      <diagonal/>
    </border>
    <border>
      <left style="hair">
        <color auto="1"/>
      </left>
      <right/>
      <top style="hair">
        <color auto="1"/>
      </top>
      <bottom style="thin">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hair">
        <color auto="1"/>
      </top>
      <bottom/>
      <diagonal/>
    </border>
    <border>
      <left style="hair">
        <color indexed="64"/>
      </left>
      <right style="thin">
        <color indexed="64"/>
      </right>
      <top style="hair">
        <color indexed="64"/>
      </top>
      <bottom/>
      <diagonal/>
    </border>
    <border>
      <left/>
      <right style="hair">
        <color indexed="64"/>
      </right>
      <top style="hair">
        <color indexed="64"/>
      </top>
      <bottom/>
      <diagonal/>
    </border>
    <border>
      <left style="hair">
        <color auto="1"/>
      </left>
      <right/>
      <top/>
      <bottom style="thin">
        <color indexed="64"/>
      </bottom>
      <diagonal/>
    </border>
    <border>
      <left style="hair">
        <color auto="1"/>
      </left>
      <right style="hair">
        <color auto="1"/>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right style="thin">
        <color indexed="64"/>
      </right>
      <top style="double">
        <color indexed="64"/>
      </top>
      <bottom style="medium">
        <color indexed="64"/>
      </bottom>
      <diagonal/>
    </border>
    <border>
      <left/>
      <right style="thin">
        <color indexed="64"/>
      </right>
      <top style="thin">
        <color indexed="64"/>
      </top>
      <bottom style="double">
        <color indexed="64"/>
      </bottom>
      <diagonal/>
    </border>
    <border>
      <left/>
      <right/>
      <top/>
      <bottom style="thin">
        <color auto="1"/>
      </bottom>
      <diagonal/>
    </border>
    <border>
      <left/>
      <right style="thin">
        <color auto="1"/>
      </right>
      <top/>
      <bottom style="thin">
        <color auto="1"/>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double">
        <color auto="1"/>
      </left>
      <right/>
      <top/>
      <bottom style="thin">
        <color auto="1"/>
      </bottom>
      <diagonal/>
    </border>
    <border>
      <left style="double">
        <color auto="1"/>
      </left>
      <right style="hair">
        <color auto="1"/>
      </right>
      <top style="double">
        <color auto="1"/>
      </top>
      <bottom style="thin">
        <color auto="1"/>
      </bottom>
      <diagonal/>
    </border>
    <border>
      <left style="hair">
        <color indexed="64"/>
      </left>
      <right style="hair">
        <color indexed="64"/>
      </right>
      <top style="double">
        <color auto="1"/>
      </top>
      <bottom style="thin">
        <color indexed="64"/>
      </bottom>
      <diagonal/>
    </border>
    <border>
      <left style="hair">
        <color indexed="64"/>
      </left>
      <right style="thin">
        <color indexed="64"/>
      </right>
      <top style="double">
        <color auto="1"/>
      </top>
      <bottom style="thin">
        <color indexed="64"/>
      </bottom>
      <diagonal/>
    </border>
    <border>
      <left/>
      <right style="hair">
        <color indexed="64"/>
      </right>
      <top style="double">
        <color auto="1"/>
      </top>
      <bottom style="thin">
        <color indexed="64"/>
      </bottom>
      <diagonal/>
    </border>
    <border>
      <left style="thin">
        <color auto="1"/>
      </left>
      <right style="hair">
        <color auto="1"/>
      </right>
      <top style="double">
        <color auto="1"/>
      </top>
      <bottom style="thin">
        <color auto="1"/>
      </bottom>
      <diagonal/>
    </border>
    <border>
      <left style="double">
        <color auto="1"/>
      </left>
      <right style="hair">
        <color auto="1"/>
      </right>
      <top/>
      <bottom style="hair">
        <color auto="1"/>
      </bottom>
      <diagonal/>
    </border>
    <border>
      <left style="double">
        <color auto="1"/>
      </left>
      <right style="hair">
        <color auto="1"/>
      </right>
      <top style="hair">
        <color auto="1"/>
      </top>
      <bottom style="hair">
        <color auto="1"/>
      </bottom>
      <diagonal/>
    </border>
    <border>
      <left style="double">
        <color auto="1"/>
      </left>
      <right style="hair">
        <color auto="1"/>
      </right>
      <top style="hair">
        <color auto="1"/>
      </top>
      <bottom/>
      <diagonal/>
    </border>
    <border>
      <left style="double">
        <color auto="1"/>
      </left>
      <right style="hair">
        <color auto="1"/>
      </right>
      <top style="hair">
        <color auto="1"/>
      </top>
      <bottom style="thin">
        <color auto="1"/>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auto="1"/>
      </top>
      <bottom style="thin">
        <color auto="1"/>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medium">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auto="1"/>
      </top>
      <bottom style="thin">
        <color auto="1"/>
      </bottom>
      <diagonal/>
    </border>
    <border>
      <left style="double">
        <color indexed="64"/>
      </left>
      <right/>
      <top style="thin">
        <color indexed="64"/>
      </top>
      <bottom style="double">
        <color indexed="64"/>
      </bottom>
      <diagonal/>
    </border>
    <border>
      <left style="thin">
        <color indexed="64"/>
      </left>
      <right style="medium">
        <color indexed="64"/>
      </right>
      <top style="thin">
        <color indexed="64"/>
      </top>
      <bottom/>
      <diagonal/>
    </border>
    <border>
      <left style="double">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medium">
        <color indexed="64"/>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style="double">
        <color indexed="64"/>
      </left>
      <right/>
      <top style="thin">
        <color indexed="64"/>
      </top>
      <bottom/>
      <diagonal/>
    </border>
    <border>
      <left style="double">
        <color indexed="64"/>
      </left>
      <right style="thin">
        <color indexed="64"/>
      </right>
      <top style="double">
        <color indexed="64"/>
      </top>
      <bottom/>
      <diagonal/>
    </border>
    <border>
      <left style="thin">
        <color indexed="64"/>
      </left>
      <right/>
      <top style="double">
        <color indexed="64"/>
      </top>
      <bottom/>
      <diagonal/>
    </border>
    <border>
      <left style="thin">
        <color indexed="64"/>
      </left>
      <right/>
      <top/>
      <bottom style="thin">
        <color indexed="64"/>
      </bottom>
      <diagonal/>
    </border>
    <border>
      <left style="double">
        <color indexed="64"/>
      </left>
      <right style="thin">
        <color indexed="64"/>
      </right>
      <top/>
      <bottom/>
      <diagonal/>
    </border>
    <border>
      <left style="thin">
        <color indexed="64"/>
      </left>
      <right style="thin">
        <color indexed="64"/>
      </right>
      <top style="thin">
        <color indexed="64"/>
      </top>
      <bottom/>
      <diagonal/>
    </border>
    <border>
      <left style="thin">
        <color auto="1"/>
      </left>
      <right/>
      <top style="double">
        <color indexed="64"/>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indexed="64"/>
      </left>
      <right style="thin">
        <color indexed="64"/>
      </right>
      <top style="double">
        <color indexed="64"/>
      </top>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
      <left/>
      <right/>
      <top style="double">
        <color auto="1"/>
      </top>
      <bottom/>
      <diagonal/>
    </border>
    <border>
      <left/>
      <right style="thin">
        <color auto="1"/>
      </right>
      <top style="double">
        <color auto="1"/>
      </top>
      <bottom/>
      <diagonal/>
    </border>
  </borders>
  <cellStyleXfs count="11947">
    <xf numFmtId="0" fontId="0" fillId="0" borderId="0"/>
    <xf numFmtId="43" fontId="10" fillId="0" borderId="0" applyFont="0" applyFill="0" applyBorder="0" applyAlignment="0" applyProtection="0"/>
    <xf numFmtId="9" fontId="10" fillId="0" borderId="0" applyFont="0" applyFill="0" applyBorder="0" applyAlignment="0" applyProtection="0"/>
    <xf numFmtId="0" fontId="20" fillId="6" borderId="1" applyNumberFormat="0" applyProtection="0">
      <alignment horizontal="left" vertical="center"/>
    </xf>
    <xf numFmtId="0" fontId="10" fillId="0" borderId="0"/>
    <xf numFmtId="43" fontId="10" fillId="0" borderId="0" applyFont="0" applyFill="0" applyBorder="0" applyAlignment="0" applyProtection="0"/>
    <xf numFmtId="43" fontId="10" fillId="0" borderId="0" applyFont="0" applyFill="0" applyBorder="0" applyAlignment="0" applyProtection="0"/>
    <xf numFmtId="3" fontId="10" fillId="0" borderId="0" applyFont="0" applyFill="0" applyBorder="0" applyAlignment="0" applyProtection="0"/>
    <xf numFmtId="5" fontId="10" fillId="0" borderId="0" applyFont="0" applyFill="0" applyBorder="0" applyAlignment="0" applyProtection="0"/>
    <xf numFmtId="14" fontId="10" fillId="0" borderId="0" applyFont="0" applyFill="0" applyBorder="0" applyAlignment="0" applyProtection="0"/>
    <xf numFmtId="2" fontId="10" fillId="0" borderId="0" applyFont="0" applyFill="0" applyBorder="0" applyAlignment="0" applyProtection="0"/>
    <xf numFmtId="43" fontId="10" fillId="0" borderId="0" applyFont="0" applyFill="0" applyBorder="0" applyAlignment="0" applyProtection="0"/>
    <xf numFmtId="0" fontId="40" fillId="0" borderId="0"/>
    <xf numFmtId="170" fontId="41" fillId="0" borderId="0" applyFont="0" applyFill="0" applyBorder="0" applyAlignment="0" applyProtection="0"/>
    <xf numFmtId="9" fontId="41" fillId="0" borderId="0" applyFont="0" applyFill="0" applyBorder="0" applyAlignment="0" applyProtection="0"/>
    <xf numFmtId="0" fontId="41" fillId="0" borderId="0"/>
    <xf numFmtId="0" fontId="41" fillId="0" borderId="0"/>
    <xf numFmtId="9" fontId="41" fillId="0" borderId="0" applyFont="0" applyFill="0" applyBorder="0" applyAlignment="0" applyProtection="0"/>
    <xf numFmtId="0" fontId="41" fillId="0" borderId="0"/>
    <xf numFmtId="170" fontId="9" fillId="0" borderId="0" applyFont="0" applyFill="0" applyBorder="0" applyAlignment="0" applyProtection="0"/>
    <xf numFmtId="179" fontId="10" fillId="0" borderId="0"/>
    <xf numFmtId="187" fontId="10" fillId="0" borderId="0"/>
    <xf numFmtId="179" fontId="10" fillId="0" borderId="0"/>
    <xf numFmtId="179" fontId="10" fillId="0" borderId="0"/>
    <xf numFmtId="179" fontId="10" fillId="0" borderId="0"/>
    <xf numFmtId="179" fontId="10" fillId="0" borderId="0"/>
    <xf numFmtId="188" fontId="10" fillId="0" borderId="0"/>
    <xf numFmtId="189" fontId="10" fillId="0" borderId="0"/>
    <xf numFmtId="188" fontId="10" fillId="0" borderId="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5" fillId="43" borderId="0" applyNumberFormat="0" applyBorder="0" applyAlignment="0" applyProtection="0"/>
    <xf numFmtId="0" fontId="54"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17"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5" fillId="44" borderId="0" applyNumberFormat="0" applyBorder="0" applyAlignment="0" applyProtection="0"/>
    <xf numFmtId="0" fontId="54"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55" fillId="45" borderId="0" applyNumberFormat="0" applyBorder="0" applyAlignment="0" applyProtection="0"/>
    <xf numFmtId="0" fontId="54"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54" fillId="25"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5" fillId="46" borderId="0" applyNumberFormat="0" applyBorder="0" applyAlignment="0" applyProtection="0"/>
    <xf numFmtId="0" fontId="54"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29" borderId="0" applyNumberFormat="0" applyBorder="0" applyAlignment="0" applyProtection="0"/>
    <xf numFmtId="0" fontId="54" fillId="33" borderId="0" applyNumberFormat="0" applyBorder="0" applyAlignment="0" applyProtection="0"/>
    <xf numFmtId="0" fontId="54" fillId="33" borderId="0" applyNumberFormat="0" applyBorder="0" applyAlignment="0" applyProtection="0"/>
    <xf numFmtId="0" fontId="54" fillId="33" borderId="0" applyNumberFormat="0" applyBorder="0" applyAlignment="0" applyProtection="0"/>
    <xf numFmtId="0" fontId="54" fillId="33" borderId="0" applyNumberFormat="0" applyBorder="0" applyAlignment="0" applyProtection="0"/>
    <xf numFmtId="0" fontId="54" fillId="33" borderId="0" applyNumberFormat="0" applyBorder="0" applyAlignment="0" applyProtection="0"/>
    <xf numFmtId="0" fontId="54" fillId="33" borderId="0" applyNumberFormat="0" applyBorder="0" applyAlignment="0" applyProtection="0"/>
    <xf numFmtId="0" fontId="55" fillId="47" borderId="0" applyNumberFormat="0" applyBorder="0" applyAlignment="0" applyProtection="0"/>
    <xf numFmtId="0" fontId="54"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54" fillId="33" borderId="0" applyNumberFormat="0" applyBorder="0" applyAlignment="0" applyProtection="0"/>
    <xf numFmtId="0" fontId="54" fillId="33" borderId="0" applyNumberFormat="0" applyBorder="0" applyAlignment="0" applyProtection="0"/>
    <xf numFmtId="0" fontId="54" fillId="33" borderId="0" applyNumberFormat="0" applyBorder="0" applyAlignment="0" applyProtection="0"/>
    <xf numFmtId="0" fontId="54" fillId="33" borderId="0" applyNumberFormat="0" applyBorder="0" applyAlignment="0" applyProtection="0"/>
    <xf numFmtId="0" fontId="54" fillId="33" borderId="0" applyNumberFormat="0" applyBorder="0" applyAlignment="0" applyProtection="0"/>
    <xf numFmtId="0" fontId="54" fillId="33" borderId="0" applyNumberFormat="0" applyBorder="0" applyAlignment="0" applyProtection="0"/>
    <xf numFmtId="0" fontId="54" fillId="33"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5" fillId="48" borderId="0" applyNumberFormat="0" applyBorder="0" applyAlignment="0" applyProtection="0"/>
    <xf numFmtId="0" fontId="54"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4" fillId="37"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5" fillId="49" borderId="0" applyNumberFormat="0" applyBorder="0" applyAlignment="0" applyProtection="0"/>
    <xf numFmtId="0" fontId="54"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18"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5" fillId="50" borderId="0" applyNumberFormat="0" applyBorder="0" applyAlignment="0" applyProtection="0"/>
    <xf numFmtId="0" fontId="54"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5" fillId="51" borderId="0" applyNumberFormat="0" applyBorder="0" applyAlignment="0" applyProtection="0"/>
    <xf numFmtId="0" fontId="54"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26" borderId="0" applyNumberFormat="0" applyBorder="0" applyAlignment="0" applyProtection="0"/>
    <xf numFmtId="0" fontId="54" fillId="30" borderId="0" applyNumberFormat="0" applyBorder="0" applyAlignment="0" applyProtection="0"/>
    <xf numFmtId="0" fontId="54" fillId="30" borderId="0" applyNumberFormat="0" applyBorder="0" applyAlignment="0" applyProtection="0"/>
    <xf numFmtId="0" fontId="54" fillId="30" borderId="0" applyNumberFormat="0" applyBorder="0" applyAlignment="0" applyProtection="0"/>
    <xf numFmtId="0" fontId="54" fillId="30" borderId="0" applyNumberFormat="0" applyBorder="0" applyAlignment="0" applyProtection="0"/>
    <xf numFmtId="0" fontId="54" fillId="30" borderId="0" applyNumberFormat="0" applyBorder="0" applyAlignment="0" applyProtection="0"/>
    <xf numFmtId="0" fontId="54" fillId="30" borderId="0" applyNumberFormat="0" applyBorder="0" applyAlignment="0" applyProtection="0"/>
    <xf numFmtId="0" fontId="55" fillId="46" borderId="0" applyNumberFormat="0" applyBorder="0" applyAlignment="0" applyProtection="0"/>
    <xf numFmtId="0" fontId="54"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54" fillId="30" borderId="0" applyNumberFormat="0" applyBorder="0" applyAlignment="0" applyProtection="0"/>
    <xf numFmtId="0" fontId="54" fillId="30" borderId="0" applyNumberFormat="0" applyBorder="0" applyAlignment="0" applyProtection="0"/>
    <xf numFmtId="0" fontId="54" fillId="30" borderId="0" applyNumberFormat="0" applyBorder="0" applyAlignment="0" applyProtection="0"/>
    <xf numFmtId="0" fontId="54" fillId="30" borderId="0" applyNumberFormat="0" applyBorder="0" applyAlignment="0" applyProtection="0"/>
    <xf numFmtId="0" fontId="54" fillId="30" borderId="0" applyNumberFormat="0" applyBorder="0" applyAlignment="0" applyProtection="0"/>
    <xf numFmtId="0" fontId="54" fillId="30" borderId="0" applyNumberFormat="0" applyBorder="0" applyAlignment="0" applyProtection="0"/>
    <xf numFmtId="0" fontId="54" fillId="30" borderId="0" applyNumberFormat="0" applyBorder="0" applyAlignment="0" applyProtection="0"/>
    <xf numFmtId="0" fontId="54" fillId="34" borderId="0" applyNumberFormat="0" applyBorder="0" applyAlignment="0" applyProtection="0"/>
    <xf numFmtId="0" fontId="54" fillId="34" borderId="0" applyNumberFormat="0" applyBorder="0" applyAlignment="0" applyProtection="0"/>
    <xf numFmtId="0" fontId="54" fillId="34" borderId="0" applyNumberFormat="0" applyBorder="0" applyAlignment="0" applyProtection="0"/>
    <xf numFmtId="0" fontId="54" fillId="34" borderId="0" applyNumberFormat="0" applyBorder="0" applyAlignment="0" applyProtection="0"/>
    <xf numFmtId="0" fontId="54" fillId="34" borderId="0" applyNumberFormat="0" applyBorder="0" applyAlignment="0" applyProtection="0"/>
    <xf numFmtId="0" fontId="54" fillId="34" borderId="0" applyNumberFormat="0" applyBorder="0" applyAlignment="0" applyProtection="0"/>
    <xf numFmtId="0" fontId="55" fillId="49" borderId="0" applyNumberFormat="0" applyBorder="0" applyAlignment="0" applyProtection="0"/>
    <xf numFmtId="0" fontId="54"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54" fillId="34" borderId="0" applyNumberFormat="0" applyBorder="0" applyAlignment="0" applyProtection="0"/>
    <xf numFmtId="0" fontId="54" fillId="34" borderId="0" applyNumberFormat="0" applyBorder="0" applyAlignment="0" applyProtection="0"/>
    <xf numFmtId="0" fontId="54" fillId="34" borderId="0" applyNumberFormat="0" applyBorder="0" applyAlignment="0" applyProtection="0"/>
    <xf numFmtId="0" fontId="54" fillId="34" borderId="0" applyNumberFormat="0" applyBorder="0" applyAlignment="0" applyProtection="0"/>
    <xf numFmtId="0" fontId="54" fillId="34" borderId="0" applyNumberFormat="0" applyBorder="0" applyAlignment="0" applyProtection="0"/>
    <xf numFmtId="0" fontId="54" fillId="34" borderId="0" applyNumberFormat="0" applyBorder="0" applyAlignment="0" applyProtection="0"/>
    <xf numFmtId="0" fontId="54" fillId="34"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5" fillId="52" borderId="0" applyNumberFormat="0" applyBorder="0" applyAlignment="0" applyProtection="0"/>
    <xf numFmtId="0" fontId="54"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4" fillId="38"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7" fillId="53" borderId="0" applyNumberFormat="0" applyBorder="0" applyAlignment="0" applyProtection="0"/>
    <xf numFmtId="0" fontId="56" fillId="19" borderId="0" applyNumberFormat="0" applyBorder="0" applyAlignment="0" applyProtection="0"/>
    <xf numFmtId="0" fontId="39"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7" fillId="50" borderId="0" applyNumberFormat="0" applyBorder="0" applyAlignment="0" applyProtection="0"/>
    <xf numFmtId="0" fontId="56" fillId="23" borderId="0" applyNumberFormat="0" applyBorder="0" applyAlignment="0" applyProtection="0"/>
    <xf numFmtId="0" fontId="39"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7" fillId="51" borderId="0" applyNumberFormat="0" applyBorder="0" applyAlignment="0" applyProtection="0"/>
    <xf numFmtId="0" fontId="56" fillId="27" borderId="0" applyNumberFormat="0" applyBorder="0" applyAlignment="0" applyProtection="0"/>
    <xf numFmtId="0" fontId="39"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7" fillId="54" borderId="0" applyNumberFormat="0" applyBorder="0" applyAlignment="0" applyProtection="0"/>
    <xf numFmtId="0" fontId="56" fillId="31" borderId="0" applyNumberFormat="0" applyBorder="0" applyAlignment="0" applyProtection="0"/>
    <xf numFmtId="0" fontId="39"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7" fillId="55" borderId="0" applyNumberFormat="0" applyBorder="0" applyAlignment="0" applyProtection="0"/>
    <xf numFmtId="0" fontId="56" fillId="35" borderId="0" applyNumberFormat="0" applyBorder="0" applyAlignment="0" applyProtection="0"/>
    <xf numFmtId="0" fontId="39"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5"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7" fillId="56" borderId="0" applyNumberFormat="0" applyBorder="0" applyAlignment="0" applyProtection="0"/>
    <xf numFmtId="0" fontId="56" fillId="39" borderId="0" applyNumberFormat="0" applyBorder="0" applyAlignment="0" applyProtection="0"/>
    <xf numFmtId="0" fontId="39"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7" fillId="57" borderId="0" applyNumberFormat="0" applyBorder="0" applyAlignment="0" applyProtection="0"/>
    <xf numFmtId="0" fontId="56" fillId="16" borderId="0" applyNumberFormat="0" applyBorder="0" applyAlignment="0" applyProtection="0"/>
    <xf numFmtId="0" fontId="39"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7" fillId="58" borderId="0" applyNumberFormat="0" applyBorder="0" applyAlignment="0" applyProtection="0"/>
    <xf numFmtId="0" fontId="56" fillId="20" borderId="0" applyNumberFormat="0" applyBorder="0" applyAlignment="0" applyProtection="0"/>
    <xf numFmtId="0" fontId="39"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4" borderId="0" applyNumberFormat="0" applyBorder="0" applyAlignment="0" applyProtection="0"/>
    <xf numFmtId="0" fontId="56" fillId="24" borderId="0" applyNumberFormat="0" applyBorder="0" applyAlignment="0" applyProtection="0"/>
    <xf numFmtId="0" fontId="56" fillId="24" borderId="0" applyNumberFormat="0" applyBorder="0" applyAlignment="0" applyProtection="0"/>
    <xf numFmtId="0" fontId="56" fillId="24" borderId="0" applyNumberFormat="0" applyBorder="0" applyAlignment="0" applyProtection="0"/>
    <xf numFmtId="0" fontId="56" fillId="24" borderId="0" applyNumberFormat="0" applyBorder="0" applyAlignment="0" applyProtection="0"/>
    <xf numFmtId="0" fontId="56" fillId="24" borderId="0" applyNumberFormat="0" applyBorder="0" applyAlignment="0" applyProtection="0"/>
    <xf numFmtId="0" fontId="57" fillId="59" borderId="0" applyNumberFormat="0" applyBorder="0" applyAlignment="0" applyProtection="0"/>
    <xf numFmtId="0" fontId="56" fillId="24" borderId="0" applyNumberFormat="0" applyBorder="0" applyAlignment="0" applyProtection="0"/>
    <xf numFmtId="0" fontId="39" fillId="24" borderId="0" applyNumberFormat="0" applyBorder="0" applyAlignment="0" applyProtection="0"/>
    <xf numFmtId="0" fontId="56" fillId="24" borderId="0" applyNumberFormat="0" applyBorder="0" applyAlignment="0" applyProtection="0"/>
    <xf numFmtId="0" fontId="56" fillId="24" borderId="0" applyNumberFormat="0" applyBorder="0" applyAlignment="0" applyProtection="0"/>
    <xf numFmtId="0" fontId="56" fillId="24" borderId="0" applyNumberFormat="0" applyBorder="0" applyAlignment="0" applyProtection="0"/>
    <xf numFmtId="0" fontId="56" fillId="24" borderId="0" applyNumberFormat="0" applyBorder="0" applyAlignment="0" applyProtection="0"/>
    <xf numFmtId="0" fontId="56" fillId="24" borderId="0" applyNumberFormat="0" applyBorder="0" applyAlignment="0" applyProtection="0"/>
    <xf numFmtId="0" fontId="56" fillId="24" borderId="0" applyNumberFormat="0" applyBorder="0" applyAlignment="0" applyProtection="0"/>
    <xf numFmtId="0" fontId="56" fillId="24"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7" fillId="54" borderId="0" applyNumberFormat="0" applyBorder="0" applyAlignment="0" applyProtection="0"/>
    <xf numFmtId="0" fontId="56" fillId="28" borderId="0" applyNumberFormat="0" applyBorder="0" applyAlignment="0" applyProtection="0"/>
    <xf numFmtId="0" fontId="39"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7" fillId="55" borderId="0" applyNumberFormat="0" applyBorder="0" applyAlignment="0" applyProtection="0"/>
    <xf numFmtId="0" fontId="56" fillId="32" borderId="0" applyNumberFormat="0" applyBorder="0" applyAlignment="0" applyProtection="0"/>
    <xf numFmtId="0" fontId="39"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7" fillId="60" borderId="0" applyNumberFormat="0" applyBorder="0" applyAlignment="0" applyProtection="0"/>
    <xf numFmtId="0" fontId="56" fillId="36" borderId="0" applyNumberFormat="0" applyBorder="0" applyAlignment="0" applyProtection="0"/>
    <xf numFmtId="0" fontId="39"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9" fillId="44" borderId="0" applyNumberFormat="0" applyBorder="0" applyAlignment="0" applyProtection="0"/>
    <xf numFmtId="0" fontId="58" fillId="10" borderId="0" applyNumberFormat="0" applyBorder="0" applyAlignment="0" applyProtection="0"/>
    <xf numFmtId="0" fontId="29"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60" fillId="13" borderId="31" applyNumberFormat="0" applyAlignment="0" applyProtection="0"/>
    <xf numFmtId="0" fontId="60" fillId="13" borderId="31" applyNumberFormat="0" applyAlignment="0" applyProtection="0"/>
    <xf numFmtId="0" fontId="60" fillId="13" borderId="31" applyNumberFormat="0" applyAlignment="0" applyProtection="0"/>
    <xf numFmtId="0" fontId="60" fillId="13" borderId="31" applyNumberFormat="0" applyAlignment="0" applyProtection="0"/>
    <xf numFmtId="0" fontId="60" fillId="13" borderId="31" applyNumberFormat="0" applyAlignment="0" applyProtection="0"/>
    <xf numFmtId="0" fontId="60" fillId="13" borderId="31" applyNumberFormat="0" applyAlignment="0" applyProtection="0"/>
    <xf numFmtId="0" fontId="61" fillId="61" borderId="38" applyNumberFormat="0" applyAlignment="0" applyProtection="0"/>
    <xf numFmtId="0" fontId="60" fillId="13" borderId="31" applyNumberFormat="0" applyAlignment="0" applyProtection="0"/>
    <xf numFmtId="0" fontId="33" fillId="13" borderId="31" applyNumberFormat="0" applyAlignment="0" applyProtection="0"/>
    <xf numFmtId="0" fontId="60" fillId="13" borderId="31" applyNumberFormat="0" applyAlignment="0" applyProtection="0"/>
    <xf numFmtId="0" fontId="60" fillId="13" borderId="31" applyNumberFormat="0" applyAlignment="0" applyProtection="0"/>
    <xf numFmtId="0" fontId="60" fillId="13" borderId="31" applyNumberFormat="0" applyAlignment="0" applyProtection="0"/>
    <xf numFmtId="0" fontId="60" fillId="13" borderId="31" applyNumberFormat="0" applyAlignment="0" applyProtection="0"/>
    <xf numFmtId="0" fontId="60" fillId="13" borderId="31" applyNumberFormat="0" applyAlignment="0" applyProtection="0"/>
    <xf numFmtId="0" fontId="60" fillId="13" borderId="31" applyNumberFormat="0" applyAlignment="0" applyProtection="0"/>
    <xf numFmtId="0" fontId="60" fillId="13" borderId="31" applyNumberFormat="0" applyAlignment="0" applyProtection="0"/>
    <xf numFmtId="0" fontId="62" fillId="14" borderId="34" applyNumberFormat="0" applyAlignment="0" applyProtection="0"/>
    <xf numFmtId="0" fontId="62" fillId="14" borderId="34" applyNumberFormat="0" applyAlignment="0" applyProtection="0"/>
    <xf numFmtId="0" fontId="62" fillId="14" borderId="34" applyNumberFormat="0" applyAlignment="0" applyProtection="0"/>
    <xf numFmtId="0" fontId="62" fillId="14" borderId="34" applyNumberFormat="0" applyAlignment="0" applyProtection="0"/>
    <xf numFmtId="0" fontId="62" fillId="14" borderId="34" applyNumberFormat="0" applyAlignment="0" applyProtection="0"/>
    <xf numFmtId="0" fontId="62" fillId="14" borderId="34" applyNumberFormat="0" applyAlignment="0" applyProtection="0"/>
    <xf numFmtId="0" fontId="63" fillId="62" borderId="39" applyNumberFormat="0" applyAlignment="0" applyProtection="0"/>
    <xf numFmtId="0" fontId="62" fillId="14" borderId="34" applyNumberFormat="0" applyAlignment="0" applyProtection="0"/>
    <xf numFmtId="0" fontId="35" fillId="14" borderId="34" applyNumberFormat="0" applyAlignment="0" applyProtection="0"/>
    <xf numFmtId="0" fontId="62" fillId="14" borderId="34" applyNumberFormat="0" applyAlignment="0" applyProtection="0"/>
    <xf numFmtId="0" fontId="62" fillId="14" borderId="34" applyNumberFormat="0" applyAlignment="0" applyProtection="0"/>
    <xf numFmtId="0" fontId="62" fillId="14" borderId="34" applyNumberFormat="0" applyAlignment="0" applyProtection="0"/>
    <xf numFmtId="0" fontId="62" fillId="14" borderId="34" applyNumberFormat="0" applyAlignment="0" applyProtection="0"/>
    <xf numFmtId="0" fontId="62" fillId="14" borderId="34" applyNumberFormat="0" applyAlignment="0" applyProtection="0"/>
    <xf numFmtId="0" fontId="62" fillId="14" borderId="34" applyNumberFormat="0" applyAlignment="0" applyProtection="0"/>
    <xf numFmtId="0" fontId="62" fillId="14" borderId="3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1"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41" fillId="0" borderId="0" applyFont="0" applyFill="0" applyBorder="0" applyAlignment="0" applyProtection="0"/>
    <xf numFmtId="43" fontId="10"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10" fillId="0" borderId="0" applyFont="0" applyFill="0" applyBorder="0" applyAlignment="0" applyProtection="0"/>
    <xf numFmtId="170" fontId="4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9" fillId="0" borderId="0" applyFont="0" applyFill="0" applyBorder="0" applyAlignment="0" applyProtection="0"/>
    <xf numFmtId="44" fontId="10" fillId="0" borderId="0" applyFont="0" applyFill="0" applyBorder="0" applyAlignment="0" applyProtection="0"/>
    <xf numFmtId="169" fontId="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9" fontId="10" fillId="0" borderId="0" applyFont="0" applyFill="0" applyBorder="0" applyAlignment="0" applyProtection="0"/>
    <xf numFmtId="169" fontId="41" fillId="0" borderId="0" applyFont="0" applyFill="0" applyBorder="0" applyAlignment="0" applyProtection="0"/>
    <xf numFmtId="169" fontId="10"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64" fillId="0" borderId="0" applyNumberFormat="0" applyFill="0" applyBorder="0" applyAlignment="0" applyProtection="0"/>
    <xf numFmtId="0" fontId="37"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7" fillId="45" borderId="0" applyNumberFormat="0" applyBorder="0" applyAlignment="0" applyProtection="0"/>
    <xf numFmtId="0" fontId="66" fillId="9" borderId="0" applyNumberFormat="0" applyBorder="0" applyAlignment="0" applyProtection="0"/>
    <xf numFmtId="0" fontId="28"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38" fontId="16" fillId="63" borderId="0" applyNumberFormat="0" applyBorder="0" applyAlignment="0" applyProtection="0"/>
    <xf numFmtId="0" fontId="68" fillId="0" borderId="28" applyNumberFormat="0" applyFill="0" applyAlignment="0" applyProtection="0"/>
    <xf numFmtId="0" fontId="68" fillId="0" borderId="28" applyNumberFormat="0" applyFill="0" applyAlignment="0" applyProtection="0"/>
    <xf numFmtId="0" fontId="68" fillId="0" borderId="28" applyNumberFormat="0" applyFill="0" applyAlignment="0" applyProtection="0"/>
    <xf numFmtId="0" fontId="68" fillId="0" borderId="28" applyNumberFormat="0" applyFill="0" applyAlignment="0" applyProtection="0"/>
    <xf numFmtId="0" fontId="68" fillId="0" borderId="28" applyNumberFormat="0" applyFill="0" applyAlignment="0" applyProtection="0"/>
    <xf numFmtId="0" fontId="68" fillId="0" borderId="28" applyNumberFormat="0" applyFill="0" applyAlignment="0" applyProtection="0"/>
    <xf numFmtId="0" fontId="69" fillId="0" borderId="40" applyNumberFormat="0" applyFill="0" applyAlignment="0" applyProtection="0"/>
    <xf numFmtId="0" fontId="68" fillId="0" borderId="28" applyNumberFormat="0" applyFill="0" applyAlignment="0" applyProtection="0"/>
    <xf numFmtId="0" fontId="25" fillId="0" borderId="28" applyNumberFormat="0" applyFill="0" applyAlignment="0" applyProtection="0"/>
    <xf numFmtId="0" fontId="68" fillId="0" borderId="28" applyNumberFormat="0" applyFill="0" applyAlignment="0" applyProtection="0"/>
    <xf numFmtId="0" fontId="68" fillId="0" borderId="28" applyNumberFormat="0" applyFill="0" applyAlignment="0" applyProtection="0"/>
    <xf numFmtId="0" fontId="68" fillId="0" borderId="28" applyNumberFormat="0" applyFill="0" applyAlignment="0" applyProtection="0"/>
    <xf numFmtId="0" fontId="68" fillId="0" borderId="28" applyNumberFormat="0" applyFill="0" applyAlignment="0" applyProtection="0"/>
    <xf numFmtId="0" fontId="68" fillId="0" borderId="28" applyNumberFormat="0" applyFill="0" applyAlignment="0" applyProtection="0"/>
    <xf numFmtId="0" fontId="68" fillId="0" borderId="28" applyNumberFormat="0" applyFill="0" applyAlignment="0" applyProtection="0"/>
    <xf numFmtId="0" fontId="68" fillId="0" borderId="28"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1" fillId="0" borderId="41" applyNumberFormat="0" applyFill="0" applyAlignment="0" applyProtection="0"/>
    <xf numFmtId="0" fontId="70" fillId="0" borderId="29" applyNumberFormat="0" applyFill="0" applyAlignment="0" applyProtection="0"/>
    <xf numFmtId="0" fontId="26"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0" fillId="0" borderId="29" applyNumberFormat="0" applyFill="0" applyAlignment="0" applyProtection="0"/>
    <xf numFmtId="0" fontId="72" fillId="0" borderId="30" applyNumberFormat="0" applyFill="0" applyAlignment="0" applyProtection="0"/>
    <xf numFmtId="0" fontId="72" fillId="0" borderId="30" applyNumberFormat="0" applyFill="0" applyAlignment="0" applyProtection="0"/>
    <xf numFmtId="0" fontId="72" fillId="0" borderId="30" applyNumberFormat="0" applyFill="0" applyAlignment="0" applyProtection="0"/>
    <xf numFmtId="0" fontId="72" fillId="0" borderId="30" applyNumberFormat="0" applyFill="0" applyAlignment="0" applyProtection="0"/>
    <xf numFmtId="0" fontId="72" fillId="0" borderId="30" applyNumberFormat="0" applyFill="0" applyAlignment="0" applyProtection="0"/>
    <xf numFmtId="0" fontId="72" fillId="0" borderId="30" applyNumberFormat="0" applyFill="0" applyAlignment="0" applyProtection="0"/>
    <xf numFmtId="0" fontId="73" fillId="0" borderId="42" applyNumberFormat="0" applyFill="0" applyAlignment="0" applyProtection="0"/>
    <xf numFmtId="0" fontId="72" fillId="0" borderId="30" applyNumberFormat="0" applyFill="0" applyAlignment="0" applyProtection="0"/>
    <xf numFmtId="0" fontId="27" fillId="0" borderId="30" applyNumberFormat="0" applyFill="0" applyAlignment="0" applyProtection="0"/>
    <xf numFmtId="0" fontId="72" fillId="0" borderId="30" applyNumberFormat="0" applyFill="0" applyAlignment="0" applyProtection="0"/>
    <xf numFmtId="0" fontId="72" fillId="0" borderId="30" applyNumberFormat="0" applyFill="0" applyAlignment="0" applyProtection="0"/>
    <xf numFmtId="0" fontId="72" fillId="0" borderId="30" applyNumberFormat="0" applyFill="0" applyAlignment="0" applyProtection="0"/>
    <xf numFmtId="0" fontId="72" fillId="0" borderId="30" applyNumberFormat="0" applyFill="0" applyAlignment="0" applyProtection="0"/>
    <xf numFmtId="0" fontId="72" fillId="0" borderId="30" applyNumberFormat="0" applyFill="0" applyAlignment="0" applyProtection="0"/>
    <xf numFmtId="0" fontId="72" fillId="0" borderId="30" applyNumberFormat="0" applyFill="0" applyAlignment="0" applyProtection="0"/>
    <xf numFmtId="0" fontId="72" fillId="0" borderId="30" applyNumberFormat="0" applyFill="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27"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alignment vertical="top"/>
      <protection locked="0"/>
    </xf>
    <xf numFmtId="10" fontId="16" fillId="64" borderId="1" applyNumberFormat="0" applyBorder="0" applyAlignment="0" applyProtection="0"/>
    <xf numFmtId="0" fontId="77" fillId="12" borderId="31" applyNumberFormat="0" applyAlignment="0" applyProtection="0"/>
    <xf numFmtId="0" fontId="77" fillId="12" borderId="31" applyNumberFormat="0" applyAlignment="0" applyProtection="0"/>
    <xf numFmtId="0" fontId="77" fillId="12" borderId="31" applyNumberFormat="0" applyAlignment="0" applyProtection="0"/>
    <xf numFmtId="0" fontId="77" fillId="12" borderId="31" applyNumberFormat="0" applyAlignment="0" applyProtection="0"/>
    <xf numFmtId="0" fontId="77" fillId="12" borderId="31" applyNumberFormat="0" applyAlignment="0" applyProtection="0"/>
    <xf numFmtId="0" fontId="77" fillId="12" borderId="31" applyNumberFormat="0" applyAlignment="0" applyProtection="0"/>
    <xf numFmtId="0" fontId="78" fillId="48" borderId="38" applyNumberFormat="0" applyAlignment="0" applyProtection="0"/>
    <xf numFmtId="0" fontId="78" fillId="48" borderId="38" applyNumberFormat="0" applyAlignment="0" applyProtection="0"/>
    <xf numFmtId="0" fontId="78" fillId="48" borderId="38" applyNumberFormat="0" applyAlignment="0" applyProtection="0"/>
    <xf numFmtId="0" fontId="78" fillId="48" borderId="38" applyNumberFormat="0" applyAlignment="0" applyProtection="0"/>
    <xf numFmtId="0" fontId="77" fillId="12" borderId="31" applyNumberFormat="0" applyAlignment="0" applyProtection="0"/>
    <xf numFmtId="0" fontId="31" fillId="12" borderId="31" applyNumberFormat="0" applyAlignment="0" applyProtection="0"/>
    <xf numFmtId="0" fontId="78" fillId="48" borderId="38" applyNumberFormat="0" applyAlignment="0" applyProtection="0"/>
    <xf numFmtId="0" fontId="78" fillId="48" borderId="38" applyNumberFormat="0" applyAlignment="0" applyProtection="0"/>
    <xf numFmtId="0" fontId="78" fillId="48" borderId="38" applyNumberFormat="0" applyAlignment="0" applyProtection="0"/>
    <xf numFmtId="0" fontId="78" fillId="48" borderId="38" applyNumberFormat="0" applyAlignment="0" applyProtection="0"/>
    <xf numFmtId="0" fontId="78" fillId="48" borderId="38" applyNumberFormat="0" applyAlignment="0" applyProtection="0"/>
    <xf numFmtId="0" fontId="78" fillId="48" borderId="38" applyNumberFormat="0" applyAlignment="0" applyProtection="0"/>
    <xf numFmtId="0" fontId="78" fillId="48" borderId="38" applyNumberFormat="0" applyAlignment="0" applyProtection="0"/>
    <xf numFmtId="0" fontId="77" fillId="12" borderId="31" applyNumberFormat="0" applyAlignment="0" applyProtection="0"/>
    <xf numFmtId="0" fontId="77" fillId="12" borderId="31" applyNumberFormat="0" applyAlignment="0" applyProtection="0"/>
    <xf numFmtId="0" fontId="77" fillId="12" borderId="31" applyNumberFormat="0" applyAlignment="0" applyProtection="0"/>
    <xf numFmtId="0" fontId="77" fillId="12" borderId="31" applyNumberFormat="0" applyAlignment="0" applyProtection="0"/>
    <xf numFmtId="0" fontId="77" fillId="12" borderId="31" applyNumberFormat="0" applyAlignment="0" applyProtection="0"/>
    <xf numFmtId="0" fontId="77" fillId="12" borderId="31" applyNumberFormat="0" applyAlignment="0" applyProtection="0"/>
    <xf numFmtId="0" fontId="77" fillId="12" borderId="31" applyNumberFormat="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80" fillId="0" borderId="43" applyNumberFormat="0" applyFill="0" applyAlignment="0" applyProtection="0"/>
    <xf numFmtId="0" fontId="79" fillId="0" borderId="33" applyNumberFormat="0" applyFill="0" applyAlignment="0" applyProtection="0"/>
    <xf numFmtId="0" fontId="34"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190" fontId="10" fillId="0" borderId="0"/>
    <xf numFmtId="178" fontId="10" fillId="0" borderId="0"/>
    <xf numFmtId="190" fontId="10" fillId="0" borderId="0"/>
    <xf numFmtId="190" fontId="10" fillId="0" borderId="0"/>
    <xf numFmtId="190" fontId="10" fillId="0" borderId="0"/>
    <xf numFmtId="190" fontId="10" fillId="0" borderId="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2" fillId="65" borderId="0" applyNumberFormat="0" applyBorder="0" applyAlignment="0" applyProtection="0"/>
    <xf numFmtId="0" fontId="81" fillId="11" borderId="0" applyNumberFormat="0" applyBorder="0" applyAlignment="0" applyProtection="0"/>
    <xf numFmtId="0" fontId="30"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191" fontId="10" fillId="0" borderId="0"/>
    <xf numFmtId="0" fontId="54" fillId="0" borderId="0"/>
    <xf numFmtId="0" fontId="54" fillId="0" borderId="0"/>
    <xf numFmtId="0" fontId="54" fillId="0" borderId="0"/>
    <xf numFmtId="0" fontId="54" fillId="0" borderId="0"/>
    <xf numFmtId="0" fontId="54" fillId="0" borderId="0"/>
    <xf numFmtId="0" fontId="5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10" fillId="0" borderId="0"/>
    <xf numFmtId="0" fontId="10" fillId="0" borderId="0"/>
    <xf numFmtId="0" fontId="9" fillId="0" borderId="0"/>
    <xf numFmtId="0" fontId="4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41" fillId="0" borderId="0"/>
    <xf numFmtId="0" fontId="10" fillId="0" borderId="0"/>
    <xf numFmtId="0" fontId="9" fillId="0" borderId="0"/>
    <xf numFmtId="0" fontId="9" fillId="0" borderId="0"/>
    <xf numFmtId="0" fontId="10" fillId="0" borderId="0"/>
    <xf numFmtId="0" fontId="9" fillId="0" borderId="0"/>
    <xf numFmtId="0" fontId="10" fillId="0" borderId="0"/>
    <xf numFmtId="0" fontId="41" fillId="0" borderId="0"/>
    <xf numFmtId="0" fontId="10" fillId="0" borderId="0"/>
    <xf numFmtId="0" fontId="10" fillId="0" borderId="0"/>
    <xf numFmtId="0" fontId="10" fillId="0" borderId="0"/>
    <xf numFmtId="0" fontId="41" fillId="0" borderId="0"/>
    <xf numFmtId="0" fontId="41" fillId="0" borderId="0"/>
    <xf numFmtId="0" fontId="9" fillId="0" borderId="0"/>
    <xf numFmtId="0" fontId="9" fillId="0" borderId="0"/>
    <xf numFmtId="0" fontId="9" fillId="0" borderId="0"/>
    <xf numFmtId="0" fontId="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4" fillId="0" borderId="0"/>
    <xf numFmtId="0" fontId="10" fillId="0" borderId="0"/>
    <xf numFmtId="0" fontId="9" fillId="0" borderId="0"/>
    <xf numFmtId="0" fontId="9" fillId="0" borderId="0"/>
    <xf numFmtId="0" fontId="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54"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4" fillId="0" borderId="0"/>
    <xf numFmtId="0" fontId="9" fillId="0" borderId="0"/>
    <xf numFmtId="0" fontId="9" fillId="0" borderId="0"/>
    <xf numFmtId="0" fontId="54" fillId="0" borderId="0"/>
    <xf numFmtId="0" fontId="54" fillId="0" borderId="0"/>
    <xf numFmtId="0" fontId="54" fillId="0" borderId="0"/>
    <xf numFmtId="0" fontId="83" fillId="15" borderId="35" applyNumberFormat="0" applyFont="0" applyAlignment="0" applyProtection="0"/>
    <xf numFmtId="0" fontId="83" fillId="15" borderId="35" applyNumberFormat="0" applyFont="0" applyAlignment="0" applyProtection="0"/>
    <xf numFmtId="0" fontId="83" fillId="15" borderId="35" applyNumberFormat="0" applyFont="0" applyAlignment="0" applyProtection="0"/>
    <xf numFmtId="0" fontId="83" fillId="15" borderId="35" applyNumberFormat="0" applyFont="0" applyAlignment="0" applyProtection="0"/>
    <xf numFmtId="0" fontId="83" fillId="15" borderId="35" applyNumberFormat="0" applyFont="0" applyAlignment="0" applyProtection="0"/>
    <xf numFmtId="0" fontId="83" fillId="15" borderId="35" applyNumberFormat="0" applyFont="0" applyAlignment="0" applyProtection="0"/>
    <xf numFmtId="0" fontId="10" fillId="66" borderId="44" applyNumberFormat="0" applyFont="0" applyAlignment="0" applyProtection="0"/>
    <xf numFmtId="0" fontId="83" fillId="15" borderId="35" applyNumberFormat="0" applyFont="0" applyAlignment="0" applyProtection="0"/>
    <xf numFmtId="0" fontId="9" fillId="15" borderId="35" applyNumberFormat="0" applyFont="0" applyAlignment="0" applyProtection="0"/>
    <xf numFmtId="0" fontId="9" fillId="15" borderId="35" applyNumberFormat="0" applyFont="0" applyAlignment="0" applyProtection="0"/>
    <xf numFmtId="0" fontId="83" fillId="15" borderId="35" applyNumberFormat="0" applyFont="0" applyAlignment="0" applyProtection="0"/>
    <xf numFmtId="0" fontId="83" fillId="15" borderId="35" applyNumberFormat="0" applyFont="0" applyAlignment="0" applyProtection="0"/>
    <xf numFmtId="0" fontId="83" fillId="15" borderId="35" applyNumberFormat="0" applyFont="0" applyAlignment="0" applyProtection="0"/>
    <xf numFmtId="0" fontId="83" fillId="15" borderId="35" applyNumberFormat="0" applyFont="0" applyAlignment="0" applyProtection="0"/>
    <xf numFmtId="0" fontId="83" fillId="15" borderId="35" applyNumberFormat="0" applyFont="0" applyAlignment="0" applyProtection="0"/>
    <xf numFmtId="0" fontId="83" fillId="15" borderId="35" applyNumberFormat="0" applyFont="0" applyAlignment="0" applyProtection="0"/>
    <xf numFmtId="0" fontId="83" fillId="15" borderId="35" applyNumberFormat="0" applyFont="0" applyAlignment="0" applyProtection="0"/>
    <xf numFmtId="0" fontId="84" fillId="13" borderId="32" applyNumberFormat="0" applyAlignment="0" applyProtection="0"/>
    <xf numFmtId="0" fontId="84" fillId="13" borderId="32" applyNumberFormat="0" applyAlignment="0" applyProtection="0"/>
    <xf numFmtId="0" fontId="84" fillId="13" borderId="32" applyNumberFormat="0" applyAlignment="0" applyProtection="0"/>
    <xf numFmtId="0" fontId="84" fillId="13" borderId="32" applyNumberFormat="0" applyAlignment="0" applyProtection="0"/>
    <xf numFmtId="0" fontId="84" fillId="13" borderId="32" applyNumberFormat="0" applyAlignment="0" applyProtection="0"/>
    <xf numFmtId="0" fontId="84" fillId="13" borderId="32" applyNumberFormat="0" applyAlignment="0" applyProtection="0"/>
    <xf numFmtId="0" fontId="85" fillId="61" borderId="45" applyNumberFormat="0" applyAlignment="0" applyProtection="0"/>
    <xf numFmtId="0" fontId="84" fillId="13" borderId="32" applyNumberFormat="0" applyAlignment="0" applyProtection="0"/>
    <xf numFmtId="0" fontId="32" fillId="13" borderId="32" applyNumberFormat="0" applyAlignment="0" applyProtection="0"/>
    <xf numFmtId="0" fontId="84" fillId="13" borderId="32" applyNumberFormat="0" applyAlignment="0" applyProtection="0"/>
    <xf numFmtId="0" fontId="84" fillId="13" borderId="32" applyNumberFormat="0" applyAlignment="0" applyProtection="0"/>
    <xf numFmtId="0" fontId="84" fillId="13" borderId="32" applyNumberFormat="0" applyAlignment="0" applyProtection="0"/>
    <xf numFmtId="0" fontId="84" fillId="13" borderId="32" applyNumberFormat="0" applyAlignment="0" applyProtection="0"/>
    <xf numFmtId="0" fontId="84" fillId="13" borderId="32" applyNumberFormat="0" applyAlignment="0" applyProtection="0"/>
    <xf numFmtId="0" fontId="84" fillId="13" borderId="32" applyNumberFormat="0" applyAlignment="0" applyProtection="0"/>
    <xf numFmtId="0" fontId="84" fillId="13" borderId="32" applyNumberFormat="0" applyAlignment="0" applyProtection="0"/>
    <xf numFmtId="10" fontId="10" fillId="0" borderId="0" applyFont="0" applyFill="0" applyBorder="0" applyAlignment="0" applyProtection="0"/>
    <xf numFmtId="9" fontId="10"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55"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41"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0" fontId="10" fillId="6" borderId="46" applyNumberFormat="0" applyProtection="0">
      <alignment horizontal="left" vertical="center"/>
    </xf>
    <xf numFmtId="0" fontId="24"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7" fillId="0" borderId="36" applyNumberFormat="0" applyFill="0" applyAlignment="0" applyProtection="0"/>
    <xf numFmtId="0" fontId="87" fillId="0" borderId="36" applyNumberFormat="0" applyFill="0" applyAlignment="0" applyProtection="0"/>
    <xf numFmtId="0" fontId="87" fillId="0" borderId="36" applyNumberFormat="0" applyFill="0" applyAlignment="0" applyProtection="0"/>
    <xf numFmtId="0" fontId="87" fillId="0" borderId="36" applyNumberFormat="0" applyFill="0" applyAlignment="0" applyProtection="0"/>
    <xf numFmtId="0" fontId="87" fillId="0" borderId="36" applyNumberFormat="0" applyFill="0" applyAlignment="0" applyProtection="0"/>
    <xf numFmtId="0" fontId="87" fillId="0" borderId="36" applyNumberFormat="0" applyFill="0" applyAlignment="0" applyProtection="0"/>
    <xf numFmtId="0" fontId="88" fillId="0" borderId="47" applyNumberFormat="0" applyFill="0" applyAlignment="0" applyProtection="0"/>
    <xf numFmtId="0" fontId="87" fillId="0" borderId="36" applyNumberFormat="0" applyFill="0" applyAlignment="0" applyProtection="0"/>
    <xf numFmtId="0" fontId="38" fillId="0" borderId="36" applyNumberFormat="0" applyFill="0" applyAlignment="0" applyProtection="0"/>
    <xf numFmtId="0" fontId="87" fillId="0" borderId="36" applyNumberFormat="0" applyFill="0" applyAlignment="0" applyProtection="0"/>
    <xf numFmtId="0" fontId="87" fillId="0" borderId="36" applyNumberFormat="0" applyFill="0" applyAlignment="0" applyProtection="0"/>
    <xf numFmtId="0" fontId="87" fillId="0" borderId="36" applyNumberFormat="0" applyFill="0" applyAlignment="0" applyProtection="0"/>
    <xf numFmtId="0" fontId="87" fillId="0" borderId="36" applyNumberFormat="0" applyFill="0" applyAlignment="0" applyProtection="0"/>
    <xf numFmtId="0" fontId="87" fillId="0" borderId="36" applyNumberFormat="0" applyFill="0" applyAlignment="0" applyProtection="0"/>
    <xf numFmtId="0" fontId="87" fillId="0" borderId="36" applyNumberFormat="0" applyFill="0" applyAlignment="0" applyProtection="0"/>
    <xf numFmtId="0" fontId="87" fillId="0" borderId="36"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89" fillId="0" borderId="0" applyNumberFormat="0" applyFill="0" applyBorder="0" applyAlignment="0" applyProtection="0"/>
    <xf numFmtId="0" fontId="19" fillId="0" borderId="0" applyNumberFormat="0" applyFill="0" applyBorder="0" applyAlignment="0" applyProtection="0"/>
    <xf numFmtId="0" fontId="36"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0" fillId="0" borderId="0"/>
    <xf numFmtId="0" fontId="55" fillId="15" borderId="35" applyNumberFormat="0" applyFont="0" applyAlignment="0" applyProtection="0"/>
    <xf numFmtId="43" fontId="41" fillId="0" borderId="0" applyFont="0" applyFill="0" applyBorder="0" applyAlignment="0" applyProtection="0"/>
    <xf numFmtId="43" fontId="55" fillId="0" borderId="0" applyFont="0" applyFill="0" applyBorder="0" applyAlignment="0" applyProtection="0"/>
    <xf numFmtId="43" fontId="41" fillId="0" borderId="0" applyFont="0" applyFill="0" applyBorder="0" applyAlignment="0" applyProtection="0"/>
    <xf numFmtId="44" fontId="55" fillId="0" borderId="0" applyFont="0" applyFill="0" applyBorder="0" applyAlignment="0" applyProtection="0"/>
    <xf numFmtId="0" fontId="10" fillId="0" borderId="0"/>
    <xf numFmtId="0" fontId="8" fillId="0" borderId="0"/>
    <xf numFmtId="0" fontId="41" fillId="0" borderId="0"/>
    <xf numFmtId="0" fontId="10" fillId="0" borderId="0"/>
    <xf numFmtId="0" fontId="8" fillId="0" borderId="0"/>
    <xf numFmtId="0" fontId="8" fillId="0" borderId="0"/>
    <xf numFmtId="0" fontId="10" fillId="0" borderId="0"/>
    <xf numFmtId="170" fontId="10" fillId="0" borderId="0" applyFont="0" applyFill="0" applyBorder="0" applyAlignment="0" applyProtection="0"/>
    <xf numFmtId="170" fontId="40" fillId="0" borderId="0" applyFont="0" applyFill="0" applyBorder="0" applyAlignment="0" applyProtection="0"/>
    <xf numFmtId="9" fontId="40" fillId="0" borderId="0" applyFont="0" applyFill="0" applyBorder="0" applyAlignment="0" applyProtection="0"/>
    <xf numFmtId="165" fontId="7" fillId="0" borderId="0" applyFont="0" applyFill="0" applyBorder="0" applyAlignment="0" applyProtection="0"/>
    <xf numFmtId="0" fontId="10" fillId="0" borderId="0"/>
    <xf numFmtId="0" fontId="10" fillId="0" borderId="0"/>
    <xf numFmtId="0" fontId="10" fillId="0" borderId="0"/>
    <xf numFmtId="9" fontId="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4" fontId="100" fillId="0" borderId="0" applyFont="0" applyFill="0" applyBorder="0" applyAlignment="0" applyProtection="0"/>
    <xf numFmtId="0" fontId="5" fillId="0" borderId="0"/>
    <xf numFmtId="170" fontId="5" fillId="0" borderId="0" applyFont="0" applyFill="0" applyBorder="0" applyAlignment="0" applyProtection="0"/>
    <xf numFmtId="9" fontId="5" fillId="0" borderId="0" applyFont="0" applyFill="0" applyBorder="0" applyAlignment="0" applyProtection="0"/>
    <xf numFmtId="9" fontId="103" fillId="0" borderId="0">
      <alignment horizontal="right"/>
    </xf>
    <xf numFmtId="164" fontId="104" fillId="0" borderId="0" applyFont="0" applyFill="0" applyBorder="0" applyAlignment="0" applyProtection="0"/>
    <xf numFmtId="166" fontId="104" fillId="0" borderId="0" applyFont="0" applyFill="0" applyBorder="0" applyAlignment="0" applyProtection="0"/>
    <xf numFmtId="9" fontId="104" fillId="0" borderId="0" applyFont="0" applyFill="0" applyBorder="0" applyAlignment="0" applyProtection="0"/>
    <xf numFmtId="10" fontId="104" fillId="0" borderId="0" applyFont="0" applyFill="0" applyBorder="0" applyAlignment="0" applyProtection="0"/>
    <xf numFmtId="0" fontId="10" fillId="67" borderId="82" applyNumberFormat="0">
      <alignment horizontal="centerContinuous" vertical="center" wrapText="1"/>
    </xf>
    <xf numFmtId="0" fontId="10" fillId="68" borderId="82" applyNumberFormat="0">
      <alignment horizontal="left" vertical="center"/>
    </xf>
    <xf numFmtId="170" fontId="105" fillId="0" borderId="0" applyFont="0" applyFill="0" applyBorder="0" applyAlignment="0" applyProtection="0"/>
    <xf numFmtId="0" fontId="10" fillId="0" borderId="0"/>
    <xf numFmtId="0" fontId="10" fillId="0" borderId="0" applyFont="0" applyFill="0" applyBorder="0" applyAlignment="0" applyProtection="0"/>
    <xf numFmtId="198" fontId="10" fillId="0" borderId="0" applyFont="0" applyFill="0" applyBorder="0" applyAlignment="0" applyProtection="0"/>
    <xf numFmtId="0" fontId="106" fillId="0" borderId="0"/>
    <xf numFmtId="0" fontId="107" fillId="0" borderId="0" applyFont="0" applyFill="0" applyBorder="0" applyAlignment="0" applyProtection="0"/>
    <xf numFmtId="199" fontId="10" fillId="0" borderId="0" applyFont="0" applyFill="0" applyBorder="0" applyAlignment="0" applyProtection="0"/>
    <xf numFmtId="179" fontId="10" fillId="0" borderId="0" applyFont="0" applyFill="0" applyBorder="0" applyAlignment="0" applyProtection="0"/>
    <xf numFmtId="200" fontId="40" fillId="0" borderId="0" applyFont="0" applyFill="0" applyBorder="0" applyAlignment="0" applyProtection="0"/>
    <xf numFmtId="201" fontId="40" fillId="0" borderId="0" applyFont="0" applyFill="0" applyBorder="0" applyAlignment="0" applyProtection="0"/>
    <xf numFmtId="39" fontId="10" fillId="0" borderId="0" applyFont="0" applyFill="0" applyBorder="0" applyAlignment="0" applyProtection="0"/>
    <xf numFmtId="0" fontId="106" fillId="0" borderId="0"/>
    <xf numFmtId="0" fontId="10" fillId="0" borderId="0">
      <alignment vertical="top"/>
    </xf>
    <xf numFmtId="9" fontId="107" fillId="0" borderId="0">
      <alignment horizontal="right"/>
    </xf>
    <xf numFmtId="0" fontId="108" fillId="0" borderId="0" applyNumberFormat="0" applyFill="0">
      <alignment horizontal="left" vertical="center" wrapText="1"/>
    </xf>
    <xf numFmtId="202" fontId="10" fillId="0" borderId="0" applyFont="0" applyFill="0" applyBorder="0" applyAlignment="0" applyProtection="0"/>
    <xf numFmtId="203" fontId="40" fillId="0" borderId="0" applyFont="0" applyFill="0" applyBorder="0" applyAlignment="0" applyProtection="0"/>
    <xf numFmtId="204" fontId="40" fillId="0" borderId="0" applyFont="0" applyFill="0" applyBorder="0" applyAlignment="0" applyProtection="0"/>
    <xf numFmtId="205" fontId="40" fillId="0" borderId="0" applyFont="0" applyFill="0" applyBorder="0" applyAlignment="0" applyProtection="0"/>
    <xf numFmtId="206" fontId="40" fillId="0" borderId="0" applyFont="0" applyFill="0" applyBorder="0" applyAlignment="0" applyProtection="0"/>
    <xf numFmtId="207" fontId="10" fillId="0" borderId="0" applyFont="0" applyFill="0" applyBorder="0" applyAlignment="0" applyProtection="0"/>
    <xf numFmtId="208" fontId="10" fillId="0" borderId="0" applyFont="0" applyFill="0" applyBorder="0" applyAlignment="0" applyProtection="0"/>
    <xf numFmtId="209" fontId="10" fillId="0" borderId="0" applyFont="0" applyFill="0" applyBorder="0" applyProtection="0">
      <alignment horizontal="right"/>
    </xf>
    <xf numFmtId="210" fontId="40" fillId="0" borderId="0" applyFont="0" applyFill="0" applyBorder="0" applyAlignment="0" applyProtection="0"/>
    <xf numFmtId="168" fontId="40" fillId="0" borderId="0" applyFont="0" applyFill="0" applyBorder="0" applyAlignment="0" applyProtection="0"/>
    <xf numFmtId="211" fontId="10" fillId="0" borderId="0" applyFont="0" applyFill="0" applyBorder="0" applyAlignment="0" applyProtection="0"/>
    <xf numFmtId="174" fontId="10" fillId="0" borderId="0" applyFont="0" applyFill="0" applyBorder="0" applyAlignment="0" applyProtection="0"/>
    <xf numFmtId="212" fontId="40" fillId="0" borderId="0" applyFont="0" applyFill="0" applyBorder="0" applyAlignment="0" applyProtection="0"/>
    <xf numFmtId="212" fontId="10" fillId="0" borderId="0" applyFont="0" applyFill="0" applyBorder="0" applyAlignment="0" applyProtection="0"/>
    <xf numFmtId="213" fontId="10" fillId="0" borderId="0" applyFont="0" applyFill="0" applyBorder="0" applyAlignment="0" applyProtection="0"/>
    <xf numFmtId="214" fontId="10" fillId="0" borderId="0" applyFont="0" applyFill="0" applyBorder="0" applyAlignment="0" applyProtection="0"/>
    <xf numFmtId="215" fontId="10" fillId="0" borderId="0" applyFont="0" applyFill="0" applyBorder="0" applyAlignment="0" applyProtection="0"/>
    <xf numFmtId="0" fontId="10" fillId="0" borderId="0"/>
    <xf numFmtId="0" fontId="10" fillId="0" borderId="0"/>
    <xf numFmtId="0" fontId="109" fillId="0" borderId="0" applyFont="0" applyFill="0" applyBorder="0" applyAlignment="0" applyProtection="0"/>
    <xf numFmtId="216" fontId="109" fillId="0" borderId="0" applyFont="0" applyFill="0" applyBorder="0" applyAlignment="0" applyProtection="0"/>
    <xf numFmtId="0" fontId="40" fillId="0" borderId="0" applyNumberFormat="0" applyFill="0" applyBorder="0" applyAlignment="0" applyProtection="0"/>
    <xf numFmtId="217" fontId="108" fillId="0" borderId="0" applyNumberFormat="0" applyFill="0">
      <alignment horizontal="left" vertical="center" wrapText="1"/>
    </xf>
    <xf numFmtId="0" fontId="108" fillId="6" borderId="0" applyFont="0" applyFill="0" applyProtection="0"/>
    <xf numFmtId="198" fontId="10" fillId="0" borderId="0"/>
    <xf numFmtId="218" fontId="23" fillId="0" borderId="0" applyFill="0" applyBorder="0" applyAlignment="0" applyProtection="0">
      <alignment horizontal="right"/>
    </xf>
    <xf numFmtId="0" fontId="55" fillId="43" borderId="0" applyNumberFormat="0" applyBorder="0" applyAlignment="0" applyProtection="0"/>
    <xf numFmtId="0" fontId="5" fillId="17" borderId="0" applyNumberFormat="0" applyBorder="0" applyAlignment="0" applyProtection="0"/>
    <xf numFmtId="0" fontId="110"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110" fillId="17" borderId="0" applyNumberFormat="0" applyBorder="0" applyAlignment="0" applyProtection="0"/>
    <xf numFmtId="0" fontId="5"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0" fillId="17" borderId="0" applyNumberFormat="0" applyBorder="0" applyAlignment="0" applyProtection="0"/>
    <xf numFmtId="0" fontId="111"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5" fillId="44" borderId="0" applyNumberFormat="0" applyBorder="0" applyAlignment="0" applyProtection="0"/>
    <xf numFmtId="0" fontId="5" fillId="21" borderId="0" applyNumberFormat="0" applyBorder="0" applyAlignment="0" applyProtection="0"/>
    <xf numFmtId="0" fontId="110"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110" fillId="21" borderId="0" applyNumberFormat="0" applyBorder="0" applyAlignment="0" applyProtection="0"/>
    <xf numFmtId="0" fontId="5"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1"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5" fillId="45" borderId="0" applyNumberFormat="0" applyBorder="0" applyAlignment="0" applyProtection="0"/>
    <xf numFmtId="0" fontId="5" fillId="25" borderId="0" applyNumberFormat="0" applyBorder="0" applyAlignment="0" applyProtection="0"/>
    <xf numFmtId="0" fontId="110"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110" fillId="25" borderId="0" applyNumberFormat="0" applyBorder="0" applyAlignment="0" applyProtection="0"/>
    <xf numFmtId="0" fontId="5" fillId="25" borderId="0" applyNumberFormat="0" applyBorder="0" applyAlignment="0" applyProtection="0"/>
    <xf numFmtId="0" fontId="110" fillId="25" borderId="0" applyNumberFormat="0" applyBorder="0" applyAlignment="0" applyProtection="0"/>
    <xf numFmtId="0" fontId="110" fillId="25" borderId="0" applyNumberFormat="0" applyBorder="0" applyAlignment="0" applyProtection="0"/>
    <xf numFmtId="0" fontId="110" fillId="25" borderId="0" applyNumberFormat="0" applyBorder="0" applyAlignment="0" applyProtection="0"/>
    <xf numFmtId="0" fontId="110" fillId="25" borderId="0" applyNumberFormat="0" applyBorder="0" applyAlignment="0" applyProtection="0"/>
    <xf numFmtId="0" fontId="110" fillId="25" borderId="0" applyNumberFormat="0" applyBorder="0" applyAlignment="0" applyProtection="0"/>
    <xf numFmtId="0" fontId="111"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5" fillId="46" borderId="0" applyNumberFormat="0" applyBorder="0" applyAlignment="0" applyProtection="0"/>
    <xf numFmtId="0" fontId="5" fillId="29" borderId="0" applyNumberFormat="0" applyBorder="0" applyAlignment="0" applyProtection="0"/>
    <xf numFmtId="0" fontId="110"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110" fillId="29" borderId="0" applyNumberFormat="0" applyBorder="0" applyAlignment="0" applyProtection="0"/>
    <xf numFmtId="0" fontId="5" fillId="29" borderId="0" applyNumberFormat="0" applyBorder="0" applyAlignment="0" applyProtection="0"/>
    <xf numFmtId="0" fontId="110" fillId="29" borderId="0" applyNumberFormat="0" applyBorder="0" applyAlignment="0" applyProtection="0"/>
    <xf numFmtId="0" fontId="110" fillId="29" borderId="0" applyNumberFormat="0" applyBorder="0" applyAlignment="0" applyProtection="0"/>
    <xf numFmtId="0" fontId="110" fillId="29" borderId="0" applyNumberFormat="0" applyBorder="0" applyAlignment="0" applyProtection="0"/>
    <xf numFmtId="0" fontId="110" fillId="29" borderId="0" applyNumberFormat="0" applyBorder="0" applyAlignment="0" applyProtection="0"/>
    <xf numFmtId="0" fontId="110" fillId="29" borderId="0" applyNumberFormat="0" applyBorder="0" applyAlignment="0" applyProtection="0"/>
    <xf numFmtId="0" fontId="111"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5" fillId="47" borderId="0" applyNumberFormat="0" applyBorder="0" applyAlignment="0" applyProtection="0"/>
    <xf numFmtId="0" fontId="5" fillId="33" borderId="0" applyNumberFormat="0" applyBorder="0" applyAlignment="0" applyProtection="0"/>
    <xf numFmtId="0" fontId="110"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10" fillId="33" borderId="0" applyNumberFormat="0" applyBorder="0" applyAlignment="0" applyProtection="0"/>
    <xf numFmtId="0" fontId="5"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1"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5" fillId="48" borderId="0" applyNumberFormat="0" applyBorder="0" applyAlignment="0" applyProtection="0"/>
    <xf numFmtId="0" fontId="5" fillId="37" borderId="0" applyNumberFormat="0" applyBorder="0" applyAlignment="0" applyProtection="0"/>
    <xf numFmtId="0" fontId="110"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0" fillId="37" borderId="0" applyNumberFormat="0" applyBorder="0" applyAlignment="0" applyProtection="0"/>
    <xf numFmtId="0" fontId="5"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1"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5" fillId="49" borderId="0" applyNumberFormat="0" applyBorder="0" applyAlignment="0" applyProtection="0"/>
    <xf numFmtId="0" fontId="5" fillId="18" borderId="0" applyNumberFormat="0" applyBorder="0" applyAlignment="0" applyProtection="0"/>
    <xf numFmtId="0" fontId="110"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10" fillId="18" borderId="0" applyNumberFormat="0" applyBorder="0" applyAlignment="0" applyProtection="0"/>
    <xf numFmtId="0" fontId="5"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0" fillId="18" borderId="0" applyNumberFormat="0" applyBorder="0" applyAlignment="0" applyProtection="0"/>
    <xf numFmtId="0" fontId="11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5" fillId="50" borderId="0" applyNumberFormat="0" applyBorder="0" applyAlignment="0" applyProtection="0"/>
    <xf numFmtId="0" fontId="5" fillId="22" borderId="0" applyNumberFormat="0" applyBorder="0" applyAlignment="0" applyProtection="0"/>
    <xf numFmtId="0" fontId="110"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10" fillId="22" borderId="0" applyNumberFormat="0" applyBorder="0" applyAlignment="0" applyProtection="0"/>
    <xf numFmtId="0" fontId="5" fillId="22" borderId="0" applyNumberFormat="0" applyBorder="0" applyAlignment="0" applyProtection="0"/>
    <xf numFmtId="0" fontId="110" fillId="22" borderId="0" applyNumberFormat="0" applyBorder="0" applyAlignment="0" applyProtection="0"/>
    <xf numFmtId="0" fontId="110" fillId="22" borderId="0" applyNumberFormat="0" applyBorder="0" applyAlignment="0" applyProtection="0"/>
    <xf numFmtId="0" fontId="110" fillId="22" borderId="0" applyNumberFormat="0" applyBorder="0" applyAlignment="0" applyProtection="0"/>
    <xf numFmtId="0" fontId="110" fillId="22" borderId="0" applyNumberFormat="0" applyBorder="0" applyAlignment="0" applyProtection="0"/>
    <xf numFmtId="0" fontId="110" fillId="22" borderId="0" applyNumberFormat="0" applyBorder="0" applyAlignment="0" applyProtection="0"/>
    <xf numFmtId="0" fontId="11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5" fillId="51" borderId="0" applyNumberFormat="0" applyBorder="0" applyAlignment="0" applyProtection="0"/>
    <xf numFmtId="0" fontId="5" fillId="26" borderId="0" applyNumberFormat="0" applyBorder="0" applyAlignment="0" applyProtection="0"/>
    <xf numFmtId="0" fontId="110"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10" fillId="26" borderId="0" applyNumberFormat="0" applyBorder="0" applyAlignment="0" applyProtection="0"/>
    <xf numFmtId="0" fontId="5" fillId="26" borderId="0" applyNumberFormat="0" applyBorder="0" applyAlignment="0" applyProtection="0"/>
    <xf numFmtId="0" fontId="110" fillId="26" borderId="0" applyNumberFormat="0" applyBorder="0" applyAlignment="0" applyProtection="0"/>
    <xf numFmtId="0" fontId="110" fillId="26" borderId="0" applyNumberFormat="0" applyBorder="0" applyAlignment="0" applyProtection="0"/>
    <xf numFmtId="0" fontId="110" fillId="26" borderId="0" applyNumberFormat="0" applyBorder="0" applyAlignment="0" applyProtection="0"/>
    <xf numFmtId="0" fontId="110" fillId="26" borderId="0" applyNumberFormat="0" applyBorder="0" applyAlignment="0" applyProtection="0"/>
    <xf numFmtId="0" fontId="110" fillId="26" borderId="0" applyNumberFormat="0" applyBorder="0" applyAlignment="0" applyProtection="0"/>
    <xf numFmtId="0" fontId="11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5" fillId="46" borderId="0" applyNumberFormat="0" applyBorder="0" applyAlignment="0" applyProtection="0"/>
    <xf numFmtId="0" fontId="5" fillId="30" borderId="0" applyNumberFormat="0" applyBorder="0" applyAlignment="0" applyProtection="0"/>
    <xf numFmtId="0" fontId="110"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10" fillId="30" borderId="0" applyNumberFormat="0" applyBorder="0" applyAlignment="0" applyProtection="0"/>
    <xf numFmtId="0" fontId="5"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5" fillId="49" borderId="0" applyNumberFormat="0" applyBorder="0" applyAlignment="0" applyProtection="0"/>
    <xf numFmtId="0" fontId="5" fillId="34" borderId="0" applyNumberFormat="0" applyBorder="0" applyAlignment="0" applyProtection="0"/>
    <xf numFmtId="0" fontId="110"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110" fillId="34" borderId="0" applyNumberFormat="0" applyBorder="0" applyAlignment="0" applyProtection="0"/>
    <xf numFmtId="0" fontId="5" fillId="34" borderId="0" applyNumberFormat="0" applyBorder="0" applyAlignment="0" applyProtection="0"/>
    <xf numFmtId="0" fontId="110" fillId="34" borderId="0" applyNumberFormat="0" applyBorder="0" applyAlignment="0" applyProtection="0"/>
    <xf numFmtId="0" fontId="110" fillId="34" borderId="0" applyNumberFormat="0" applyBorder="0" applyAlignment="0" applyProtection="0"/>
    <xf numFmtId="0" fontId="110" fillId="34" borderId="0" applyNumberFormat="0" applyBorder="0" applyAlignment="0" applyProtection="0"/>
    <xf numFmtId="0" fontId="110" fillId="34" borderId="0" applyNumberFormat="0" applyBorder="0" applyAlignment="0" applyProtection="0"/>
    <xf numFmtId="0" fontId="110" fillId="34" borderId="0" applyNumberFormat="0" applyBorder="0" applyAlignment="0" applyProtection="0"/>
    <xf numFmtId="0" fontId="111"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5" fillId="52" borderId="0" applyNumberFormat="0" applyBorder="0" applyAlignment="0" applyProtection="0"/>
    <xf numFmtId="0" fontId="5" fillId="38" borderId="0" applyNumberFormat="0" applyBorder="0" applyAlignment="0" applyProtection="0"/>
    <xf numFmtId="0" fontId="110"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0" fillId="38" borderId="0" applyNumberFormat="0" applyBorder="0" applyAlignment="0" applyProtection="0"/>
    <xf numFmtId="0" fontId="5"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1"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7" fillId="53"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39" fillId="19" borderId="0" applyNumberFormat="0" applyBorder="0" applyAlignment="0" applyProtection="0"/>
    <xf numFmtId="0" fontId="57" fillId="50"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39" fillId="23" borderId="0" applyNumberFormat="0" applyBorder="0" applyAlignment="0" applyProtection="0"/>
    <xf numFmtId="0" fontId="57" fillId="51"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39" fillId="27" borderId="0" applyNumberFormat="0" applyBorder="0" applyAlignment="0" applyProtection="0"/>
    <xf numFmtId="0" fontId="57" fillId="54" borderId="0" applyNumberFormat="0" applyBorder="0" applyAlignment="0" applyProtection="0"/>
    <xf numFmtId="0" fontId="112" fillId="31" borderId="0" applyNumberFormat="0" applyBorder="0" applyAlignment="0" applyProtection="0"/>
    <xf numFmtId="0" fontId="112" fillId="31" borderId="0" applyNumberFormat="0" applyBorder="0" applyAlignment="0" applyProtection="0"/>
    <xf numFmtId="0" fontId="112" fillId="31" borderId="0" applyNumberFormat="0" applyBorder="0" applyAlignment="0" applyProtection="0"/>
    <xf numFmtId="0" fontId="112" fillId="31" borderId="0" applyNumberFormat="0" applyBorder="0" applyAlignment="0" applyProtection="0"/>
    <xf numFmtId="0" fontId="112" fillId="31" borderId="0" applyNumberFormat="0" applyBorder="0" applyAlignment="0" applyProtection="0"/>
    <xf numFmtId="0" fontId="112" fillId="31" borderId="0" applyNumberFormat="0" applyBorder="0" applyAlignment="0" applyProtection="0"/>
    <xf numFmtId="0" fontId="112" fillId="31" borderId="0" applyNumberFormat="0" applyBorder="0" applyAlignment="0" applyProtection="0"/>
    <xf numFmtId="0" fontId="39" fillId="31" borderId="0" applyNumberFormat="0" applyBorder="0" applyAlignment="0" applyProtection="0"/>
    <xf numFmtId="0" fontId="57" fillId="55"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39" fillId="35" borderId="0" applyNumberFormat="0" applyBorder="0" applyAlignment="0" applyProtection="0"/>
    <xf numFmtId="0" fontId="57" fillId="56"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39" fillId="39" borderId="0" applyNumberFormat="0" applyBorder="0" applyAlignment="0" applyProtection="0"/>
    <xf numFmtId="219" fontId="10" fillId="0" borderId="15">
      <alignment horizontal="right"/>
    </xf>
    <xf numFmtId="0" fontId="57" fillId="57"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39" fillId="16" borderId="0" applyNumberFormat="0" applyBorder="0" applyAlignment="0" applyProtection="0"/>
    <xf numFmtId="0" fontId="57" fillId="58"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39" fillId="20" borderId="0" applyNumberFormat="0" applyBorder="0" applyAlignment="0" applyProtection="0"/>
    <xf numFmtId="0" fontId="57" fillId="59"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39" fillId="24" borderId="0" applyNumberFormat="0" applyBorder="0" applyAlignment="0" applyProtection="0"/>
    <xf numFmtId="0" fontId="57" fillId="54" borderId="0" applyNumberFormat="0" applyBorder="0" applyAlignment="0" applyProtection="0"/>
    <xf numFmtId="0" fontId="112" fillId="28" borderId="0" applyNumberFormat="0" applyBorder="0" applyAlignment="0" applyProtection="0"/>
    <xf numFmtId="0" fontId="112" fillId="28" borderId="0" applyNumberFormat="0" applyBorder="0" applyAlignment="0" applyProtection="0"/>
    <xf numFmtId="0" fontId="112" fillId="28" borderId="0" applyNumberFormat="0" applyBorder="0" applyAlignment="0" applyProtection="0"/>
    <xf numFmtId="0" fontId="112" fillId="28" borderId="0" applyNumberFormat="0" applyBorder="0" applyAlignment="0" applyProtection="0"/>
    <xf numFmtId="0" fontId="112" fillId="28" borderId="0" applyNumberFormat="0" applyBorder="0" applyAlignment="0" applyProtection="0"/>
    <xf numFmtId="0" fontId="112" fillId="28" borderId="0" applyNumberFormat="0" applyBorder="0" applyAlignment="0" applyProtection="0"/>
    <xf numFmtId="0" fontId="112" fillId="28" borderId="0" applyNumberFormat="0" applyBorder="0" applyAlignment="0" applyProtection="0"/>
    <xf numFmtId="0" fontId="39" fillId="28" borderId="0" applyNumberFormat="0" applyBorder="0" applyAlignment="0" applyProtection="0"/>
    <xf numFmtId="0" fontId="57" fillId="55" borderId="0" applyNumberFormat="0" applyBorder="0" applyAlignment="0" applyProtection="0"/>
    <xf numFmtId="0" fontId="112" fillId="32" borderId="0" applyNumberFormat="0" applyBorder="0" applyAlignment="0" applyProtection="0"/>
    <xf numFmtId="0" fontId="112" fillId="32" borderId="0" applyNumberFormat="0" applyBorder="0" applyAlignment="0" applyProtection="0"/>
    <xf numFmtId="0" fontId="112" fillId="32" borderId="0" applyNumberFormat="0" applyBorder="0" applyAlignment="0" applyProtection="0"/>
    <xf numFmtId="0" fontId="112" fillId="32" borderId="0" applyNumberFormat="0" applyBorder="0" applyAlignment="0" applyProtection="0"/>
    <xf numFmtId="0" fontId="112" fillId="32" borderId="0" applyNumberFormat="0" applyBorder="0" applyAlignment="0" applyProtection="0"/>
    <xf numFmtId="0" fontId="112" fillId="32" borderId="0" applyNumberFormat="0" applyBorder="0" applyAlignment="0" applyProtection="0"/>
    <xf numFmtId="0" fontId="112" fillId="32" borderId="0" applyNumberFormat="0" applyBorder="0" applyAlignment="0" applyProtection="0"/>
    <xf numFmtId="0" fontId="39" fillId="32" borderId="0" applyNumberFormat="0" applyBorder="0" applyAlignment="0" applyProtection="0"/>
    <xf numFmtId="0" fontId="57" fillId="60"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39" fillId="36" borderId="0" applyNumberFormat="0" applyBorder="0" applyAlignment="0" applyProtection="0"/>
    <xf numFmtId="167" fontId="113" fillId="0" borderId="0" applyFont="0"/>
    <xf numFmtId="167" fontId="113" fillId="0" borderId="83" applyFont="0"/>
    <xf numFmtId="168" fontId="113" fillId="0" borderId="0" applyFont="0"/>
    <xf numFmtId="220" fontId="114" fillId="0" borderId="15">
      <alignment horizontal="right"/>
    </xf>
    <xf numFmtId="220" fontId="114" fillId="0" borderId="15" applyFill="0">
      <alignment horizontal="right"/>
    </xf>
    <xf numFmtId="221" fontId="10" fillId="0" borderId="15">
      <alignment horizontal="right"/>
    </xf>
    <xf numFmtId="3" fontId="10" fillId="0" borderId="15" applyFill="0">
      <alignment horizontal="right"/>
    </xf>
    <xf numFmtId="222" fontId="114" fillId="0" borderId="15" applyFill="0">
      <alignment horizontal="right"/>
    </xf>
    <xf numFmtId="3" fontId="115" fillId="0" borderId="15" applyFill="0">
      <alignment horizontal="right"/>
    </xf>
    <xf numFmtId="223" fontId="13" fillId="69" borderId="84">
      <alignment horizontal="center" vertical="center"/>
    </xf>
    <xf numFmtId="0" fontId="10" fillId="0" borderId="0"/>
    <xf numFmtId="198" fontId="116" fillId="0" borderId="0"/>
    <xf numFmtId="0" fontId="10" fillId="0" borderId="0"/>
    <xf numFmtId="224" fontId="10" fillId="0" borderId="15">
      <alignment horizontal="right"/>
      <protection locked="0"/>
    </xf>
    <xf numFmtId="165" fontId="114" fillId="0" borderId="15" applyNumberFormat="0" applyFont="0" applyBorder="0" applyProtection="0">
      <alignment horizontal="right"/>
    </xf>
    <xf numFmtId="225" fontId="117" fillId="70" borderId="85"/>
    <xf numFmtId="0" fontId="10" fillId="0" borderId="0" applyNumberFormat="0" applyFill="0" applyBorder="0" applyAlignment="0" applyProtection="0"/>
    <xf numFmtId="0" fontId="92" fillId="0" borderId="0" applyNumberFormat="0" applyFill="0" applyBorder="0" applyAlignment="0" applyProtection="0"/>
    <xf numFmtId="0" fontId="118" fillId="0" borderId="0"/>
    <xf numFmtId="0" fontId="59" fillId="44"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29" fillId="10" borderId="0" applyNumberFormat="0" applyBorder="0" applyAlignment="0" applyProtection="0"/>
    <xf numFmtId="1" fontId="120" fillId="71" borderId="4" applyNumberFormat="0" applyBorder="0" applyAlignment="0">
      <alignment horizontal="center" vertical="top" wrapText="1"/>
      <protection hidden="1"/>
    </xf>
    <xf numFmtId="0" fontId="121" fillId="64" borderId="0"/>
    <xf numFmtId="0" fontId="122" fillId="0" borderId="0" applyAlignment="0"/>
    <xf numFmtId="0" fontId="123" fillId="0" borderId="12" applyNumberFormat="0" applyFill="0" applyAlignment="0" applyProtection="0"/>
    <xf numFmtId="0" fontId="115" fillId="0" borderId="2" applyNumberFormat="0" applyFont="0" applyFill="0" applyAlignment="0" applyProtection="0"/>
    <xf numFmtId="0" fontId="124" fillId="0" borderId="86" applyNumberFormat="0" applyFont="0" applyFill="0" applyAlignment="0" applyProtection="0">
      <alignment horizontal="centerContinuous"/>
    </xf>
    <xf numFmtId="0" fontId="104" fillId="0" borderId="12" applyNumberFormat="0" applyFont="0" applyFill="0" applyAlignment="0" applyProtection="0"/>
    <xf numFmtId="0" fontId="104" fillId="0" borderId="4" applyNumberFormat="0" applyFont="0" applyFill="0" applyAlignment="0" applyProtection="0"/>
    <xf numFmtId="0" fontId="104" fillId="0" borderId="5" applyNumberFormat="0" applyFont="0" applyFill="0" applyAlignment="0" applyProtection="0"/>
    <xf numFmtId="0" fontId="104" fillId="0" borderId="65" applyNumberFormat="0" applyFont="0" applyFill="0" applyAlignment="0" applyProtection="0"/>
    <xf numFmtId="226" fontId="10" fillId="0" borderId="0" applyFont="0" applyFill="0" applyBorder="0" applyAlignment="0" applyProtection="0"/>
    <xf numFmtId="0" fontId="40" fillId="0" borderId="0">
      <alignment horizontal="right"/>
    </xf>
    <xf numFmtId="0" fontId="109" fillId="0" borderId="0" applyFont="0" applyFill="0" applyBorder="0" applyAlignment="0" applyProtection="0"/>
    <xf numFmtId="227" fontId="40" fillId="0" borderId="0" applyFill="0" applyBorder="0" applyAlignment="0"/>
    <xf numFmtId="228" fontId="40" fillId="0" borderId="0" applyFill="0" applyBorder="0" applyAlignment="0"/>
    <xf numFmtId="229" fontId="40" fillId="0" borderId="0" applyFill="0" applyBorder="0" applyAlignment="0"/>
    <xf numFmtId="230" fontId="40" fillId="0" borderId="0" applyFill="0" applyBorder="0" applyAlignment="0"/>
    <xf numFmtId="229" fontId="10" fillId="0" borderId="0" applyFill="0" applyBorder="0" applyAlignment="0"/>
    <xf numFmtId="227" fontId="40" fillId="0" borderId="0" applyFill="0" applyBorder="0" applyAlignment="0"/>
    <xf numFmtId="230" fontId="10" fillId="0" borderId="0" applyFill="0" applyBorder="0" applyAlignment="0"/>
    <xf numFmtId="228" fontId="40" fillId="0" borderId="0" applyFill="0" applyBorder="0" applyAlignment="0"/>
    <xf numFmtId="0" fontId="61" fillId="61" borderId="82" applyNumberFormat="0" applyAlignment="0" applyProtection="0"/>
    <xf numFmtId="0" fontId="61" fillId="61" borderId="82" applyNumberFormat="0" applyAlignment="0" applyProtection="0"/>
    <xf numFmtId="0" fontId="125" fillId="13" borderId="31" applyNumberFormat="0" applyAlignment="0" applyProtection="0"/>
    <xf numFmtId="0" fontId="125" fillId="13" borderId="31" applyNumberFormat="0" applyAlignment="0" applyProtection="0"/>
    <xf numFmtId="0" fontId="125" fillId="13" borderId="31" applyNumberFormat="0" applyAlignment="0" applyProtection="0"/>
    <xf numFmtId="0" fontId="125" fillId="13" borderId="31" applyNumberFormat="0" applyAlignment="0" applyProtection="0"/>
    <xf numFmtId="0" fontId="125" fillId="13" borderId="31" applyNumberFormat="0" applyAlignment="0" applyProtection="0"/>
    <xf numFmtId="0" fontId="125" fillId="13" borderId="31" applyNumberFormat="0" applyAlignment="0" applyProtection="0"/>
    <xf numFmtId="0" fontId="125" fillId="13" borderId="31" applyNumberFormat="0" applyAlignment="0" applyProtection="0"/>
    <xf numFmtId="0" fontId="33" fillId="13" borderId="31" applyNumberFormat="0" applyAlignment="0" applyProtection="0"/>
    <xf numFmtId="198" fontId="115" fillId="72" borderId="0" applyNumberFormat="0" applyFont="0" applyBorder="0" applyAlignment="0">
      <alignment horizontal="left"/>
    </xf>
    <xf numFmtId="231" fontId="10" fillId="0" borderId="0" applyFont="0" applyFill="0" applyBorder="0" applyProtection="0">
      <alignment horizontal="center" vertical="center"/>
    </xf>
    <xf numFmtId="0" fontId="63" fillId="62" borderId="39" applyNumberFormat="0" applyAlignment="0" applyProtection="0"/>
    <xf numFmtId="0" fontId="126" fillId="14" borderId="34" applyNumberFormat="0" applyAlignment="0" applyProtection="0"/>
    <xf numFmtId="0" fontId="126" fillId="14" borderId="34" applyNumberFormat="0" applyAlignment="0" applyProtection="0"/>
    <xf numFmtId="0" fontId="126" fillId="14" borderId="34" applyNumberFormat="0" applyAlignment="0" applyProtection="0"/>
    <xf numFmtId="0" fontId="126" fillId="14" borderId="34" applyNumberFormat="0" applyAlignment="0" applyProtection="0"/>
    <xf numFmtId="0" fontId="126" fillId="14" borderId="34" applyNumberFormat="0" applyAlignment="0" applyProtection="0"/>
    <xf numFmtId="0" fontId="126" fillId="14" borderId="34" applyNumberFormat="0" applyAlignment="0" applyProtection="0"/>
    <xf numFmtId="0" fontId="126" fillId="14" borderId="34" applyNumberFormat="0" applyAlignment="0" applyProtection="0"/>
    <xf numFmtId="0" fontId="35" fillId="14" borderId="34" applyNumberFormat="0" applyAlignment="0" applyProtection="0"/>
    <xf numFmtId="232" fontId="10" fillId="0" borderId="0" applyNumberFormat="0" applyFont="0" applyFill="0" applyAlignment="0" applyProtection="0"/>
    <xf numFmtId="0" fontId="123" fillId="0" borderId="12" applyNumberFormat="0" applyFill="0" applyProtection="0">
      <alignment horizontal="left" vertical="center"/>
    </xf>
    <xf numFmtId="0" fontId="127" fillId="0" borderId="0">
      <alignment horizontal="center" wrapText="1"/>
      <protection hidden="1"/>
    </xf>
    <xf numFmtId="0" fontId="128" fillId="0" borderId="0">
      <alignment horizontal="right"/>
    </xf>
    <xf numFmtId="172" fontId="23" fillId="0" borderId="0" applyBorder="0">
      <alignment horizontal="right"/>
    </xf>
    <xf numFmtId="172" fontId="23" fillId="0" borderId="2" applyAlignment="0">
      <alignment horizontal="right"/>
    </xf>
    <xf numFmtId="233" fontId="40" fillId="0" borderId="0"/>
    <xf numFmtId="233" fontId="40" fillId="0" borderId="0"/>
    <xf numFmtId="233" fontId="40" fillId="0" borderId="0"/>
    <xf numFmtId="233" fontId="40" fillId="0" borderId="0"/>
    <xf numFmtId="233" fontId="40" fillId="0" borderId="0"/>
    <xf numFmtId="233" fontId="40" fillId="0" borderId="0"/>
    <xf numFmtId="233" fontId="40" fillId="0" borderId="0"/>
    <xf numFmtId="233" fontId="40" fillId="0" borderId="0"/>
    <xf numFmtId="168" fontId="129" fillId="0" borderId="0" applyFont="0" applyBorder="0">
      <alignment horizontal="right"/>
    </xf>
    <xf numFmtId="227" fontId="40" fillId="0" borderId="0" applyFont="0" applyFill="0" applyBorder="0" applyAlignment="0" applyProtection="0"/>
    <xf numFmtId="234" fontId="10" fillId="0" borderId="0" applyFont="0"/>
    <xf numFmtId="0" fontId="130" fillId="0" borderId="0" applyFont="0" applyFill="0" applyBorder="0" applyProtection="0">
      <alignment horizontal="right"/>
    </xf>
    <xf numFmtId="0" fontId="130" fillId="0" borderId="0" applyFont="0" applyFill="0" applyBorder="0" applyProtection="0">
      <alignment horizontal="right"/>
    </xf>
    <xf numFmtId="174" fontId="10" fillId="0" borderId="0" applyFont="0" applyFill="0" applyBorder="0" applyAlignment="0" applyProtection="0">
      <alignment horizontal="right"/>
    </xf>
    <xf numFmtId="235" fontId="10" fillId="0" borderId="0" applyFont="0" applyFill="0" applyBorder="0" applyAlignment="0" applyProtection="0"/>
    <xf numFmtId="236" fontId="131" fillId="0" borderId="0" applyFont="0" applyFill="0" applyBorder="0" applyAlignment="0" applyProtection="0">
      <alignment horizontal="right"/>
    </xf>
    <xf numFmtId="170" fontId="5"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5" fillId="0" borderId="0" applyFont="0" applyFill="0" applyBorder="0" applyAlignment="0" applyProtection="0"/>
    <xf numFmtId="170" fontId="10" fillId="0" borderId="0" applyFont="0" applyFill="0" applyBorder="0" applyAlignment="0" applyProtection="0"/>
    <xf numFmtId="170" fontId="5" fillId="0" borderId="0" applyFont="0" applyFill="0" applyBorder="0" applyAlignment="0" applyProtection="0"/>
    <xf numFmtId="170" fontId="55" fillId="0" borderId="0" applyFont="0" applyFill="0" applyBorder="0" applyAlignment="0" applyProtection="0"/>
    <xf numFmtId="170" fontId="10" fillId="0" borderId="0" applyFont="0" applyFill="0" applyBorder="0" applyAlignment="0" applyProtection="0"/>
    <xf numFmtId="170" fontId="132" fillId="0" borderId="0" applyFont="0" applyFill="0" applyBorder="0" applyAlignment="0" applyProtection="0"/>
    <xf numFmtId="170" fontId="132" fillId="0" borderId="0" applyFont="0" applyFill="0" applyBorder="0" applyAlignment="0" applyProtection="0"/>
    <xf numFmtId="178" fontId="10" fillId="0" borderId="0" applyFont="0" applyFill="0" applyBorder="0" applyAlignment="0" applyProtection="0">
      <alignment horizontal="right"/>
    </xf>
    <xf numFmtId="178" fontId="10" fillId="0" borderId="0" applyFont="0" applyFill="0" applyBorder="0" applyAlignment="0" applyProtection="0">
      <alignment horizontal="right"/>
    </xf>
    <xf numFmtId="178" fontId="10" fillId="0" borderId="0" applyFont="0" applyFill="0" applyBorder="0" applyAlignment="0" applyProtection="0">
      <alignment horizontal="right"/>
    </xf>
    <xf numFmtId="178" fontId="10" fillId="0" borderId="0" applyFont="0" applyFill="0" applyBorder="0" applyAlignment="0" applyProtection="0">
      <alignment horizontal="right"/>
    </xf>
    <xf numFmtId="170" fontId="10" fillId="0" borderId="0" applyFont="0" applyFill="0" applyBorder="0" applyAlignment="0" applyProtection="0"/>
    <xf numFmtId="170" fontId="132" fillId="0" borderId="0" applyFont="0" applyFill="0" applyBorder="0" applyAlignment="0" applyProtection="0"/>
    <xf numFmtId="170" fontId="133" fillId="0" borderId="0" applyFont="0" applyFill="0" applyBorder="0" applyAlignment="0" applyProtection="0"/>
    <xf numFmtId="178" fontId="10" fillId="0" borderId="0" applyFont="0" applyFill="0" applyBorder="0" applyAlignment="0" applyProtection="0">
      <alignment horizontal="right"/>
    </xf>
    <xf numFmtId="178" fontId="10" fillId="0" borderId="0" applyFont="0" applyFill="0" applyBorder="0" applyAlignment="0" applyProtection="0">
      <alignment horizontal="right"/>
    </xf>
    <xf numFmtId="178" fontId="10" fillId="0" borderId="0" applyFont="0" applyFill="0" applyBorder="0" applyAlignment="0" applyProtection="0">
      <alignment horizontal="right"/>
    </xf>
    <xf numFmtId="178" fontId="10" fillId="0" borderId="0" applyFont="0" applyFill="0" applyBorder="0" applyAlignment="0" applyProtection="0">
      <alignment horizontal="right"/>
    </xf>
    <xf numFmtId="170" fontId="127" fillId="0" borderId="0" applyFont="0" applyFill="0" applyBorder="0" applyAlignment="0" applyProtection="0"/>
    <xf numFmtId="170" fontId="132" fillId="0" borderId="0" applyFont="0" applyFill="0" applyBorder="0" applyAlignment="0" applyProtection="0"/>
    <xf numFmtId="170" fontId="127" fillId="0" borderId="0" applyFont="0" applyFill="0" applyBorder="0" applyAlignment="0" applyProtection="0"/>
    <xf numFmtId="170" fontId="127" fillId="0" borderId="0" applyFont="0" applyFill="0" applyBorder="0" applyAlignment="0" applyProtection="0"/>
    <xf numFmtId="170" fontId="127" fillId="0" borderId="0" applyFont="0" applyFill="0" applyBorder="0" applyAlignment="0" applyProtection="0"/>
    <xf numFmtId="170" fontId="132"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237" fontId="131" fillId="0" borderId="0" applyFont="0" applyFill="0" applyBorder="0" applyAlignment="0" applyProtection="0"/>
    <xf numFmtId="170" fontId="10" fillId="0" borderId="0" applyFont="0" applyFill="0" applyBorder="0" applyAlignment="0" applyProtection="0"/>
    <xf numFmtId="170" fontId="5" fillId="0" borderId="0" applyFont="0" applyFill="0" applyBorder="0" applyAlignment="0" applyProtection="0"/>
    <xf numFmtId="170" fontId="5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92"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134"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5" fillId="0" borderId="0" applyFont="0" applyFill="0" applyBorder="0" applyAlignment="0" applyProtection="0"/>
    <xf numFmtId="170" fontId="13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13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136"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4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4"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5" fillId="0" borderId="0" applyFont="0" applyFill="0" applyBorder="0" applyAlignment="0" applyProtection="0"/>
    <xf numFmtId="170" fontId="11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3" fontId="137" fillId="0" borderId="0" applyFont="0" applyFill="0" applyBorder="0" applyAlignment="0" applyProtection="0"/>
    <xf numFmtId="198" fontId="138" fillId="0" borderId="0"/>
    <xf numFmtId="0" fontId="139" fillId="0" borderId="0"/>
    <xf numFmtId="0" fontId="140" fillId="73" borderId="0">
      <alignment horizontal="center" vertical="center" wrapText="1"/>
    </xf>
    <xf numFmtId="238" fontId="10" fillId="0" borderId="0" applyFill="0" applyBorder="0">
      <alignment horizontal="right"/>
      <protection locked="0"/>
    </xf>
    <xf numFmtId="239" fontId="16" fillId="0" borderId="87" applyFont="0" applyFill="0" applyBorder="0" applyAlignment="0" applyProtection="0"/>
    <xf numFmtId="228" fontId="40" fillId="0" borderId="0" applyFont="0" applyFill="0" applyBorder="0" applyAlignment="0" applyProtection="0"/>
    <xf numFmtId="240" fontId="141" fillId="0" borderId="0">
      <alignment horizontal="right"/>
    </xf>
    <xf numFmtId="166" fontId="142" fillId="0" borderId="88">
      <protection locked="0"/>
    </xf>
    <xf numFmtId="0" fontId="130" fillId="0" borderId="0" applyFont="0" applyFill="0" applyBorder="0" applyProtection="0">
      <alignment horizontal="right"/>
    </xf>
    <xf numFmtId="207" fontId="10" fillId="0" borderId="0" applyFont="0" applyFill="0" applyBorder="0" applyAlignment="0" applyProtection="0">
      <alignment horizontal="right"/>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5" fillId="0" borderId="0" applyFont="0" applyFill="0" applyBorder="0" applyAlignment="0" applyProtection="0"/>
    <xf numFmtId="169" fontId="118"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0"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8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83" fillId="0" borderId="0" applyFont="0" applyFill="0" applyBorder="0" applyAlignment="0" applyProtection="0"/>
    <xf numFmtId="169" fontId="134" fillId="0" borderId="0" applyFont="0" applyFill="0" applyBorder="0" applyAlignment="0" applyProtection="0"/>
    <xf numFmtId="169" fontId="92" fillId="0" borderId="0" applyFont="0" applyFill="0" applyBorder="0" applyAlignment="0" applyProtection="0"/>
    <xf numFmtId="169" fontId="135" fillId="0" borderId="0" applyFont="0" applyFill="0" applyBorder="0" applyAlignment="0" applyProtection="0"/>
    <xf numFmtId="169" fontId="10" fillId="0" borderId="0" applyFont="0" applyFill="0" applyBorder="0" applyAlignment="0" applyProtection="0"/>
    <xf numFmtId="169" fontId="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96" fontId="10" fillId="0" borderId="0" applyFont="0" applyFill="0" applyBorder="0" applyAlignment="0" applyProtection="0">
      <alignment horizontal="right"/>
    </xf>
    <xf numFmtId="196" fontId="10" fillId="0" borderId="0" applyFont="0" applyFill="0" applyBorder="0" applyAlignment="0" applyProtection="0">
      <alignment horizontal="right"/>
    </xf>
    <xf numFmtId="196" fontId="10" fillId="0" borderId="0" applyFont="0" applyFill="0" applyBorder="0" applyAlignment="0" applyProtection="0">
      <alignment horizontal="right"/>
    </xf>
    <xf numFmtId="196" fontId="10" fillId="0" borderId="0" applyFont="0" applyFill="0" applyBorder="0" applyAlignment="0" applyProtection="0">
      <alignment horizontal="right"/>
    </xf>
    <xf numFmtId="169" fontId="10" fillId="0" borderId="0" applyFont="0" applyFill="0" applyBorder="0" applyAlignment="0" applyProtection="0"/>
    <xf numFmtId="169" fontId="83" fillId="0" borderId="0" applyFont="0" applyFill="0" applyBorder="0" applyAlignment="0" applyProtection="0"/>
    <xf numFmtId="169" fontId="83" fillId="0" borderId="0" applyFont="0" applyFill="0" applyBorder="0" applyAlignment="0" applyProtection="0"/>
    <xf numFmtId="196" fontId="10" fillId="0" borderId="0" applyFont="0" applyFill="0" applyBorder="0" applyAlignment="0" applyProtection="0">
      <alignment horizontal="right"/>
    </xf>
    <xf numFmtId="196" fontId="10" fillId="0" borderId="0" applyFont="0" applyFill="0" applyBorder="0" applyAlignment="0" applyProtection="0">
      <alignment horizontal="right"/>
    </xf>
    <xf numFmtId="196" fontId="10" fillId="0" borderId="0" applyFont="0" applyFill="0" applyBorder="0" applyAlignment="0" applyProtection="0">
      <alignment horizontal="right"/>
    </xf>
    <xf numFmtId="196" fontId="10" fillId="0" borderId="0" applyFont="0" applyFill="0" applyBorder="0" applyAlignment="0" applyProtection="0">
      <alignment horizontal="right"/>
    </xf>
    <xf numFmtId="169" fontId="83" fillId="0" borderId="0" applyFont="0" applyFill="0" applyBorder="0" applyAlignment="0" applyProtection="0"/>
    <xf numFmtId="169" fontId="83" fillId="0" borderId="0" applyFont="0" applyFill="0" applyBorder="0" applyAlignment="0" applyProtection="0"/>
    <xf numFmtId="169" fontId="83" fillId="0" borderId="0" applyFont="0" applyFill="0" applyBorder="0" applyAlignment="0" applyProtection="0"/>
    <xf numFmtId="169" fontId="83" fillId="0" borderId="0" applyFont="0" applyFill="0" applyBorder="0" applyAlignment="0" applyProtection="0"/>
    <xf numFmtId="169" fontId="83" fillId="0" borderId="0" applyFont="0" applyFill="0" applyBorder="0" applyAlignment="0" applyProtection="0"/>
    <xf numFmtId="169" fontId="10" fillId="0" borderId="0" applyFont="0" applyFill="0" applyBorder="0" applyAlignment="0" applyProtection="0"/>
    <xf numFmtId="241" fontId="143" fillId="0" borderId="0" applyFont="0" applyFill="0" applyBorder="0" applyAlignment="0" applyProtection="0"/>
    <xf numFmtId="169" fontId="10"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36" fillId="0" borderId="0" applyFont="0" applyFill="0" applyBorder="0" applyAlignment="0" applyProtection="0"/>
    <xf numFmtId="169" fontId="134"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34" fillId="0" borderId="0" applyFont="0" applyFill="0" applyBorder="0" applyAlignment="0" applyProtection="0"/>
    <xf numFmtId="169" fontId="5" fillId="0" borderId="0" applyFont="0" applyFill="0" applyBorder="0" applyAlignment="0" applyProtection="0"/>
    <xf numFmtId="169" fontId="10" fillId="0" borderId="0" applyFont="0" applyFill="0" applyBorder="0" applyAlignment="0" applyProtection="0"/>
    <xf numFmtId="169" fontId="5" fillId="0" borderId="0" applyFont="0" applyFill="0" applyBorder="0" applyAlignment="0" applyProtection="0"/>
    <xf numFmtId="169" fontId="83"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34"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83"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83"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242" fontId="40" fillId="0" borderId="0" applyFont="0" applyFill="0" applyBorder="0" applyProtection="0">
      <alignment horizontal="right"/>
    </xf>
    <xf numFmtId="243" fontId="114" fillId="0" borderId="0" applyFont="0" applyFill="0" applyBorder="0" applyAlignment="0" applyProtection="0">
      <alignment vertical="center"/>
    </xf>
    <xf numFmtId="244" fontId="114" fillId="0" borderId="0" applyFont="0" applyFill="0" applyBorder="0" applyAlignment="0" applyProtection="0">
      <alignment vertical="center"/>
    </xf>
    <xf numFmtId="0" fontId="127" fillId="0" borderId="0" applyFont="0" applyFill="0" applyBorder="0" applyAlignment="0">
      <protection locked="0"/>
    </xf>
    <xf numFmtId="0" fontId="109" fillId="0" borderId="0" applyFont="0" applyFill="0" applyBorder="0" applyAlignment="0" applyProtection="0"/>
    <xf numFmtId="245" fontId="144" fillId="0" borderId="89" applyNumberFormat="0" applyFill="0">
      <alignment horizontal="right"/>
    </xf>
    <xf numFmtId="245" fontId="144" fillId="0" borderId="89" applyNumberFormat="0" applyFill="0">
      <alignment horizontal="right"/>
    </xf>
    <xf numFmtId="1" fontId="145" fillId="0" borderId="0"/>
    <xf numFmtId="246" fontId="115" fillId="0" borderId="0" applyFont="0" applyFill="0" applyBorder="0" applyProtection="0">
      <alignment horizontal="right"/>
    </xf>
    <xf numFmtId="247" fontId="16" fillId="0" borderId="0" applyFont="0" applyFill="0" applyBorder="0" applyAlignment="0" applyProtection="0"/>
    <xf numFmtId="247" fontId="16" fillId="0" borderId="0" applyFont="0" applyFill="0" applyBorder="0" applyAlignment="0" applyProtection="0"/>
    <xf numFmtId="248" fontId="103" fillId="64" borderId="16" applyFont="0" applyFill="0" applyBorder="0" applyAlignment="0" applyProtection="0"/>
    <xf numFmtId="249" fontId="23" fillId="0" borderId="12" applyFont="0" applyFill="0" applyBorder="0" applyAlignment="0" applyProtection="0"/>
    <xf numFmtId="199" fontId="10" fillId="0" borderId="0" applyFont="0" applyFill="0" applyBorder="0" applyAlignment="0" applyProtection="0"/>
    <xf numFmtId="250" fontId="131" fillId="0" borderId="0" applyFont="0" applyFill="0" applyBorder="0" applyAlignment="0" applyProtection="0"/>
    <xf numFmtId="0" fontId="131" fillId="0" borderId="0" applyFont="0" applyFill="0" applyBorder="0" applyAlignment="0" applyProtection="0"/>
    <xf numFmtId="14" fontId="83" fillId="0" borderId="0" applyFill="0" applyBorder="0" applyAlignment="0"/>
    <xf numFmtId="0" fontId="10" fillId="0" borderId="0">
      <alignment horizontal="left" vertical="top"/>
    </xf>
    <xf numFmtId="167" fontId="146" fillId="0" borderId="0"/>
    <xf numFmtId="0" fontId="16" fillId="0" borderId="0"/>
    <xf numFmtId="168" fontId="10" fillId="0" borderId="0" applyFont="0" applyFill="0" applyBorder="0" applyAlignment="0" applyProtection="0"/>
    <xf numFmtId="170" fontId="10" fillId="0" borderId="0" applyFont="0" applyFill="0" applyBorder="0" applyAlignment="0" applyProtection="0"/>
    <xf numFmtId="0" fontId="147" fillId="0" borderId="0">
      <protection locked="0"/>
    </xf>
    <xf numFmtId="0" fontId="10" fillId="0" borderId="0"/>
    <xf numFmtId="167" fontId="40" fillId="0" borderId="0"/>
    <xf numFmtId="172" fontId="10" fillId="0" borderId="90" applyNumberFormat="0" applyFont="0" applyFill="0" applyAlignment="0" applyProtection="0"/>
    <xf numFmtId="172" fontId="10" fillId="0" borderId="90" applyNumberFormat="0" applyFont="0" applyFill="0" applyAlignment="0" applyProtection="0"/>
    <xf numFmtId="172" fontId="10" fillId="0" borderId="90" applyNumberFormat="0" applyFont="0" applyFill="0" applyAlignment="0" applyProtection="0"/>
    <xf numFmtId="167" fontId="148" fillId="0" borderId="0" applyFill="0" applyBorder="0" applyAlignment="0" applyProtection="0"/>
    <xf numFmtId="1" fontId="115" fillId="0" borderId="0"/>
    <xf numFmtId="197" fontId="149" fillId="0" borderId="0">
      <protection locked="0"/>
    </xf>
    <xf numFmtId="197" fontId="149" fillId="0" borderId="0">
      <protection locked="0"/>
    </xf>
    <xf numFmtId="227" fontId="40" fillId="0" borderId="0" applyFill="0" applyBorder="0" applyAlignment="0"/>
    <xf numFmtId="228" fontId="40" fillId="0" borderId="0" applyFill="0" applyBorder="0" applyAlignment="0"/>
    <xf numFmtId="227" fontId="40" fillId="0" borderId="0" applyFill="0" applyBorder="0" applyAlignment="0"/>
    <xf numFmtId="230" fontId="10" fillId="0" borderId="0" applyFill="0" applyBorder="0" applyAlignment="0"/>
    <xf numFmtId="228" fontId="40" fillId="0" borderId="0" applyFill="0" applyBorder="0" applyAlignment="0"/>
    <xf numFmtId="251" fontId="107" fillId="0" borderId="0" applyFont="0" applyFill="0" applyBorder="0" applyAlignment="0" applyProtection="0"/>
    <xf numFmtId="0" fontId="65"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37" fillId="0" borderId="0" applyNumberFormat="0" applyFill="0" applyBorder="0" applyAlignment="0" applyProtection="0"/>
    <xf numFmtId="252" fontId="127" fillId="74" borderId="4">
      <alignment horizontal="left"/>
    </xf>
    <xf numFmtId="1" fontId="151" fillId="75" borderId="58" applyNumberFormat="0" applyBorder="0" applyAlignment="0">
      <alignment horizontal="centerContinuous" vertical="center"/>
      <protection locked="0"/>
    </xf>
    <xf numFmtId="253" fontId="10" fillId="0" borderId="0">
      <protection locked="0"/>
    </xf>
    <xf numFmtId="232" fontId="10" fillId="0" borderId="0">
      <protection locked="0"/>
    </xf>
    <xf numFmtId="2" fontId="137" fillId="0" borderId="0" applyFont="0" applyFill="0" applyBorder="0" applyAlignment="0" applyProtection="0"/>
    <xf numFmtId="0" fontId="152" fillId="0" borderId="0" applyFill="0" applyBorder="0" applyProtection="0">
      <alignment horizontal="left"/>
    </xf>
    <xf numFmtId="0" fontId="67" fillId="45" borderId="0" applyNumberFormat="0" applyBorder="0" applyAlignment="0" applyProtection="0"/>
    <xf numFmtId="0" fontId="153" fillId="9" borderId="0" applyNumberFormat="0" applyBorder="0" applyAlignment="0" applyProtection="0"/>
    <xf numFmtId="0" fontId="153" fillId="9" borderId="0" applyNumberFormat="0" applyBorder="0" applyAlignment="0" applyProtection="0"/>
    <xf numFmtId="0" fontId="153" fillId="9" borderId="0" applyNumberFormat="0" applyBorder="0" applyAlignment="0" applyProtection="0"/>
    <xf numFmtId="0" fontId="153" fillId="9" borderId="0" applyNumberFormat="0" applyBorder="0" applyAlignment="0" applyProtection="0"/>
    <xf numFmtId="0" fontId="153" fillId="9" borderId="0" applyNumberFormat="0" applyBorder="0" applyAlignment="0" applyProtection="0"/>
    <xf numFmtId="0" fontId="153" fillId="9" borderId="0" applyNumberFormat="0" applyBorder="0" applyAlignment="0" applyProtection="0"/>
    <xf numFmtId="0" fontId="153" fillId="9" borderId="0" applyNumberFormat="0" applyBorder="0" applyAlignment="0" applyProtection="0"/>
    <xf numFmtId="0" fontId="28" fillId="9" borderId="0" applyNumberFormat="0" applyBorder="0" applyAlignment="0" applyProtection="0"/>
    <xf numFmtId="0" fontId="154" fillId="0" borderId="0" applyNumberFormat="0">
      <alignment horizontal="right"/>
    </xf>
    <xf numFmtId="0" fontId="10" fillId="0" borderId="0"/>
    <xf numFmtId="0" fontId="10" fillId="0" borderId="0"/>
    <xf numFmtId="0" fontId="10" fillId="0" borderId="0"/>
    <xf numFmtId="0" fontId="10" fillId="0" borderId="0"/>
    <xf numFmtId="171" fontId="10" fillId="76" borderId="46" applyNumberFormat="0" applyFont="0" applyBorder="0" applyAlignment="0" applyProtection="0"/>
    <xf numFmtId="202" fontId="10" fillId="0" borderId="0" applyFont="0" applyFill="0" applyBorder="0" applyAlignment="0" applyProtection="0">
      <alignment horizontal="right"/>
    </xf>
    <xf numFmtId="198" fontId="155" fillId="76" borderId="0" applyNumberFormat="0" applyFont="0" applyAlignment="0"/>
    <xf numFmtId="0" fontId="156" fillId="0" borderId="0" applyProtection="0">
      <alignment horizontal="right"/>
    </xf>
    <xf numFmtId="0" fontId="14" fillId="0" borderId="24" applyNumberFormat="0" applyAlignment="0" applyProtection="0">
      <alignment horizontal="left" vertical="center"/>
    </xf>
    <xf numFmtId="0" fontId="14" fillId="0" borderId="51">
      <alignment horizontal="left" vertical="center"/>
    </xf>
    <xf numFmtId="49" fontId="157" fillId="0" borderId="0">
      <alignment horizontal="centerContinuous"/>
    </xf>
    <xf numFmtId="0" fontId="69" fillId="0" borderId="40" applyNumberFormat="0" applyFill="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25" fillId="0" borderId="28" applyNumberFormat="0" applyFill="0" applyAlignment="0" applyProtection="0"/>
    <xf numFmtId="0" fontId="158" fillId="0" borderId="0" applyNumberFormat="0" applyFill="0" applyBorder="0" applyAlignment="0" applyProtection="0"/>
    <xf numFmtId="0" fontId="71" fillId="0" borderId="41" applyNumberFormat="0" applyFill="0" applyAlignment="0" applyProtection="0"/>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26" fillId="0" borderId="29" applyNumberFormat="0" applyFill="0" applyAlignment="0" applyProtection="0"/>
    <xf numFmtId="0" fontId="159" fillId="0" borderId="0" applyProtection="0">
      <alignment horizontal="left"/>
    </xf>
    <xf numFmtId="0" fontId="73" fillId="0" borderId="42" applyNumberFormat="0" applyFill="0" applyAlignment="0" applyProtection="0"/>
    <xf numFmtId="0" fontId="160" fillId="0" borderId="0" applyProtection="0">
      <alignment horizontal="left"/>
    </xf>
    <xf numFmtId="0" fontId="160" fillId="0" borderId="0" applyProtection="0">
      <alignment horizontal="left"/>
    </xf>
    <xf numFmtId="0" fontId="160" fillId="0" borderId="0" applyProtection="0">
      <alignment horizontal="left"/>
    </xf>
    <xf numFmtId="0" fontId="160" fillId="0" borderId="0" applyProtection="0">
      <alignment horizontal="left"/>
    </xf>
    <xf numFmtId="0" fontId="161" fillId="0" borderId="30" applyNumberFormat="0" applyFill="0" applyAlignment="0" applyProtection="0"/>
    <xf numFmtId="0" fontId="27" fillId="0" borderId="30" applyNumberFormat="0" applyFill="0" applyAlignment="0" applyProtection="0"/>
    <xf numFmtId="0" fontId="160" fillId="0" borderId="0" applyProtection="0">
      <alignment horizontal="left"/>
    </xf>
    <xf numFmtId="0" fontId="73" fillId="0" borderId="0" applyNumberFormat="0" applyFill="0" applyBorder="0" applyAlignment="0" applyProtection="0"/>
    <xf numFmtId="0" fontId="162" fillId="0" borderId="0"/>
    <xf numFmtId="0" fontId="118" fillId="0" borderId="0"/>
    <xf numFmtId="254" fontId="113" fillId="0" borderId="0">
      <alignment horizontal="centerContinuous"/>
    </xf>
    <xf numFmtId="0" fontId="163" fillId="0" borderId="91" applyNumberFormat="0" applyFill="0" applyBorder="0" applyAlignment="0" applyProtection="0">
      <alignment horizontal="left"/>
    </xf>
    <xf numFmtId="254" fontId="113" fillId="0" borderId="92">
      <alignment horizontal="center"/>
    </xf>
    <xf numFmtId="0" fontId="10" fillId="0" borderId="0" applyNumberFormat="0" applyFill="0" applyBorder="0" applyProtection="0">
      <alignment wrapText="1"/>
    </xf>
    <xf numFmtId="0" fontId="10" fillId="0" borderId="0" applyNumberFormat="0" applyFill="0" applyBorder="0" applyProtection="0">
      <alignment horizontal="justify" vertical="top" wrapText="1"/>
    </xf>
    <xf numFmtId="0" fontId="164" fillId="0" borderId="81">
      <alignment horizontal="left" vertical="center"/>
    </xf>
    <xf numFmtId="0" fontId="164" fillId="77" borderId="0">
      <alignment horizontal="centerContinuous" wrapText="1"/>
    </xf>
    <xf numFmtId="0" fontId="165"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0" fontId="167" fillId="0" borderId="0" applyNumberFormat="0" applyFill="0" applyBorder="0" applyAlignment="0" applyProtection="0"/>
    <xf numFmtId="0" fontId="76" fillId="0" borderId="0" applyNumberFormat="0" applyFill="0" applyBorder="0" applyAlignment="0" applyProtection="0">
      <alignment vertical="top"/>
      <protection locked="0"/>
    </xf>
    <xf numFmtId="0" fontId="168" fillId="0" borderId="0" applyNumberFormat="0" applyFill="0" applyBorder="0" applyAlignment="0" applyProtection="0"/>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168"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255" fontId="76" fillId="0" borderId="0" applyNumberFormat="0" applyFill="0" applyBorder="0" applyAlignment="0" applyProtection="0">
      <alignment vertical="top"/>
      <protection locked="0"/>
    </xf>
    <xf numFmtId="0" fontId="10" fillId="0" borderId="0" applyNumberFormat="0" applyFill="0" applyBorder="0" applyAlignment="0" applyProtection="0"/>
    <xf numFmtId="0" fontId="10" fillId="0" borderId="0">
      <alignment horizontal="right"/>
    </xf>
    <xf numFmtId="10" fontId="16" fillId="64" borderId="46" applyNumberFormat="0" applyBorder="0" applyAlignment="0" applyProtection="0"/>
    <xf numFmtId="0" fontId="78" fillId="48" borderId="82" applyNumberFormat="0" applyAlignment="0" applyProtection="0"/>
    <xf numFmtId="0" fontId="78" fillId="48" borderId="82" applyNumberFormat="0" applyAlignment="0" applyProtection="0"/>
    <xf numFmtId="0" fontId="169" fillId="12" borderId="31" applyNumberFormat="0" applyAlignment="0" applyProtection="0"/>
    <xf numFmtId="0" fontId="169" fillId="12" borderId="31" applyNumberFormat="0" applyAlignment="0" applyProtection="0"/>
    <xf numFmtId="0" fontId="169" fillId="12" borderId="31" applyNumberFormat="0" applyAlignment="0" applyProtection="0"/>
    <xf numFmtId="0" fontId="169" fillId="12" borderId="31" applyNumberFormat="0" applyAlignment="0" applyProtection="0"/>
    <xf numFmtId="0" fontId="169" fillId="12" borderId="31" applyNumberFormat="0" applyAlignment="0" applyProtection="0"/>
    <xf numFmtId="0" fontId="169" fillId="12" borderId="31" applyNumberFormat="0" applyAlignment="0" applyProtection="0"/>
    <xf numFmtId="0" fontId="169" fillId="12" borderId="31" applyNumberFormat="0" applyAlignment="0" applyProtection="0"/>
    <xf numFmtId="0" fontId="31" fillId="12" borderId="31" applyNumberFormat="0" applyAlignment="0" applyProtection="0"/>
    <xf numFmtId="256" fontId="127" fillId="0" borderId="0" applyNumberFormat="0" applyFill="0" applyBorder="0" applyAlignment="0" applyProtection="0"/>
    <xf numFmtId="0" fontId="10" fillId="0" borderId="0" applyNumberFormat="0" applyFill="0" applyBorder="0" applyAlignment="0">
      <protection locked="0"/>
    </xf>
    <xf numFmtId="0" fontId="170" fillId="64" borderId="0" applyNumberFormat="0" applyFont="0" applyBorder="0" applyAlignment="0">
      <alignment horizontal="right"/>
      <protection locked="0"/>
    </xf>
    <xf numFmtId="0" fontId="171" fillId="65" borderId="0" applyNumberFormat="0" applyFont="0" applyBorder="0" applyAlignment="0">
      <alignment horizontal="right" vertical="top"/>
      <protection locked="0"/>
    </xf>
    <xf numFmtId="257" fontId="10" fillId="64" borderId="80" applyNumberFormat="0" applyFont="0" applyBorder="0" applyAlignment="0">
      <alignment horizontal="right" vertical="center"/>
      <protection locked="0"/>
    </xf>
    <xf numFmtId="0" fontId="171" fillId="65" borderId="0" applyNumberFormat="0" applyFont="0" applyBorder="0" applyAlignment="0">
      <alignment horizontal="right" vertical="top"/>
      <protection locked="0"/>
    </xf>
    <xf numFmtId="0" fontId="127" fillId="0" borderId="0" applyFill="0" applyBorder="0">
      <alignment horizontal="right"/>
      <protection locked="0"/>
    </xf>
    <xf numFmtId="258" fontId="172" fillId="0" borderId="64" applyFont="0" applyFill="0" applyBorder="0" applyAlignment="0" applyProtection="0"/>
    <xf numFmtId="259" fontId="10" fillId="0" borderId="0" applyFill="0" applyBorder="0">
      <alignment horizontal="right"/>
      <protection locked="0"/>
    </xf>
    <xf numFmtId="0" fontId="173" fillId="0" borderId="0" applyFill="0" applyBorder="0"/>
    <xf numFmtId="0" fontId="174" fillId="78" borderId="93">
      <alignment horizontal="left" vertical="center" wrapText="1"/>
    </xf>
    <xf numFmtId="0" fontId="109" fillId="0" borderId="0" applyNumberFormat="0" applyFill="0" applyBorder="0" applyProtection="0">
      <alignment horizontal="left" vertical="center"/>
    </xf>
    <xf numFmtId="0" fontId="175"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40" fillId="79" borderId="0" applyNumberFormat="0" applyFont="0" applyBorder="0" applyProtection="0"/>
    <xf numFmtId="2" fontId="176" fillId="0" borderId="12"/>
    <xf numFmtId="227" fontId="40" fillId="0" borderId="0" applyFill="0" applyBorder="0" applyAlignment="0"/>
    <xf numFmtId="228" fontId="40" fillId="0" borderId="0" applyFill="0" applyBorder="0" applyAlignment="0"/>
    <xf numFmtId="227" fontId="40" fillId="0" borderId="0" applyFill="0" applyBorder="0" applyAlignment="0"/>
    <xf numFmtId="230" fontId="10" fillId="0" borderId="0" applyFill="0" applyBorder="0" applyAlignment="0"/>
    <xf numFmtId="228" fontId="40" fillId="0" borderId="0" applyFill="0" applyBorder="0" applyAlignment="0"/>
    <xf numFmtId="0" fontId="80" fillId="0" borderId="43" applyNumberFormat="0" applyFill="0" applyAlignment="0" applyProtection="0"/>
    <xf numFmtId="0" fontId="177" fillId="0" borderId="33" applyNumberFormat="0" applyFill="0" applyAlignment="0" applyProtection="0"/>
    <xf numFmtId="0" fontId="177" fillId="0" borderId="33" applyNumberFormat="0" applyFill="0" applyAlignment="0" applyProtection="0"/>
    <xf numFmtId="0" fontId="177" fillId="0" borderId="33" applyNumberFormat="0" applyFill="0" applyAlignment="0" applyProtection="0"/>
    <xf numFmtId="0" fontId="177" fillId="0" borderId="33" applyNumberFormat="0" applyFill="0" applyAlignment="0" applyProtection="0"/>
    <xf numFmtId="0" fontId="177" fillId="0" borderId="33" applyNumberFormat="0" applyFill="0" applyAlignment="0" applyProtection="0"/>
    <xf numFmtId="0" fontId="177" fillId="0" borderId="33" applyNumberFormat="0" applyFill="0" applyAlignment="0" applyProtection="0"/>
    <xf numFmtId="0" fontId="177" fillId="0" borderId="33" applyNumberFormat="0" applyFill="0" applyAlignment="0" applyProtection="0"/>
    <xf numFmtId="0" fontId="34" fillId="0" borderId="33" applyNumberFormat="0" applyFill="0" applyAlignment="0" applyProtection="0"/>
    <xf numFmtId="14" fontId="23" fillId="0" borderId="12" applyFont="0" applyFill="0" applyBorder="0" applyAlignment="0" applyProtection="0"/>
    <xf numFmtId="3" fontId="10" fillId="0" borderId="0"/>
    <xf numFmtId="1" fontId="178" fillId="0" borderId="0"/>
    <xf numFmtId="260" fontId="179" fillId="80" borderId="0" applyBorder="0" applyAlignment="0">
      <alignment horizontal="right"/>
    </xf>
    <xf numFmtId="168" fontId="10" fillId="0" borderId="0" applyFont="0" applyFill="0" applyBorder="0" applyAlignment="0" applyProtection="0"/>
    <xf numFmtId="17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61" fontId="10" fillId="0" borderId="0" applyFont="0" applyFill="0" applyBorder="0" applyAlignment="0" applyProtection="0"/>
    <xf numFmtId="262" fontId="5" fillId="0" borderId="0" applyFont="0" applyFill="0" applyBorder="0" applyAlignment="0" applyProtection="0"/>
    <xf numFmtId="263" fontId="10" fillId="0" borderId="0" applyFont="0" applyFill="0" applyBorder="0" applyAlignment="0" applyProtection="0"/>
    <xf numFmtId="14" fontId="104" fillId="0" borderId="0" applyFont="0" applyFill="0" applyBorder="0" applyAlignment="0" applyProtection="0"/>
    <xf numFmtId="3" fontId="109" fillId="0" borderId="0"/>
    <xf numFmtId="3" fontId="109" fillId="0" borderId="0"/>
    <xf numFmtId="0" fontId="10" fillId="0" borderId="0" applyFont="0" applyFill="0" applyBorder="0" applyAlignment="0" applyProtection="0"/>
    <xf numFmtId="0" fontId="10" fillId="0" borderId="0" applyFont="0" applyFill="0" applyBorder="0" applyAlignment="0" applyProtection="0"/>
    <xf numFmtId="264" fontId="10" fillId="0" borderId="0" applyFont="0" applyFill="0" applyBorder="0" applyAlignment="0" applyProtection="0"/>
    <xf numFmtId="265" fontId="5" fillId="0" borderId="0" applyFont="0" applyFill="0" applyBorder="0" applyAlignment="0" applyProtection="0"/>
    <xf numFmtId="266" fontId="10" fillId="0" borderId="0" applyFont="0" applyFill="0" applyBorder="0" applyAlignment="0" applyProtection="0"/>
    <xf numFmtId="267" fontId="10" fillId="0" borderId="0">
      <protection locked="0"/>
    </xf>
    <xf numFmtId="249" fontId="16" fillId="64" borderId="0">
      <alignment horizontal="center"/>
    </xf>
    <xf numFmtId="268" fontId="131" fillId="0" borderId="0" applyFont="0" applyFill="0" applyBorder="0" applyProtection="0">
      <alignment horizontal="right"/>
    </xf>
    <xf numFmtId="269" fontId="10" fillId="0" borderId="0" applyFont="0" applyFill="0" applyBorder="0" applyAlignment="0" applyProtection="0"/>
    <xf numFmtId="179" fontId="10" fillId="0" borderId="0" applyFont="0" applyFill="0" applyBorder="0" applyAlignment="0" applyProtection="0"/>
    <xf numFmtId="0" fontId="130" fillId="0" borderId="0" applyFont="0" applyFill="0" applyBorder="0" applyProtection="0">
      <alignment horizontal="right"/>
    </xf>
    <xf numFmtId="0" fontId="130" fillId="0" borderId="0" applyFont="0" applyFill="0" applyBorder="0" applyProtection="0">
      <alignment horizontal="right"/>
    </xf>
    <xf numFmtId="0" fontId="130" fillId="0" borderId="0" applyFont="0" applyFill="0" applyBorder="0" applyProtection="0">
      <alignment horizontal="right"/>
    </xf>
    <xf numFmtId="0" fontId="10" fillId="0" borderId="0" applyFont="0" applyFill="0" applyBorder="0" applyProtection="0">
      <alignment horizontal="right"/>
    </xf>
    <xf numFmtId="172" fontId="10" fillId="0" borderId="0" applyFont="0" applyFill="0" applyBorder="0" applyProtection="0">
      <alignment horizontal="right"/>
    </xf>
    <xf numFmtId="0" fontId="10" fillId="0" borderId="77" applyBorder="0" applyAlignment="0" applyProtection="0">
      <alignment horizontal="center"/>
    </xf>
    <xf numFmtId="0" fontId="82" fillId="65" borderId="0" applyNumberFormat="0" applyBorder="0" applyAlignment="0" applyProtection="0"/>
    <xf numFmtId="0" fontId="180" fillId="11" borderId="0" applyNumberFormat="0" applyBorder="0" applyAlignment="0" applyProtection="0"/>
    <xf numFmtId="0" fontId="180" fillId="11" borderId="0" applyNumberFormat="0" applyBorder="0" applyAlignment="0" applyProtection="0"/>
    <xf numFmtId="0" fontId="180" fillId="11" borderId="0" applyNumberFormat="0" applyBorder="0" applyAlignment="0" applyProtection="0"/>
    <xf numFmtId="0" fontId="180" fillId="11" borderId="0" applyNumberFormat="0" applyBorder="0" applyAlignment="0" applyProtection="0"/>
    <xf numFmtId="0" fontId="180" fillId="11" borderId="0" applyNumberFormat="0" applyBorder="0" applyAlignment="0" applyProtection="0"/>
    <xf numFmtId="0" fontId="180" fillId="11" borderId="0" applyNumberFormat="0" applyBorder="0" applyAlignment="0" applyProtection="0"/>
    <xf numFmtId="0" fontId="180" fillId="11" borderId="0" applyNumberFormat="0" applyBorder="0" applyAlignment="0" applyProtection="0"/>
    <xf numFmtId="0" fontId="30" fillId="11" borderId="0" applyNumberFormat="0" applyBorder="0" applyAlignment="0" applyProtection="0"/>
    <xf numFmtId="0" fontId="122" fillId="0" borderId="0"/>
    <xf numFmtId="257" fontId="114" fillId="0" borderId="0" applyNumberFormat="0" applyFont="0" applyFill="0" applyBorder="0" applyAlignment="0" applyProtection="0">
      <alignment vertical="center"/>
    </xf>
    <xf numFmtId="37" fontId="181" fillId="0" borderId="0"/>
    <xf numFmtId="0" fontId="182" fillId="0" borderId="0"/>
    <xf numFmtId="0" fontId="141" fillId="81" borderId="0" applyNumberFormat="0" applyBorder="0" applyAlignment="0">
      <alignment horizontal="right"/>
      <protection hidden="1"/>
    </xf>
    <xf numFmtId="257" fontId="183" fillId="0" borderId="0" applyNumberFormat="0" applyFill="0" applyBorder="0" applyAlignment="0" applyProtection="0">
      <alignment vertical="center"/>
    </xf>
    <xf numFmtId="1" fontId="109" fillId="0" borderId="0"/>
    <xf numFmtId="270" fontId="16" fillId="0" borderId="0" applyFont="0" applyFill="0" applyBorder="0" applyAlignment="0" applyProtection="0">
      <alignment horizontal="right"/>
    </xf>
    <xf numFmtId="271" fontId="184" fillId="0" borderId="0"/>
    <xf numFmtId="37" fontId="103" fillId="82" borderId="0" applyFont="0" applyFill="0" applyBorder="0" applyAlignment="0" applyProtection="0"/>
    <xf numFmtId="197" fontId="10" fillId="0" borderId="0" applyFont="0" applyFill="0" applyBorder="0" applyAlignment="0"/>
    <xf numFmtId="272" fontId="16" fillId="0" borderId="0" applyFont="0" applyFill="0" applyBorder="0" applyAlignment="0"/>
    <xf numFmtId="273" fontId="16" fillId="0" borderId="0" applyFont="0" applyFill="0" applyBorder="0" applyAlignment="0"/>
    <xf numFmtId="272" fontId="16" fillId="0" borderId="0" applyFont="0" applyFill="0" applyBorder="0" applyAlignment="0"/>
    <xf numFmtId="0" fontId="55" fillId="0" borderId="0"/>
    <xf numFmtId="0" fontId="10" fillId="0" borderId="0"/>
    <xf numFmtId="0" fontId="10" fillId="0" borderId="0"/>
    <xf numFmtId="0" fontId="10" fillId="0" borderId="0"/>
    <xf numFmtId="0" fontId="10" fillId="0" borderId="0"/>
    <xf numFmtId="0" fontId="127" fillId="0" borderId="0"/>
    <xf numFmtId="0" fontId="5" fillId="0" borderId="0"/>
    <xf numFmtId="0" fontId="136" fillId="0" borderId="0"/>
    <xf numFmtId="0" fontId="5" fillId="0" borderId="0"/>
    <xf numFmtId="0" fontId="10" fillId="0" borderId="0"/>
    <xf numFmtId="0" fontId="5" fillId="0" borderId="0"/>
    <xf numFmtId="0" fontId="5" fillId="0" borderId="0"/>
    <xf numFmtId="0" fontId="5" fillId="0" borderId="0"/>
    <xf numFmtId="0" fontId="127" fillId="0" borderId="0"/>
    <xf numFmtId="0" fontId="10" fillId="0" borderId="0"/>
    <xf numFmtId="0" fontId="127" fillId="0" borderId="0"/>
    <xf numFmtId="0" fontId="5" fillId="0" borderId="0"/>
    <xf numFmtId="0" fontId="5" fillId="0" borderId="0"/>
    <xf numFmtId="0" fontId="5" fillId="0" borderId="0"/>
    <xf numFmtId="0" fontId="5" fillId="0" borderId="0"/>
    <xf numFmtId="0" fontId="127" fillId="0" borderId="0"/>
    <xf numFmtId="0" fontId="83" fillId="0" borderId="0">
      <alignment vertical="top"/>
    </xf>
    <xf numFmtId="0" fontId="83" fillId="0" borderId="0">
      <alignment vertical="top"/>
    </xf>
    <xf numFmtId="0" fontId="127" fillId="0" borderId="0"/>
    <xf numFmtId="0" fontId="10" fillId="0" borderId="0"/>
    <xf numFmtId="0" fontId="10" fillId="0" borderId="0"/>
    <xf numFmtId="0" fontId="127" fillId="0" borderId="0"/>
    <xf numFmtId="0" fontId="10" fillId="0" borderId="0"/>
    <xf numFmtId="0" fontId="10" fillId="0" borderId="0"/>
    <xf numFmtId="0" fontId="10" fillId="0" borderId="0"/>
    <xf numFmtId="0" fontId="10" fillId="0" borderId="0"/>
    <xf numFmtId="0" fontId="127" fillId="0" borderId="0"/>
    <xf numFmtId="0" fontId="10" fillId="0" borderId="0"/>
    <xf numFmtId="0" fontId="10" fillId="0" borderId="0"/>
    <xf numFmtId="0" fontId="127" fillId="0" borderId="0"/>
    <xf numFmtId="0" fontId="5" fillId="0" borderId="0"/>
    <xf numFmtId="0" fontId="127" fillId="0" borderId="0"/>
    <xf numFmtId="0" fontId="127" fillId="0" borderId="0"/>
    <xf numFmtId="274" fontId="10" fillId="0" borderId="0"/>
    <xf numFmtId="270" fontId="16" fillId="0" borderId="0" applyFont="0" applyFill="0" applyBorder="0" applyAlignment="0" applyProtection="0">
      <alignment horizontal="right"/>
    </xf>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83" fillId="0" borderId="0"/>
    <xf numFmtId="0" fontId="127" fillId="0" borderId="0"/>
    <xf numFmtId="0" fontId="54" fillId="0" borderId="0"/>
    <xf numFmtId="0" fontId="10" fillId="0" borderId="0"/>
    <xf numFmtId="0" fontId="10" fillId="0" borderId="0"/>
    <xf numFmtId="0" fontId="54" fillId="0" borderId="0"/>
    <xf numFmtId="0" fontId="127" fillId="0" borderId="0"/>
    <xf numFmtId="0" fontId="10" fillId="0" borderId="0"/>
    <xf numFmtId="0" fontId="10" fillId="0" borderId="0"/>
    <xf numFmtId="0" fontId="127" fillId="0" borderId="0"/>
    <xf numFmtId="0" fontId="127" fillId="0" borderId="0"/>
    <xf numFmtId="255" fontId="10" fillId="0" borderId="0"/>
    <xf numFmtId="0" fontId="54"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0" fontId="5" fillId="0" borderId="0"/>
    <xf numFmtId="0" fontId="5" fillId="0" borderId="0"/>
    <xf numFmtId="0" fontId="5"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92" fillId="0" borderId="0"/>
    <xf numFmtId="255" fontId="10" fillId="0" borderId="0"/>
    <xf numFmtId="0" fontId="10" fillId="0" borderId="0"/>
    <xf numFmtId="0" fontId="127"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0" fillId="0" borderId="0"/>
    <xf numFmtId="0" fontId="10" fillId="0" borderId="0"/>
    <xf numFmtId="255" fontId="10" fillId="0" borderId="0"/>
    <xf numFmtId="0" fontId="10" fillId="0" borderId="0"/>
    <xf numFmtId="0" fontId="1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54" fillId="0" borderId="0"/>
    <xf numFmtId="255" fontId="10" fillId="0" borderId="0"/>
    <xf numFmtId="0" fontId="127"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0" fontId="127" fillId="0" borderId="0"/>
    <xf numFmtId="0" fontId="127" fillId="0" borderId="0"/>
    <xf numFmtId="0" fontId="127" fillId="0" borderId="0"/>
    <xf numFmtId="0" fontId="127"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5" fillId="0" borderId="0"/>
    <xf numFmtId="270" fontId="16" fillId="0" borderId="0" applyFont="0" applyFill="0" applyBorder="0" applyAlignment="0" applyProtection="0">
      <alignment horizontal="right"/>
    </xf>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164" fontId="104" fillId="0" borderId="0" applyFont="0" applyFill="0" applyBorder="0" applyAlignment="0" applyProtection="0"/>
    <xf numFmtId="0" fontId="154" fillId="0" borderId="0"/>
    <xf numFmtId="0" fontId="10" fillId="0" borderId="0"/>
    <xf numFmtId="0" fontId="134" fillId="0" borderId="0"/>
    <xf numFmtId="0" fontId="134" fillId="0" borderId="0"/>
    <xf numFmtId="0" fontId="127" fillId="0" borderId="0"/>
    <xf numFmtId="0" fontId="127"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7" fillId="0" borderId="0"/>
    <xf numFmtId="0" fontId="127" fillId="0" borderId="0"/>
    <xf numFmtId="0" fontId="5" fillId="0" borderId="0"/>
    <xf numFmtId="0" fontId="5" fillId="0" borderId="0"/>
    <xf numFmtId="0" fontId="5" fillId="0" borderId="0"/>
    <xf numFmtId="0" fontId="127" fillId="0" borderId="0"/>
    <xf numFmtId="0" fontId="127" fillId="0" borderId="0"/>
    <xf numFmtId="0" fontId="127" fillId="0" borderId="0"/>
    <xf numFmtId="0" fontId="127" fillId="0" borderId="0"/>
    <xf numFmtId="0" fontId="127" fillId="0" borderId="0"/>
    <xf numFmtId="0" fontId="92" fillId="0" borderId="0"/>
    <xf numFmtId="0" fontId="127" fillId="0" borderId="0"/>
    <xf numFmtId="0" fontId="134" fillId="0" borderId="0"/>
    <xf numFmtId="0" fontId="134" fillId="0" borderId="0"/>
    <xf numFmtId="0" fontId="127" fillId="0" borderId="0"/>
    <xf numFmtId="0" fontId="12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4" fillId="0" borderId="0"/>
    <xf numFmtId="0" fontId="10" fillId="0" borderId="0"/>
    <xf numFmtId="0" fontId="127" fillId="0" borderId="0"/>
    <xf numFmtId="0" fontId="10" fillId="0" borderId="0"/>
    <xf numFmtId="0" fontId="134" fillId="0" borderId="0"/>
    <xf numFmtId="0" fontId="10" fillId="0" borderId="0"/>
    <xf numFmtId="0" fontId="10" fillId="0" borderId="0"/>
    <xf numFmtId="0" fontId="134" fillId="0" borderId="0"/>
    <xf numFmtId="0" fontId="10" fillId="0" borderId="0"/>
    <xf numFmtId="0" fontId="10" fillId="0" borderId="0"/>
    <xf numFmtId="0" fontId="10" fillId="0" borderId="0"/>
    <xf numFmtId="0" fontId="10" fillId="0" borderId="0"/>
    <xf numFmtId="0" fontId="10" fillId="0" borderId="0"/>
    <xf numFmtId="0" fontId="134" fillId="0" borderId="0"/>
    <xf numFmtId="0" fontId="154" fillId="0" borderId="0"/>
    <xf numFmtId="0" fontId="127" fillId="0" borderId="0"/>
    <xf numFmtId="0" fontId="134" fillId="0" borderId="0"/>
    <xf numFmtId="0" fontId="10" fillId="0" borderId="0"/>
    <xf numFmtId="0" fontId="10" fillId="0" borderId="0"/>
    <xf numFmtId="0" fontId="92" fillId="0" borderId="0"/>
    <xf numFmtId="0" fontId="127" fillId="0" borderId="0"/>
    <xf numFmtId="0" fontId="127" fillId="0" borderId="0"/>
    <xf numFmtId="0" fontId="127" fillId="0" borderId="0"/>
    <xf numFmtId="0" fontId="127"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0" fontId="127" fillId="0" borderId="0"/>
    <xf numFmtId="255" fontId="10" fillId="0" borderId="0"/>
    <xf numFmtId="0" fontId="127"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0" fontId="127" fillId="0" borderId="0"/>
    <xf numFmtId="0" fontId="127" fillId="0" borderId="0"/>
    <xf numFmtId="270" fontId="16" fillId="0" borderId="0" applyFont="0" applyFill="0" applyBorder="0" applyAlignment="0" applyProtection="0">
      <alignment horizontal="right"/>
    </xf>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101" fillId="0" borderId="0"/>
    <xf numFmtId="0" fontId="101" fillId="0" borderId="0"/>
    <xf numFmtId="0" fontId="127" fillId="0" borderId="0"/>
    <xf numFmtId="255" fontId="10" fillId="0" borderId="0"/>
    <xf numFmtId="0" fontId="92"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35" fillId="0" borderId="0"/>
    <xf numFmtId="0" fontId="10" fillId="0" borderId="0"/>
    <xf numFmtId="0" fontId="10" fillId="0" borderId="0"/>
    <xf numFmtId="0" fontId="10" fillId="0" borderId="0"/>
    <xf numFmtId="0" fontId="10" fillId="0" borderId="0"/>
    <xf numFmtId="255" fontId="10" fillId="0" borderId="0"/>
    <xf numFmtId="0" fontId="134" fillId="0" borderId="0"/>
    <xf numFmtId="0" fontId="5" fillId="0" borderId="0"/>
    <xf numFmtId="0" fontId="134" fillId="0" borderId="0"/>
    <xf numFmtId="0" fontId="127" fillId="0" borderId="0"/>
    <xf numFmtId="255" fontId="10" fillId="0" borderId="0"/>
    <xf numFmtId="0" fontId="1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55" fontId="10" fillId="0" borderId="0"/>
    <xf numFmtId="0" fontId="1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55" fontId="10" fillId="0" borderId="0"/>
    <xf numFmtId="0" fontId="1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55" fontId="10" fillId="0" borderId="0"/>
    <xf numFmtId="0" fontId="1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55" fontId="10" fillId="0" borderId="0"/>
    <xf numFmtId="0" fontId="127" fillId="0" borderId="0"/>
    <xf numFmtId="0" fontId="5" fillId="0" borderId="0"/>
    <xf numFmtId="0" fontId="5" fillId="0" borderId="0"/>
    <xf numFmtId="0" fontId="5" fillId="0" borderId="0"/>
    <xf numFmtId="255" fontId="10" fillId="0" borderId="0"/>
    <xf numFmtId="0" fontId="127" fillId="0" borderId="0"/>
    <xf numFmtId="255" fontId="10" fillId="0" borderId="0"/>
    <xf numFmtId="0" fontId="127" fillId="0" borderId="0"/>
    <xf numFmtId="0" fontId="5" fillId="0" borderId="0"/>
    <xf numFmtId="0" fontId="5" fillId="0" borderId="0"/>
    <xf numFmtId="0" fontId="5" fillId="0" borderId="0"/>
    <xf numFmtId="255" fontId="10" fillId="0" borderId="0"/>
    <xf numFmtId="0" fontId="127" fillId="0" borderId="0"/>
    <xf numFmtId="0" fontId="5" fillId="0" borderId="0"/>
    <xf numFmtId="255" fontId="10" fillId="0" borderId="0"/>
    <xf numFmtId="0" fontId="127" fillId="0" borderId="0"/>
    <xf numFmtId="255" fontId="10" fillId="0" borderId="0"/>
    <xf numFmtId="0" fontId="10" fillId="0" borderId="0"/>
    <xf numFmtId="0" fontId="10" fillId="0" borderId="0"/>
    <xf numFmtId="0" fontId="10" fillId="0" borderId="0"/>
    <xf numFmtId="0" fontId="10" fillId="0" borderId="0"/>
    <xf numFmtId="0" fontId="10" fillId="0" borderId="0"/>
    <xf numFmtId="255" fontId="10" fillId="0" borderId="0"/>
    <xf numFmtId="0" fontId="10" fillId="0" borderId="0"/>
    <xf numFmtId="0" fontId="127" fillId="0" borderId="0"/>
    <xf numFmtId="0" fontId="10" fillId="0" borderId="0"/>
    <xf numFmtId="255" fontId="10" fillId="0" borderId="0"/>
    <xf numFmtId="0" fontId="10" fillId="0" borderId="0"/>
    <xf numFmtId="255" fontId="10" fillId="0" borderId="0"/>
    <xf numFmtId="0" fontId="10" fillId="0" borderId="0"/>
    <xf numFmtId="255" fontId="10" fillId="0" borderId="0"/>
    <xf numFmtId="0" fontId="5"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0" fillId="0" borderId="0"/>
    <xf numFmtId="255" fontId="10" fillId="0" borderId="0"/>
    <xf numFmtId="0"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40"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270" fontId="16" fillId="0" borderId="0" applyFont="0" applyFill="0" applyBorder="0" applyAlignment="0" applyProtection="0">
      <alignment horizontal="right"/>
    </xf>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0" fontId="54" fillId="0" borderId="0"/>
    <xf numFmtId="0" fontId="10" fillId="0" borderId="0">
      <alignment wrapText="1"/>
    </xf>
    <xf numFmtId="0" fontId="10" fillId="0" borderId="0">
      <alignment wrapText="1"/>
    </xf>
    <xf numFmtId="0" fontId="92"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0" fillId="0" borderId="0"/>
    <xf numFmtId="255" fontId="10" fillId="0" borderId="0"/>
    <xf numFmtId="0" fontId="5" fillId="0" borderId="0"/>
    <xf numFmtId="0" fontId="10" fillId="0" borderId="0"/>
    <xf numFmtId="0" fontId="5" fillId="0" borderId="0"/>
    <xf numFmtId="0" fontId="127" fillId="0" borderId="0"/>
    <xf numFmtId="255" fontId="10" fillId="0" borderId="0"/>
    <xf numFmtId="0" fontId="127" fillId="0" borderId="0"/>
    <xf numFmtId="255" fontId="10" fillId="0" borderId="0"/>
    <xf numFmtId="0" fontId="10" fillId="0" borderId="0"/>
    <xf numFmtId="0" fontId="5" fillId="0" borderId="0"/>
    <xf numFmtId="0" fontId="5" fillId="0" borderId="0"/>
    <xf numFmtId="0" fontId="5"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0" fillId="0" borderId="0"/>
    <xf numFmtId="255" fontId="10" fillId="0" borderId="0"/>
    <xf numFmtId="0" fontId="10" fillId="0" borderId="0"/>
    <xf numFmtId="255" fontId="10" fillId="0" borderId="0"/>
    <xf numFmtId="0" fontId="10" fillId="0" borderId="0"/>
    <xf numFmtId="255" fontId="10" fillId="0" borderId="0"/>
    <xf numFmtId="0" fontId="10" fillId="0" borderId="0"/>
    <xf numFmtId="255" fontId="10" fillId="0" borderId="0"/>
    <xf numFmtId="0" fontId="10" fillId="0" borderId="0"/>
    <xf numFmtId="255" fontId="10" fillId="0" borderId="0"/>
    <xf numFmtId="0"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55"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270" fontId="16" fillId="0" borderId="0" applyFont="0" applyFill="0" applyBorder="0" applyAlignment="0" applyProtection="0">
      <alignment horizontal="right"/>
    </xf>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0" fontId="10" fillId="0" borderId="0">
      <alignment wrapText="1"/>
    </xf>
    <xf numFmtId="0" fontId="110" fillId="0" borderId="0"/>
    <xf numFmtId="0" fontId="110" fillId="0" borderId="0"/>
    <xf numFmtId="0" fontId="10" fillId="0" borderId="0">
      <alignment wrapText="1"/>
    </xf>
    <xf numFmtId="0" fontId="10" fillId="0" borderId="0">
      <alignment wrapText="1"/>
    </xf>
    <xf numFmtId="0" fontId="10" fillId="0" borderId="0">
      <alignment wrapText="1"/>
    </xf>
    <xf numFmtId="0" fontId="110" fillId="0" borderId="0"/>
    <xf numFmtId="0" fontId="1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5" fillId="0" borderId="0"/>
    <xf numFmtId="255" fontId="10" fillId="0" borderId="0"/>
    <xf numFmtId="0" fontId="10" fillId="0" borderId="0">
      <alignment wrapText="1"/>
    </xf>
    <xf numFmtId="0" fontId="127" fillId="0" borderId="0"/>
    <xf numFmtId="0" fontId="10" fillId="0" borderId="0">
      <alignment wrapText="1"/>
    </xf>
    <xf numFmtId="0" fontId="127" fillId="0" borderId="0"/>
    <xf numFmtId="255" fontId="10" fillId="0" borderId="0"/>
    <xf numFmtId="0" fontId="127" fillId="0" borderId="0"/>
    <xf numFmtId="0" fontId="5" fillId="0" borderId="0"/>
    <xf numFmtId="0" fontId="5" fillId="0" borderId="0"/>
    <xf numFmtId="0" fontId="5" fillId="0" borderId="0"/>
    <xf numFmtId="255" fontId="10" fillId="0" borderId="0"/>
    <xf numFmtId="0" fontId="127" fillId="0" borderId="0"/>
    <xf numFmtId="0" fontId="5" fillId="0" borderId="0"/>
    <xf numFmtId="0" fontId="5" fillId="0" borderId="0"/>
    <xf numFmtId="0" fontId="5"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27" fillId="0" borderId="0"/>
    <xf numFmtId="255" fontId="10" fillId="0" borderId="0"/>
    <xf numFmtId="0" fontId="10" fillId="0" borderId="0">
      <alignment wrapText="1"/>
    </xf>
    <xf numFmtId="255" fontId="10" fillId="0" borderId="0"/>
    <xf numFmtId="0" fontId="10" fillId="0" borderId="0">
      <alignment wrapText="1"/>
    </xf>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127"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255"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70" fontId="16" fillId="0" borderId="0" applyFont="0" applyFill="0" applyBorder="0" applyAlignment="0" applyProtection="0">
      <alignment horizontal="right"/>
    </xf>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0" fillId="0" borderId="0"/>
    <xf numFmtId="0" fontId="10" fillId="0" borderId="0"/>
    <xf numFmtId="0" fontId="54" fillId="0" borderId="0"/>
    <xf numFmtId="0" fontId="83"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0" fillId="0" borderId="0"/>
    <xf numFmtId="0" fontId="10" fillId="0" borderId="0"/>
    <xf numFmtId="0" fontId="10" fillId="0" borderId="0"/>
    <xf numFmtId="0" fontId="10" fillId="0" borderId="0"/>
    <xf numFmtId="0" fontId="10" fillId="0" borderId="0"/>
    <xf numFmtId="0" fontId="83" fillId="0" borderId="0"/>
    <xf numFmtId="0" fontId="83" fillId="0" borderId="0"/>
    <xf numFmtId="255" fontId="10"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34" fillId="0" borderId="0"/>
    <xf numFmtId="0" fontId="10" fillId="0" borderId="0"/>
    <xf numFmtId="270" fontId="16" fillId="0" borderId="0" applyFont="0" applyFill="0" applyBorder="0" applyAlignment="0" applyProtection="0">
      <alignment horizontal="right"/>
    </xf>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5" fillId="0" borderId="0"/>
    <xf numFmtId="0" fontId="127" fillId="0" borderId="0"/>
    <xf numFmtId="0" fontId="1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7" fillId="0" borderId="0"/>
    <xf numFmtId="0" fontId="5" fillId="0" borderId="0"/>
    <xf numFmtId="0" fontId="5" fillId="0" borderId="0"/>
    <xf numFmtId="0" fontId="5" fillId="0" borderId="0"/>
    <xf numFmtId="0" fontId="127" fillId="0" borderId="0"/>
    <xf numFmtId="0" fontId="5" fillId="0" borderId="0"/>
    <xf numFmtId="0" fontId="127" fillId="0" borderId="0"/>
    <xf numFmtId="0" fontId="127" fillId="0" borderId="0"/>
    <xf numFmtId="0" fontId="127" fillId="0" borderId="0"/>
    <xf numFmtId="0" fontId="127" fillId="0" borderId="0"/>
    <xf numFmtId="0" fontId="127" fillId="0" borderId="0"/>
    <xf numFmtId="0" fontId="10" fillId="0" borderId="0"/>
    <xf numFmtId="0" fontId="127" fillId="0" borderId="0"/>
    <xf numFmtId="0" fontId="1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7" fillId="0" borderId="0"/>
    <xf numFmtId="0" fontId="5" fillId="0" borderId="0"/>
    <xf numFmtId="0" fontId="5" fillId="0" borderId="0"/>
    <xf numFmtId="0" fontId="5" fillId="0" borderId="0"/>
    <xf numFmtId="0" fontId="127" fillId="0" borderId="0"/>
    <xf numFmtId="0" fontId="127" fillId="0" borderId="0"/>
    <xf numFmtId="0" fontId="127" fillId="0" borderId="0"/>
    <xf numFmtId="0" fontId="127" fillId="0" borderId="0"/>
    <xf numFmtId="0" fontId="127" fillId="0" borderId="0"/>
    <xf numFmtId="0" fontId="10" fillId="0" borderId="0"/>
    <xf numFmtId="0" fontId="5" fillId="0" borderId="0"/>
    <xf numFmtId="0" fontId="10" fillId="0" borderId="0"/>
    <xf numFmtId="0" fontId="5" fillId="0" borderId="0"/>
    <xf numFmtId="0" fontId="5" fillId="0" borderId="0"/>
    <xf numFmtId="0" fontId="5" fillId="0" borderId="0"/>
    <xf numFmtId="0" fontId="127" fillId="0" borderId="0"/>
    <xf numFmtId="0" fontId="48" fillId="0" borderId="0"/>
    <xf numFmtId="0" fontId="10" fillId="0" borderId="0"/>
    <xf numFmtId="0" fontId="185" fillId="0" borderId="0"/>
    <xf numFmtId="275" fontId="16" fillId="0" borderId="0" applyFont="0" applyFill="0" applyBorder="0" applyAlignment="0" applyProtection="0"/>
    <xf numFmtId="0" fontId="55" fillId="66" borderId="94" applyNumberFormat="0" applyFont="0" applyAlignment="0" applyProtection="0"/>
    <xf numFmtId="0" fontId="111" fillId="15" borderId="35" applyNumberFormat="0" applyFont="0" applyAlignment="0" applyProtection="0"/>
    <xf numFmtId="0" fontId="5" fillId="15" borderId="35" applyNumberFormat="0" applyFont="0" applyAlignment="0" applyProtection="0"/>
    <xf numFmtId="0" fontId="55" fillId="66" borderId="94" applyNumberFormat="0" applyFont="0" applyAlignment="0" applyProtection="0"/>
    <xf numFmtId="0" fontId="186" fillId="15" borderId="35" applyNumberFormat="0" applyFont="0" applyAlignment="0" applyProtection="0"/>
    <xf numFmtId="0" fontId="110" fillId="15" borderId="35" applyNumberFormat="0" applyFont="0" applyAlignment="0" applyProtection="0"/>
    <xf numFmtId="0" fontId="5" fillId="15" borderId="35" applyNumberFormat="0" applyFont="0" applyAlignment="0" applyProtection="0"/>
    <xf numFmtId="0" fontId="110" fillId="15" borderId="35" applyNumberFormat="0" applyFont="0" applyAlignment="0" applyProtection="0"/>
    <xf numFmtId="0" fontId="5" fillId="15" borderId="35" applyNumberFormat="0" applyFont="0" applyAlignment="0" applyProtection="0"/>
    <xf numFmtId="0" fontId="186" fillId="15" borderId="35" applyNumberFormat="0" applyFont="0" applyAlignment="0" applyProtection="0"/>
    <xf numFmtId="0" fontId="5" fillId="15" borderId="35" applyNumberFormat="0" applyFont="0" applyAlignment="0" applyProtection="0"/>
    <xf numFmtId="0" fontId="186" fillId="15" borderId="35" applyNumberFormat="0" applyFont="0" applyAlignment="0" applyProtection="0"/>
    <xf numFmtId="0" fontId="186" fillId="15" borderId="35" applyNumberFormat="0" applyFont="0" applyAlignment="0" applyProtection="0"/>
    <xf numFmtId="0" fontId="186" fillId="15" borderId="35" applyNumberFormat="0" applyFont="0" applyAlignment="0" applyProtection="0"/>
    <xf numFmtId="0" fontId="186" fillId="15" borderId="35" applyNumberFormat="0" applyFont="0" applyAlignment="0" applyProtection="0"/>
    <xf numFmtId="0" fontId="186" fillId="15" borderId="35" applyNumberFormat="0" applyFont="0" applyAlignment="0" applyProtection="0"/>
    <xf numFmtId="0" fontId="186" fillId="15" borderId="35" applyNumberFormat="0" applyFont="0" applyAlignment="0" applyProtection="0"/>
    <xf numFmtId="0" fontId="111"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111" fillId="15" borderId="35" applyNumberFormat="0" applyFont="0" applyAlignment="0" applyProtection="0"/>
    <xf numFmtId="0" fontId="5" fillId="15" borderId="35" applyNumberFormat="0" applyFont="0" applyAlignment="0" applyProtection="0"/>
    <xf numFmtId="0" fontId="111" fillId="15" borderId="35" applyNumberFormat="0" applyFont="0" applyAlignment="0" applyProtection="0"/>
    <xf numFmtId="0" fontId="5" fillId="15" borderId="35" applyNumberFormat="0" applyFont="0" applyAlignment="0" applyProtection="0"/>
    <xf numFmtId="0" fontId="111" fillId="15" borderId="35" applyNumberFormat="0" applyFont="0" applyAlignment="0" applyProtection="0"/>
    <xf numFmtId="0" fontId="5" fillId="15" borderId="35" applyNumberFormat="0" applyFont="0" applyAlignment="0" applyProtection="0"/>
    <xf numFmtId="0" fontId="111"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0" fontId="5" fillId="15" borderId="35" applyNumberFormat="0" applyFont="0" applyAlignment="0" applyProtection="0"/>
    <xf numFmtId="276" fontId="187" fillId="0" borderId="0" applyBorder="0" applyProtection="0">
      <alignment horizontal="right"/>
    </xf>
    <xf numFmtId="276" fontId="188" fillId="83" borderId="0" applyBorder="0" applyProtection="0">
      <alignment horizontal="right"/>
    </xf>
    <xf numFmtId="276" fontId="189" fillId="0" borderId="51" applyBorder="0"/>
    <xf numFmtId="276" fontId="190" fillId="0" borderId="0" applyBorder="0" applyProtection="0">
      <alignment horizontal="right"/>
    </xf>
    <xf numFmtId="277" fontId="190" fillId="0" borderId="0" applyBorder="0" applyProtection="0">
      <alignment horizontal="right"/>
    </xf>
    <xf numFmtId="277" fontId="191" fillId="83" borderId="0" applyProtection="0">
      <alignment horizontal="right"/>
    </xf>
    <xf numFmtId="37" fontId="108" fillId="0" borderId="0" applyFill="0" applyBorder="0" applyProtection="0">
      <alignment horizontal="right"/>
    </xf>
    <xf numFmtId="208" fontId="103" fillId="0" borderId="0" applyFont="0" applyFill="0" applyBorder="0" applyProtection="0">
      <alignment horizontal="right"/>
    </xf>
    <xf numFmtId="278" fontId="187" fillId="0" borderId="0" applyFill="0" applyBorder="0" applyProtection="0"/>
    <xf numFmtId="0" fontId="121" fillId="64" borderId="0">
      <alignment horizontal="right"/>
    </xf>
    <xf numFmtId="0" fontId="10" fillId="0" borderId="0">
      <alignment horizontal="right"/>
    </xf>
    <xf numFmtId="0" fontId="85" fillId="61" borderId="95" applyNumberFormat="0" applyAlignment="0" applyProtection="0"/>
    <xf numFmtId="0" fontId="85" fillId="61" borderId="95" applyNumberFormat="0" applyAlignment="0" applyProtection="0"/>
    <xf numFmtId="0" fontId="192" fillId="13" borderId="32" applyNumberFormat="0" applyAlignment="0" applyProtection="0"/>
    <xf numFmtId="0" fontId="192" fillId="13" borderId="32" applyNumberFormat="0" applyAlignment="0" applyProtection="0"/>
    <xf numFmtId="0" fontId="192" fillId="13" borderId="32" applyNumberFormat="0" applyAlignment="0" applyProtection="0"/>
    <xf numFmtId="0" fontId="192" fillId="13" borderId="32" applyNumberFormat="0" applyAlignment="0" applyProtection="0"/>
    <xf numFmtId="0" fontId="192" fillId="13" borderId="32" applyNumberFormat="0" applyAlignment="0" applyProtection="0"/>
    <xf numFmtId="0" fontId="192" fillId="13" borderId="32" applyNumberFormat="0" applyAlignment="0" applyProtection="0"/>
    <xf numFmtId="0" fontId="192" fillId="13" borderId="32" applyNumberFormat="0" applyAlignment="0" applyProtection="0"/>
    <xf numFmtId="0" fontId="32" fillId="13" borderId="32" applyNumberFormat="0" applyAlignment="0" applyProtection="0"/>
    <xf numFmtId="0" fontId="193" fillId="0" borderId="0" applyProtection="0">
      <alignment horizontal="left"/>
    </xf>
    <xf numFmtId="0" fontId="193" fillId="0" borderId="0" applyFill="0" applyBorder="0" applyProtection="0">
      <alignment horizontal="left"/>
    </xf>
    <xf numFmtId="0" fontId="194" fillId="0" borderId="0" applyFill="0" applyBorder="0" applyProtection="0">
      <alignment horizontal="left"/>
    </xf>
    <xf numFmtId="1" fontId="195" fillId="0" borderId="0" applyProtection="0">
      <alignment horizontal="right" vertical="center"/>
    </xf>
    <xf numFmtId="257" fontId="196" fillId="0" borderId="12">
      <alignment vertical="center"/>
    </xf>
    <xf numFmtId="2" fontId="115" fillId="0" borderId="0"/>
    <xf numFmtId="171" fontId="197" fillId="0" borderId="0" applyFill="0" applyBorder="0" applyAlignment="0" applyProtection="0"/>
    <xf numFmtId="229" fontId="10" fillId="0" borderId="0" applyFont="0" applyFill="0" applyBorder="0" applyAlignment="0" applyProtection="0"/>
    <xf numFmtId="279" fontId="40" fillId="0" borderId="0" applyFont="0" applyFill="0" applyBorder="0" applyAlignment="0" applyProtection="0"/>
    <xf numFmtId="280" fontId="21" fillId="64" borderId="46" applyFill="0" applyBorder="0" applyAlignment="0" applyProtection="0">
      <alignment horizontal="right"/>
      <protection locked="0"/>
    </xf>
    <xf numFmtId="281" fontId="21" fillId="63" borderId="0" applyFill="0" applyBorder="0" applyAlignment="0" applyProtection="0">
      <protection hidden="1"/>
    </xf>
    <xf numFmtId="10" fontId="10" fillId="0" borderId="0" applyFont="0" applyFill="0" applyBorder="0" applyAlignment="0" applyProtection="0"/>
    <xf numFmtId="10" fontId="10" fillId="0" borderId="0" applyFont="0" applyFill="0" applyBorder="0" applyAlignment="0" applyProtection="0"/>
    <xf numFmtId="282" fontId="187" fillId="0" borderId="0" applyBorder="0" applyProtection="0">
      <alignment horizontal="right"/>
    </xf>
    <xf numFmtId="282" fontId="188" fillId="83" borderId="0" applyProtection="0">
      <alignment horizontal="right"/>
    </xf>
    <xf numFmtId="282" fontId="190" fillId="0" borderId="0" applyFont="0" applyBorder="0" applyProtection="0">
      <alignment horizontal="right"/>
    </xf>
    <xf numFmtId="170"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3" fillId="0" borderId="0" applyFont="0" applyFill="0" applyBorder="0" applyAlignment="0" applyProtection="0"/>
    <xf numFmtId="9" fontId="5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71"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3" fillId="0" borderId="0" applyFont="0" applyFill="0" applyBorder="0" applyAlignment="0" applyProtection="0"/>
    <xf numFmtId="9" fontId="10" fillId="0" borderId="0" applyFont="0" applyFill="0" applyBorder="0" applyAlignment="0" applyProtection="0"/>
    <xf numFmtId="9" fontId="83"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3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83" fontId="115" fillId="0" borderId="0" applyFont="0" applyFill="0" applyBorder="0" applyProtection="0">
      <alignment horizontal="right"/>
    </xf>
    <xf numFmtId="9" fontId="10" fillId="0" borderId="0"/>
    <xf numFmtId="284" fontId="10" fillId="0" borderId="0" applyFill="0" applyBorder="0">
      <alignment horizontal="right"/>
      <protection locked="0"/>
    </xf>
    <xf numFmtId="1" fontId="109" fillId="0" borderId="0"/>
    <xf numFmtId="267" fontId="10" fillId="0" borderId="0">
      <protection locked="0"/>
    </xf>
    <xf numFmtId="171" fontId="10" fillId="0" borderId="0" applyFont="0" applyFill="0" applyBorder="0" applyAlignment="0" applyProtection="0"/>
    <xf numFmtId="227" fontId="40" fillId="0" borderId="0" applyFill="0" applyBorder="0" applyAlignment="0"/>
    <xf numFmtId="228" fontId="40" fillId="0" borderId="0" applyFill="0" applyBorder="0" applyAlignment="0"/>
    <xf numFmtId="227" fontId="40" fillId="0" borderId="0" applyFill="0" applyBorder="0" applyAlignment="0"/>
    <xf numFmtId="230" fontId="10" fillId="0" borderId="0" applyFill="0" applyBorder="0" applyAlignment="0"/>
    <xf numFmtId="228" fontId="40" fillId="0" borderId="0" applyFill="0" applyBorder="0" applyAlignment="0"/>
    <xf numFmtId="10" fontId="115" fillId="0" borderId="0"/>
    <xf numFmtId="10" fontId="115" fillId="78" borderId="0"/>
    <xf numFmtId="9" fontId="115" fillId="0" borderId="0" applyFont="0" applyFill="0" applyBorder="0" applyAlignment="0" applyProtection="0"/>
    <xf numFmtId="172" fontId="83" fillId="0" borderId="0"/>
    <xf numFmtId="285" fontId="198" fillId="63" borderId="0" applyBorder="0" applyAlignment="0">
      <protection hidden="1"/>
    </xf>
    <xf numFmtId="1" fontId="198" fillId="63" borderId="0">
      <alignment horizontal="center"/>
    </xf>
    <xf numFmtId="0" fontId="127" fillId="0" borderId="0" applyNumberFormat="0" applyFont="0" applyFill="0" applyBorder="0" applyAlignment="0" applyProtection="0">
      <alignment horizontal="left"/>
    </xf>
    <xf numFmtId="15" fontId="127" fillId="0" borderId="0" applyFont="0" applyFill="0" applyBorder="0" applyAlignment="0" applyProtection="0"/>
    <xf numFmtId="4" fontId="127" fillId="0" borderId="0" applyFont="0" applyFill="0" applyBorder="0" applyAlignment="0" applyProtection="0"/>
    <xf numFmtId="0" fontId="174" fillId="0" borderId="2">
      <alignment horizontal="center"/>
    </xf>
    <xf numFmtId="3" fontId="127" fillId="0" borderId="0" applyFont="0" applyFill="0" applyBorder="0" applyAlignment="0" applyProtection="0"/>
    <xf numFmtId="0" fontId="127" fillId="84" borderId="0" applyNumberFormat="0" applyFont="0" applyBorder="0" applyAlignment="0" applyProtection="0"/>
    <xf numFmtId="0" fontId="127" fillId="0" borderId="0">
      <alignment horizontal="right"/>
      <protection locked="0"/>
    </xf>
    <xf numFmtId="197" fontId="199" fillId="0" borderId="0" applyNumberFormat="0" applyFill="0" applyBorder="0" applyAlignment="0" applyProtection="0">
      <alignment horizontal="left"/>
    </xf>
    <xf numFmtId="0" fontId="200" fillId="74" borderId="0"/>
    <xf numFmtId="0" fontId="109" fillId="0" borderId="0" applyNumberFormat="0" applyFill="0" applyBorder="0" applyProtection="0">
      <alignment horizontal="right" vertical="center"/>
    </xf>
    <xf numFmtId="0" fontId="201" fillId="0" borderId="96">
      <alignment vertical="center"/>
    </xf>
    <xf numFmtId="175" fontId="10" fillId="0" borderId="0" applyFill="0" applyBorder="0">
      <alignment horizontal="right"/>
      <protection hidden="1"/>
    </xf>
    <xf numFmtId="0" fontId="202" fillId="73" borderId="46">
      <alignment horizontal="center" vertical="center" wrapText="1"/>
      <protection hidden="1"/>
    </xf>
    <xf numFmtId="0" fontId="127" fillId="85" borderId="97"/>
    <xf numFmtId="0" fontId="40" fillId="86" borderId="0" applyNumberFormat="0" applyFont="0" applyBorder="0" applyAlignment="0" applyProtection="0"/>
    <xf numFmtId="167" fontId="203" fillId="0" borderId="0" applyFill="0" applyBorder="0" applyAlignment="0" applyProtection="0"/>
    <xf numFmtId="168" fontId="204" fillId="0" borderId="0"/>
    <xf numFmtId="0" fontId="16" fillId="0" borderId="0"/>
    <xf numFmtId="0" fontId="205" fillId="0" borderId="0">
      <alignment horizontal="right"/>
    </xf>
    <xf numFmtId="0" fontId="145" fillId="0" borderId="0">
      <alignment horizontal="left"/>
    </xf>
    <xf numFmtId="171" fontId="206" fillId="0" borderId="92"/>
    <xf numFmtId="286" fontId="114" fillId="80" borderId="0" applyFont="0" applyBorder="0"/>
    <xf numFmtId="217" fontId="108" fillId="0" borderId="0" applyNumberFormat="0" applyFill="0">
      <alignment horizontal="left" vertical="center" wrapText="1"/>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10" fillId="0" borderId="0">
      <alignment vertical="top"/>
    </xf>
    <xf numFmtId="168" fontId="10" fillId="0" borderId="0" applyFont="0" applyFill="0" applyBorder="0" applyAlignment="0" applyProtection="0"/>
    <xf numFmtId="0" fontId="141" fillId="0" borderId="0">
      <alignment vertical="top"/>
    </xf>
    <xf numFmtId="0" fontId="40" fillId="0" borderId="0">
      <alignment vertical="top"/>
    </xf>
    <xf numFmtId="0" fontId="4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9" fontId="10" fillId="0" borderId="0" applyFont="0" applyFill="0" applyBorder="0" applyAlignment="0" applyProtection="0"/>
    <xf numFmtId="0" fontId="4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07" fillId="86" borderId="46" applyNumberFormat="0" applyProtection="0">
      <alignment horizontal="center" vertical="center"/>
    </xf>
    <xf numFmtId="0" fontId="40" fillId="0" borderId="0">
      <alignment vertical="top"/>
    </xf>
    <xf numFmtId="0" fontId="13" fillId="86" borderId="46" applyNumberFormat="0" applyProtection="0">
      <alignment horizontal="center" vertical="center"/>
    </xf>
    <xf numFmtId="0" fontId="40" fillId="0" borderId="0">
      <alignment vertical="top"/>
    </xf>
    <xf numFmtId="0" fontId="40" fillId="0" borderId="0">
      <alignment vertical="top"/>
    </xf>
    <xf numFmtId="0" fontId="93" fillId="0" borderId="0" applyNumberFormat="0" applyFill="0" applyBorder="0" applyAlignment="0" applyProtection="0"/>
    <xf numFmtId="0" fontId="40" fillId="0" borderId="0">
      <alignment vertical="top"/>
    </xf>
    <xf numFmtId="0" fontId="13" fillId="67" borderId="46" applyNumberFormat="0" applyProtection="0">
      <alignment horizontal="left" vertical="center" wrapText="1"/>
    </xf>
    <xf numFmtId="0" fontId="40" fillId="0" borderId="0">
      <alignment vertical="top"/>
    </xf>
    <xf numFmtId="0" fontId="40" fillId="0" borderId="0">
      <alignment vertical="top"/>
    </xf>
    <xf numFmtId="0" fontId="14" fillId="0" borderId="0" applyNumberFormat="0" applyFill="0" applyBorder="0" applyAlignment="0" applyProtection="0"/>
    <xf numFmtId="0" fontId="10" fillId="6" borderId="46" applyNumberFormat="0" applyProtection="0">
      <alignment horizontal="left" vertical="center" wrapText="1"/>
    </xf>
    <xf numFmtId="0" fontId="10" fillId="6" borderId="46" applyNumberFormat="0" applyProtection="0">
      <alignment horizontal="left" vertical="center" wrapText="1"/>
    </xf>
    <xf numFmtId="0" fontId="40" fillId="0" borderId="0">
      <alignment vertical="top"/>
    </xf>
    <xf numFmtId="0" fontId="13" fillId="67" borderId="46" applyNumberFormat="0" applyProtection="0">
      <alignment horizontal="left" vertical="center" wrapText="1"/>
    </xf>
    <xf numFmtId="0" fontId="40" fillId="0" borderId="0">
      <alignment vertical="top"/>
    </xf>
    <xf numFmtId="0" fontId="40" fillId="0" borderId="0">
      <alignment vertical="top"/>
    </xf>
    <xf numFmtId="0" fontId="208" fillId="87" borderId="0" applyNumberFormat="0" applyBorder="0" applyAlignment="0" applyProtection="0"/>
    <xf numFmtId="0" fontId="40" fillId="0" borderId="0">
      <alignment vertical="top"/>
    </xf>
    <xf numFmtId="0" fontId="40" fillId="0" borderId="0">
      <alignment vertical="top"/>
    </xf>
    <xf numFmtId="0" fontId="40" fillId="0" borderId="0">
      <alignment vertical="top"/>
    </xf>
    <xf numFmtId="170" fontId="107" fillId="0" borderId="0" applyFont="0" applyFill="0" applyBorder="0" applyAlignment="0" applyProtection="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201" fontId="10" fillId="0" borderId="0" applyFont="0" applyFill="0" applyBorder="0" applyAlignment="0" applyProtection="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169" fontId="10" fillId="0" borderId="0" applyFont="0" applyFill="0" applyBorder="0" applyAlignment="0" applyProtection="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287" fontId="115" fillId="0" borderId="0" applyFont="0" applyFill="0" applyBorder="0" applyAlignment="0" applyProtection="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287" fontId="115" fillId="0" borderId="0" applyFont="0" applyFill="0" applyBorder="0" applyAlignment="0" applyProtection="0"/>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40" fillId="0" borderId="0">
      <alignment vertical="top"/>
    </xf>
    <xf numFmtId="0" fontId="83" fillId="0" borderId="0" applyNumberFormat="0" applyBorder="0" applyAlignment="0"/>
    <xf numFmtId="0" fontId="209" fillId="0" borderId="0" applyNumberFormat="0" applyBorder="0" applyAlignment="0"/>
    <xf numFmtId="0" fontId="210" fillId="0" borderId="0" applyNumberFormat="0" applyBorder="0" applyAlignment="0"/>
    <xf numFmtId="0" fontId="123" fillId="0" borderId="0" applyNumberFormat="0" applyFill="0" applyBorder="0" applyProtection="0">
      <alignment horizontal="left" vertical="center"/>
    </xf>
    <xf numFmtId="0" fontId="123" fillId="0" borderId="51" applyNumberFormat="0" applyFill="0" applyProtection="0">
      <alignment horizontal="left" vertical="center"/>
    </xf>
    <xf numFmtId="288" fontId="114" fillId="88" borderId="0" applyNumberFormat="0" applyFont="0" applyBorder="0">
      <alignment horizontal="center" vertical="center"/>
      <protection locked="0"/>
    </xf>
    <xf numFmtId="9" fontId="10" fillId="0" borderId="0"/>
    <xf numFmtId="0" fontId="124" fillId="0" borderId="0" applyFill="0" applyBorder="0" applyProtection="0">
      <alignment horizontal="center" vertical="center"/>
    </xf>
    <xf numFmtId="0" fontId="211" fillId="0" borderId="0" applyBorder="0" applyProtection="0">
      <alignment vertical="center"/>
    </xf>
    <xf numFmtId="172" fontId="10" fillId="0" borderId="12" applyBorder="0" applyProtection="0">
      <alignment horizontal="right" vertical="center"/>
    </xf>
    <xf numFmtId="0" fontId="212" fillId="89" borderId="0" applyBorder="0" applyProtection="0">
      <alignment horizontal="centerContinuous" vertical="center"/>
    </xf>
    <xf numFmtId="0" fontId="212" fillId="87" borderId="12" applyBorder="0" applyProtection="0">
      <alignment horizontal="centerContinuous" vertical="center"/>
    </xf>
    <xf numFmtId="0" fontId="213" fillId="0" borderId="0"/>
    <xf numFmtId="0" fontId="124" fillId="0" borderId="0" applyFill="0" applyBorder="0" applyProtection="0"/>
    <xf numFmtId="0" fontId="185" fillId="0" borderId="0"/>
    <xf numFmtId="0" fontId="214" fillId="0" borderId="0" applyFill="0" applyBorder="0" applyProtection="0">
      <alignment horizontal="left"/>
    </xf>
    <xf numFmtId="0" fontId="215" fillId="0" borderId="0" applyFill="0" applyBorder="0" applyProtection="0">
      <alignment horizontal="left" vertical="top"/>
    </xf>
    <xf numFmtId="0" fontId="45" fillId="0" borderId="0">
      <alignment horizontal="centerContinuous"/>
    </xf>
    <xf numFmtId="257" fontId="10" fillId="6" borderId="98" applyNumberFormat="0" applyAlignment="0">
      <alignment vertical="center"/>
    </xf>
    <xf numFmtId="257" fontId="216" fillId="90" borderId="99" applyNumberFormat="0" applyBorder="0" applyAlignment="0" applyProtection="0">
      <alignment vertical="center"/>
    </xf>
    <xf numFmtId="257" fontId="10" fillId="6" borderId="98" applyNumberFormat="0" applyProtection="0">
      <alignment horizontal="centerContinuous" vertical="center"/>
    </xf>
    <xf numFmtId="257" fontId="217" fillId="91" borderId="0" applyNumberFormat="0" applyBorder="0" applyAlignment="0" applyProtection="0">
      <alignment vertical="center"/>
    </xf>
    <xf numFmtId="257" fontId="10" fillId="90" borderId="0" applyBorder="0" applyAlignment="0" applyProtection="0">
      <alignment vertical="center"/>
    </xf>
    <xf numFmtId="49" fontId="108" fillId="0" borderId="12">
      <alignment vertical="center"/>
    </xf>
    <xf numFmtId="0" fontId="218" fillId="0" borderId="0"/>
    <xf numFmtId="0" fontId="219" fillId="0" borderId="0"/>
    <xf numFmtId="49" fontId="83" fillId="0" borderId="0" applyFill="0" applyBorder="0" applyAlignment="0"/>
    <xf numFmtId="289" fontId="40" fillId="0" borderId="0" applyFill="0" applyBorder="0" applyAlignment="0"/>
    <xf numFmtId="290" fontId="40" fillId="0" borderId="0" applyFill="0" applyBorder="0" applyAlignment="0"/>
    <xf numFmtId="0" fontId="104" fillId="0" borderId="0" applyNumberFormat="0" applyFont="0" applyFill="0" applyBorder="0" applyProtection="0">
      <alignment horizontal="left" vertical="top" wrapText="1"/>
    </xf>
    <xf numFmtId="18" fontId="16" fillId="0" borderId="0" applyFill="0" applyBorder="0" applyAlignment="0" applyProtection="0"/>
    <xf numFmtId="0" fontId="40" fillId="0" borderId="0" applyNumberFormat="0" applyFill="0" applyBorder="0" applyAlignment="0" applyProtection="0"/>
    <xf numFmtId="0" fontId="109" fillId="0" borderId="0" applyNumberFormat="0" applyFill="0" applyBorder="0" applyAlignment="0" applyProtection="0"/>
    <xf numFmtId="40" fontId="220" fillId="0" borderId="0"/>
    <xf numFmtId="0" fontId="221" fillId="0" borderId="0" applyNumberFormat="0" applyBorder="0" applyAlignment="0" applyProtection="0"/>
    <xf numFmtId="0" fontId="221" fillId="0" borderId="0" applyNumberFormat="0" applyBorder="0" applyAlignment="0" applyProtection="0"/>
    <xf numFmtId="291" fontId="222" fillId="87" borderId="0" applyNumberFormat="0" applyProtection="0">
      <alignment horizontal="left" vertical="center"/>
    </xf>
    <xf numFmtId="0" fontId="223" fillId="0" borderId="0" applyNumberFormat="0" applyProtection="0">
      <alignment horizontal="left" vertical="center"/>
    </xf>
    <xf numFmtId="0" fontId="224" fillId="0" borderId="0">
      <alignment horizontal="left"/>
    </xf>
    <xf numFmtId="0" fontId="127" fillId="0" borderId="0" applyBorder="0"/>
    <xf numFmtId="1" fontId="40" fillId="77" borderId="0" applyNumberFormat="0" applyFont="0" applyBorder="0" applyProtection="0">
      <alignment horizontal="left"/>
    </xf>
    <xf numFmtId="292" fontId="10" fillId="0" borderId="0" applyNumberFormat="0" applyFill="0" applyBorder="0" applyProtection="0">
      <alignment vertical="top"/>
    </xf>
    <xf numFmtId="0" fontId="88" fillId="0" borderId="100" applyNumberFormat="0" applyFill="0" applyAlignment="0" applyProtection="0"/>
    <xf numFmtId="0" fontId="38" fillId="0" borderId="36" applyNumberFormat="0" applyFill="0" applyAlignment="0" applyProtection="0"/>
    <xf numFmtId="0" fontId="88" fillId="0" borderId="100" applyNumberFormat="0" applyFill="0" applyAlignment="0" applyProtection="0"/>
    <xf numFmtId="0" fontId="225" fillId="0" borderId="36" applyNumberFormat="0" applyFill="0" applyAlignment="0" applyProtection="0"/>
    <xf numFmtId="0" fontId="225" fillId="0" borderId="36" applyNumberFormat="0" applyFill="0" applyAlignment="0" applyProtection="0"/>
    <xf numFmtId="0" fontId="225" fillId="0" borderId="36" applyNumberFormat="0" applyFill="0" applyAlignment="0" applyProtection="0"/>
    <xf numFmtId="0" fontId="225" fillId="0" borderId="36" applyNumberFormat="0" applyFill="0" applyAlignment="0" applyProtection="0"/>
    <xf numFmtId="0" fontId="225" fillId="0" borderId="36" applyNumberFormat="0" applyFill="0" applyAlignment="0" applyProtection="0"/>
    <xf numFmtId="0" fontId="225" fillId="0" borderId="36" applyNumberFormat="0" applyFill="0" applyAlignment="0" applyProtection="0"/>
    <xf numFmtId="0" fontId="225" fillId="0" borderId="36" applyNumberFormat="0" applyFill="0" applyAlignment="0" applyProtection="0"/>
    <xf numFmtId="0" fontId="226" fillId="0" borderId="36" applyNumberFormat="0" applyFill="0" applyAlignment="0" applyProtection="0"/>
    <xf numFmtId="39" fontId="10" fillId="0" borderId="83">
      <protection locked="0"/>
    </xf>
    <xf numFmtId="165" fontId="45" fillId="0" borderId="83" applyFill="0" applyAlignment="0" applyProtection="0"/>
    <xf numFmtId="172" fontId="23" fillId="0" borderId="57"/>
    <xf numFmtId="0" fontId="227" fillId="0" borderId="0">
      <alignment horizontal="fill"/>
    </xf>
    <xf numFmtId="293" fontId="198" fillId="63" borderId="4" applyBorder="0">
      <alignment horizontal="right" vertical="center"/>
      <protection locked="0"/>
    </xf>
    <xf numFmtId="167" fontId="10" fillId="0" borderId="0" applyFont="0" applyFill="0" applyBorder="0" applyAlignment="0" applyProtection="0"/>
    <xf numFmtId="294" fontId="10" fillId="0" borderId="0" applyFont="0" applyFill="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2" fontId="228" fillId="90" borderId="0" applyNumberFormat="0" applyBorder="0" applyProtection="0">
      <alignment horizontal="centerContinuous" vertical="center"/>
    </xf>
    <xf numFmtId="0" fontId="89" fillId="0" borderId="0" applyNumberFormat="0" applyFill="0" applyBorder="0" applyAlignment="0" applyProtection="0"/>
    <xf numFmtId="0" fontId="229" fillId="0" borderId="0" applyNumberFormat="0" applyFill="0" applyBorder="0" applyAlignment="0" applyProtection="0"/>
    <xf numFmtId="0" fontId="229" fillId="0" borderId="0" applyNumberFormat="0" applyFill="0" applyBorder="0" applyAlignment="0" applyProtection="0"/>
    <xf numFmtId="0" fontId="229" fillId="0" borderId="0" applyNumberFormat="0" applyFill="0" applyBorder="0" applyAlignment="0" applyProtection="0"/>
    <xf numFmtId="0" fontId="229" fillId="0" borderId="0" applyNumberFormat="0" applyFill="0" applyBorder="0" applyAlignment="0" applyProtection="0"/>
    <xf numFmtId="0" fontId="229" fillId="0" borderId="0" applyNumberFormat="0" applyFill="0" applyBorder="0" applyAlignment="0" applyProtection="0"/>
    <xf numFmtId="0" fontId="229" fillId="0" borderId="0" applyNumberFormat="0" applyFill="0" applyBorder="0" applyAlignment="0" applyProtection="0"/>
    <xf numFmtId="0" fontId="229" fillId="0" borderId="0" applyNumberFormat="0" applyFill="0" applyBorder="0" applyAlignment="0" applyProtection="0"/>
    <xf numFmtId="0" fontId="36" fillId="0" borderId="0" applyNumberFormat="0" applyFill="0" applyBorder="0" applyAlignment="0" applyProtection="0"/>
    <xf numFmtId="0" fontId="230" fillId="0" borderId="0"/>
    <xf numFmtId="1" fontId="230" fillId="0" borderId="0"/>
    <xf numFmtId="295" fontId="115" fillId="0" borderId="0" applyFont="0" applyFill="0" applyBorder="0" applyProtection="0">
      <alignment horizontal="right"/>
    </xf>
    <xf numFmtId="296" fontId="10" fillId="0" borderId="0"/>
    <xf numFmtId="297" fontId="187" fillId="0" borderId="0" applyFill="0" applyBorder="0" applyProtection="0"/>
    <xf numFmtId="0" fontId="10" fillId="0" borderId="0">
      <alignment horizontal="center"/>
    </xf>
    <xf numFmtId="298" fontId="108" fillId="0" borderId="12">
      <alignment horizontal="right"/>
    </xf>
    <xf numFmtId="299" fontId="10" fillId="0" borderId="0" applyFont="0" applyFill="0" applyBorder="0" applyAlignment="0" applyProtection="0"/>
    <xf numFmtId="300" fontId="117" fillId="0" borderId="0" applyFont="0" applyFill="0" applyBorder="0" applyProtection="0">
      <alignment horizontal="right"/>
    </xf>
    <xf numFmtId="0" fontId="10" fillId="0" borderId="0"/>
    <xf numFmtId="274" fontId="10" fillId="0" borderId="0"/>
    <xf numFmtId="0" fontId="44" fillId="0" borderId="0"/>
    <xf numFmtId="44" fontId="5" fillId="0" borderId="0" applyFont="0" applyFill="0" applyBorder="0" applyAlignment="0" applyProtection="0"/>
    <xf numFmtId="43" fontId="5" fillId="0" borderId="0" applyFont="0" applyFill="0" applyBorder="0" applyAlignment="0" applyProtection="0"/>
    <xf numFmtId="0" fontId="88" fillId="0" borderId="110" applyNumberFormat="0" applyFill="0" applyAlignment="0" applyProtection="0"/>
    <xf numFmtId="0" fontId="88" fillId="0" borderId="110" applyNumberFormat="0" applyFill="0" applyAlignment="0" applyProtection="0"/>
    <xf numFmtId="257" fontId="216" fillId="90" borderId="109" applyNumberFormat="0" applyBorder="0" applyAlignment="0" applyProtection="0">
      <alignment vertical="center"/>
    </xf>
    <xf numFmtId="0" fontId="85" fillId="61" borderId="108" applyNumberFormat="0" applyAlignment="0" applyProtection="0"/>
    <xf numFmtId="0" fontId="85" fillId="61" borderId="108" applyNumberFormat="0" applyAlignment="0" applyProtection="0"/>
    <xf numFmtId="0" fontId="55" fillId="66" borderId="107" applyNumberFormat="0" applyFont="0" applyAlignment="0" applyProtection="0"/>
    <xf numFmtId="0" fontId="55" fillId="66" borderId="107" applyNumberFormat="0" applyFont="0" applyAlignment="0" applyProtection="0"/>
    <xf numFmtId="0" fontId="10" fillId="0" borderId="0"/>
    <xf numFmtId="0" fontId="104" fillId="0" borderId="101" applyNumberFormat="0" applyFont="0" applyFill="0" applyAlignment="0" applyProtection="0"/>
    <xf numFmtId="0" fontId="5" fillId="0" borderId="0"/>
    <xf numFmtId="0" fontId="10" fillId="0" borderId="0"/>
    <xf numFmtId="0" fontId="10" fillId="0" borderId="0"/>
    <xf numFmtId="246" fontId="115" fillId="0" borderId="0" applyFont="0" applyFill="0" applyBorder="0" applyProtection="0">
      <alignment horizontal="right"/>
    </xf>
    <xf numFmtId="0" fontId="10" fillId="0" borderId="0"/>
    <xf numFmtId="274" fontId="10" fillId="0" borderId="0"/>
    <xf numFmtId="0" fontId="5" fillId="0" borderId="0"/>
    <xf numFmtId="0" fontId="5" fillId="0" borderId="0"/>
    <xf numFmtId="274" fontId="10" fillId="0" borderId="0"/>
    <xf numFmtId="0" fontId="174" fillId="78" borderId="106">
      <alignment horizontal="left" vertical="center" wrapText="1"/>
    </xf>
    <xf numFmtId="0" fontId="78" fillId="48" borderId="103" applyNumberFormat="0" applyAlignment="0" applyProtection="0"/>
    <xf numFmtId="0" fontId="78" fillId="48" borderId="103" applyNumberFormat="0" applyAlignment="0" applyProtection="0"/>
    <xf numFmtId="1" fontId="151" fillId="75" borderId="102" applyNumberFormat="0" applyBorder="0" applyAlignment="0">
      <alignment horizontal="centerContinuous" vertical="center"/>
      <protection locked="0"/>
    </xf>
    <xf numFmtId="0" fontId="10" fillId="0" borderId="0"/>
    <xf numFmtId="246" fontId="115" fillId="0" borderId="0" applyFont="0" applyFill="0" applyBorder="0" applyProtection="0">
      <alignment horizontal="right"/>
    </xf>
    <xf numFmtId="0" fontId="10" fillId="0" borderId="0"/>
    <xf numFmtId="166" fontId="142" fillId="0" borderId="105">
      <protection locked="0"/>
    </xf>
    <xf numFmtId="0" fontId="10" fillId="0" borderId="0"/>
    <xf numFmtId="0" fontId="5" fillId="0" borderId="0"/>
    <xf numFmtId="0" fontId="61" fillId="61" borderId="103" applyNumberFormat="0" applyAlignment="0" applyProtection="0"/>
    <xf numFmtId="0" fontId="61" fillId="61" borderId="103" applyNumberFormat="0" applyAlignment="0" applyProtection="0"/>
    <xf numFmtId="225" fontId="117" fillId="70" borderId="104"/>
    <xf numFmtId="0" fontId="10" fillId="0" borderId="0"/>
    <xf numFmtId="0" fontId="10" fillId="68" borderId="103" applyNumberFormat="0">
      <alignment horizontal="left" vertical="center"/>
    </xf>
    <xf numFmtId="0" fontId="10" fillId="67" borderId="103" applyNumberFormat="0">
      <alignment horizontal="centerContinuous" vertical="center" wrapText="1"/>
    </xf>
    <xf numFmtId="164" fontId="104" fillId="0" borderId="0" applyFont="0" applyFill="0" applyBorder="0" applyAlignment="0" applyProtection="0"/>
    <xf numFmtId="9" fontId="5" fillId="0" borderId="0" applyFont="0" applyFill="0" applyBorder="0" applyAlignment="0" applyProtection="0"/>
    <xf numFmtId="170" fontId="5"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 fillId="0" borderId="0" applyNumberFormat="0" applyFill="0" applyBorder="0" applyAlignment="0" applyProtection="0"/>
    <xf numFmtId="0" fontId="10" fillId="0" borderId="0"/>
    <xf numFmtId="0" fontId="10" fillId="6" borderId="165" applyNumberFormat="0" applyProtection="0">
      <alignment horizontal="left" vertical="center"/>
    </xf>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10" fillId="0" borderId="0"/>
    <xf numFmtId="9" fontId="2" fillId="0" borderId="0" applyFont="0" applyFill="0" applyBorder="0" applyAlignment="0" applyProtection="0"/>
    <xf numFmtId="43" fontId="240" fillId="0" borderId="0" applyFont="0" applyFill="0" applyBorder="0" applyAlignment="0" applyProtection="0"/>
    <xf numFmtId="0" fontId="240" fillId="0" borderId="0"/>
    <xf numFmtId="9" fontId="2" fillId="0" borderId="0" applyFont="0" applyFill="0" applyBorder="0" applyAlignment="0" applyProtection="0"/>
    <xf numFmtId="0" fontId="40" fillId="0" borderId="0"/>
    <xf numFmtId="170" fontId="40" fillId="0" borderId="0" applyFont="0" applyFill="0" applyBorder="0" applyAlignment="0" applyProtection="0"/>
    <xf numFmtId="43" fontId="55" fillId="0" borderId="0" applyFont="0" applyFill="0" applyBorder="0" applyAlignment="0" applyProtection="0"/>
    <xf numFmtId="169" fontId="10" fillId="0" borderId="0" applyFont="0" applyFill="0" applyBorder="0" applyAlignment="0" applyProtection="0"/>
    <xf numFmtId="0" fontId="2" fillId="0" borderId="0"/>
    <xf numFmtId="0" fontId="2" fillId="0" borderId="0"/>
    <xf numFmtId="0" fontId="54" fillId="0" borderId="0"/>
    <xf numFmtId="0" fontId="40" fillId="0" borderId="0"/>
    <xf numFmtId="0" fontId="54" fillId="0" borderId="0"/>
    <xf numFmtId="9" fontId="40" fillId="0" borderId="0" applyFont="0" applyFill="0" applyBorder="0" applyAlignment="0" applyProtection="0"/>
    <xf numFmtId="9" fontId="40" fillId="0" borderId="0" applyFont="0" applyFill="0" applyBorder="0" applyAlignment="0" applyProtection="0"/>
    <xf numFmtId="0" fontId="10" fillId="0" borderId="0"/>
    <xf numFmtId="0" fontId="10" fillId="0" borderId="0"/>
    <xf numFmtId="0" fontId="2" fillId="0" borderId="0"/>
    <xf numFmtId="0" fontId="2" fillId="0" borderId="0"/>
    <xf numFmtId="43" fontId="10"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10" fillId="6" borderId="165" applyNumberFormat="0" applyProtection="0">
      <alignment horizontal="left" vertical="center"/>
    </xf>
    <xf numFmtId="0" fontId="10" fillId="6" borderId="165" applyNumberFormat="0" applyProtection="0">
      <alignment horizontal="left" vertical="center"/>
    </xf>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40" fillId="0" borderId="0"/>
    <xf numFmtId="43" fontId="40" fillId="0" borderId="0" applyFont="0" applyFill="0" applyBorder="0" applyAlignment="0" applyProtection="0"/>
    <xf numFmtId="9" fontId="40" fillId="0" borderId="0" applyFont="0" applyFill="0" applyBorder="0" applyAlignment="0" applyProtection="0"/>
    <xf numFmtId="0" fontId="40"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40" fillId="0" borderId="0"/>
    <xf numFmtId="170" fontId="40" fillId="0" borderId="0" applyFont="0" applyFill="0" applyBorder="0" applyAlignment="0" applyProtection="0"/>
    <xf numFmtId="0" fontId="2" fillId="0" borderId="0"/>
    <xf numFmtId="0" fontId="2" fillId="0" borderId="0"/>
    <xf numFmtId="9" fontId="40"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61" fillId="61" borderId="103" applyNumberFormat="0" applyAlignment="0" applyProtection="0"/>
    <xf numFmtId="0" fontId="88" fillId="0" borderId="110" applyNumberFormat="0" applyFill="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10" fontId="16" fillId="64" borderId="165" applyNumberFormat="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85" fillId="61" borderId="108" applyNumberFormat="0" applyAlignment="0" applyProtection="0"/>
    <xf numFmtId="0" fontId="78" fillId="48" borderId="103" applyNumberFormat="0" applyAlignment="0" applyProtection="0"/>
    <xf numFmtId="0" fontId="10" fillId="66" borderId="107" applyNumberFormat="0" applyFont="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40"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78" fillId="48" borderId="103" applyNumberFormat="0" applyAlignment="0" applyProtection="0"/>
    <xf numFmtId="0" fontId="78" fillId="48" borderId="103" applyNumberFormat="0" applyAlignment="0" applyProtection="0"/>
    <xf numFmtId="0" fontId="78" fillId="48" borderId="103" applyNumberFormat="0" applyAlignment="0" applyProtection="0"/>
    <xf numFmtId="0" fontId="78" fillId="48" borderId="103" applyNumberFormat="0" applyAlignment="0" applyProtection="0"/>
    <xf numFmtId="0" fontId="40" fillId="0" borderId="0"/>
    <xf numFmtId="0" fontId="2" fillId="0" borderId="0"/>
    <xf numFmtId="0" fontId="2" fillId="0" borderId="0"/>
    <xf numFmtId="9" fontId="40"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2" fillId="0" borderId="0"/>
    <xf numFmtId="9" fontId="40" fillId="0" borderId="0" applyFont="0" applyFill="0" applyBorder="0" applyAlignment="0" applyProtection="0"/>
    <xf numFmtId="0" fontId="40" fillId="0" borderId="0"/>
    <xf numFmtId="9" fontId="40" fillId="0" borderId="0" applyFont="0" applyFill="0" applyBorder="0" applyAlignment="0" applyProtection="0"/>
    <xf numFmtId="0" fontId="40" fillId="0" borderId="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2" fillId="0" borderId="0"/>
    <xf numFmtId="169" fontId="4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40" fillId="0" borderId="0"/>
    <xf numFmtId="170" fontId="40" fillId="0" borderId="0" applyFont="0" applyFill="0" applyBorder="0" applyAlignment="0" applyProtection="0"/>
    <xf numFmtId="0" fontId="2" fillId="0" borderId="0"/>
    <xf numFmtId="0" fontId="2" fillId="0" borderId="0"/>
    <xf numFmtId="9" fontId="40"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40" fillId="0" borderId="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74" fillId="0" borderId="0" applyNumberForma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40" fillId="0" borderId="0"/>
    <xf numFmtId="9" fontId="40" fillId="0" borderId="0" applyFont="0" applyFill="0" applyBorder="0" applyAlignment="0" applyProtection="0"/>
    <xf numFmtId="9" fontId="40" fillId="0" borderId="0" applyFont="0" applyFill="0" applyBorder="0" applyAlignment="0" applyProtection="0"/>
    <xf numFmtId="0" fontId="2" fillId="0" borderId="0"/>
    <xf numFmtId="0" fontId="2" fillId="0" borderId="0"/>
    <xf numFmtId="0" fontId="40" fillId="0" borderId="0"/>
    <xf numFmtId="9" fontId="40"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40"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9" fontId="40" fillId="0" borderId="0" applyFont="0" applyFill="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9" fontId="40"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40"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40" fillId="0" borderId="0" applyFont="0" applyFill="0" applyBorder="0" applyAlignment="0" applyProtection="0"/>
    <xf numFmtId="0" fontId="2" fillId="0" borderId="0"/>
    <xf numFmtId="0" fontId="2" fillId="0" borderId="0"/>
    <xf numFmtId="9" fontId="40" fillId="0" borderId="0" applyFont="0" applyFill="0" applyBorder="0" applyAlignment="0" applyProtection="0"/>
    <xf numFmtId="0" fontId="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40" fillId="0" borderId="0"/>
    <xf numFmtId="0" fontId="2" fillId="0" borderId="0"/>
    <xf numFmtId="0" fontId="2" fillId="0" borderId="0"/>
    <xf numFmtId="9" fontId="4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40" fillId="0" borderId="0" applyFont="0" applyFill="0" applyBorder="0" applyAlignment="0" applyProtection="0"/>
    <xf numFmtId="0" fontId="40" fillId="0" borderId="0"/>
    <xf numFmtId="9" fontId="40" fillId="0" borderId="0" applyFont="0" applyFill="0" applyBorder="0" applyAlignment="0" applyProtection="0"/>
    <xf numFmtId="0" fontId="40" fillId="0" borderId="0"/>
    <xf numFmtId="9" fontId="40" fillId="0" borderId="0" applyFont="0" applyFill="0" applyBorder="0" applyAlignment="0" applyProtection="0"/>
    <xf numFmtId="0" fontId="40" fillId="0" borderId="0"/>
    <xf numFmtId="0" fontId="40" fillId="0" borderId="0"/>
    <xf numFmtId="9" fontId="40" fillId="0" borderId="0" applyFont="0" applyFill="0" applyBorder="0" applyAlignment="0" applyProtection="0"/>
    <xf numFmtId="0" fontId="40" fillId="0" borderId="0"/>
    <xf numFmtId="0" fontId="40" fillId="0" borderId="0"/>
    <xf numFmtId="9" fontId="40" fillId="0" borderId="0" applyFont="0" applyFill="0" applyBorder="0" applyAlignment="0" applyProtection="0"/>
    <xf numFmtId="0" fontId="40" fillId="0" borderId="0"/>
    <xf numFmtId="9" fontId="40" fillId="0" borderId="0" applyFont="0" applyFill="0" applyBorder="0" applyAlignment="0" applyProtection="0"/>
    <xf numFmtId="9" fontId="40"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10" fillId="0" borderId="0"/>
    <xf numFmtId="0" fontId="10" fillId="0" borderId="0"/>
    <xf numFmtId="0" fontId="10"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xf numFmtId="0" fontId="2" fillId="0" borderId="0"/>
    <xf numFmtId="0" fontId="10"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10"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10"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10"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10"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0" fillId="0" borderId="0"/>
    <xf numFmtId="0" fontId="2" fillId="0" borderId="0"/>
    <xf numFmtId="0" fontId="2" fillId="0" borderId="0"/>
    <xf numFmtId="0" fontId="10"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5" borderId="35" applyNumberFormat="0" applyFont="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10" fillId="0" borderId="0"/>
    <xf numFmtId="0" fontId="2" fillId="0" borderId="0"/>
    <xf numFmtId="0" fontId="1" fillId="0" borderId="0"/>
    <xf numFmtId="0" fontId="1" fillId="0" borderId="0"/>
    <xf numFmtId="0" fontId="1" fillId="0" borderId="0"/>
  </cellStyleXfs>
  <cellXfs count="1276">
    <xf numFmtId="0" fontId="0" fillId="0" borderId="0" xfId="0"/>
    <xf numFmtId="0" fontId="0" fillId="0" borderId="0" xfId="0" applyAlignment="1">
      <alignment horizontal="center"/>
    </xf>
    <xf numFmtId="0" fontId="0" fillId="0" borderId="0" xfId="0" applyAlignment="1">
      <alignment horizontal="right"/>
    </xf>
    <xf numFmtId="171" fontId="0" fillId="0" borderId="0" xfId="0" applyNumberFormat="1" applyAlignment="1">
      <alignment horizontal="center"/>
    </xf>
    <xf numFmtId="3" fontId="0" fillId="0" borderId="0" xfId="0" applyNumberFormat="1" applyAlignment="1">
      <alignment horizontal="center"/>
    </xf>
    <xf numFmtId="10" fontId="0" fillId="0" borderId="0" xfId="0" applyNumberFormat="1" applyAlignment="1">
      <alignment horizontal="center"/>
    </xf>
    <xf numFmtId="0" fontId="13" fillId="0" borderId="0" xfId="0" applyFont="1"/>
    <xf numFmtId="0" fontId="13" fillId="0" borderId="0" xfId="0" applyFont="1" applyAlignment="1"/>
    <xf numFmtId="0" fontId="0" fillId="0" borderId="0" xfId="0" applyFill="1" applyAlignment="1">
      <alignment horizontal="center"/>
    </xf>
    <xf numFmtId="175" fontId="0" fillId="0" borderId="0" xfId="0" applyNumberFormat="1" applyAlignment="1">
      <alignment horizontal="center"/>
    </xf>
    <xf numFmtId="9" fontId="0" fillId="0" borderId="0" xfId="0" applyNumberFormat="1" applyAlignment="1">
      <alignment horizontal="center"/>
    </xf>
    <xf numFmtId="3" fontId="0" fillId="0" borderId="0" xfId="0" applyNumberFormat="1" applyFill="1" applyAlignment="1">
      <alignment horizontal="center"/>
    </xf>
    <xf numFmtId="176" fontId="0" fillId="0" borderId="0" xfId="0" applyNumberFormat="1" applyAlignment="1">
      <alignment horizontal="center"/>
    </xf>
    <xf numFmtId="3" fontId="0" fillId="0" borderId="0" xfId="0" applyNumberFormat="1" applyAlignment="1">
      <alignment horizontal="center" wrapText="1"/>
    </xf>
    <xf numFmtId="0" fontId="0" fillId="0" borderId="1" xfId="0" applyBorder="1" applyAlignment="1">
      <alignment horizontal="right"/>
    </xf>
    <xf numFmtId="0" fontId="0" fillId="0" borderId="0" xfId="0" applyFill="1"/>
    <xf numFmtId="0" fontId="0" fillId="0" borderId="0" xfId="0" applyFill="1" applyBorder="1" applyAlignment="1"/>
    <xf numFmtId="0" fontId="0" fillId="0" borderId="2" xfId="0" applyFill="1" applyBorder="1" applyAlignment="1"/>
    <xf numFmtId="0" fontId="15" fillId="0" borderId="3" xfId="0" applyFont="1" applyFill="1" applyBorder="1" applyAlignment="1">
      <alignment horizontal="center"/>
    </xf>
    <xf numFmtId="0" fontId="15" fillId="0" borderId="3" xfId="0" applyFont="1" applyFill="1" applyBorder="1" applyAlignment="1">
      <alignment horizontal="centerContinuous"/>
    </xf>
    <xf numFmtId="178" fontId="0" fillId="0" borderId="0" xfId="1" applyNumberFormat="1" applyFont="1" applyAlignment="1">
      <alignment horizontal="center"/>
    </xf>
    <xf numFmtId="3" fontId="0" fillId="0" borderId="0" xfId="0" applyNumberFormat="1"/>
    <xf numFmtId="0" fontId="0" fillId="0" borderId="4" xfId="0" applyBorder="1"/>
    <xf numFmtId="0" fontId="0" fillId="0" borderId="9" xfId="0" applyBorder="1"/>
    <xf numFmtId="3" fontId="0" fillId="0" borderId="4" xfId="0" applyNumberFormat="1" applyBorder="1"/>
    <xf numFmtId="0" fontId="13" fillId="0" borderId="7" xfId="0" applyFont="1" applyBorder="1"/>
    <xf numFmtId="0" fontId="13" fillId="0" borderId="0" xfId="0" applyFont="1" applyAlignment="1">
      <alignment horizontal="center"/>
    </xf>
    <xf numFmtId="0" fontId="0" fillId="4" borderId="0" xfId="0" applyFill="1" applyAlignment="1">
      <alignment horizontal="center"/>
    </xf>
    <xf numFmtId="0" fontId="0" fillId="4" borderId="0" xfId="0" applyFill="1"/>
    <xf numFmtId="3" fontId="19" fillId="0" borderId="0" xfId="0" applyNumberFormat="1" applyFont="1" applyAlignment="1">
      <alignment horizontal="left"/>
    </xf>
    <xf numFmtId="37" fontId="0" fillId="0" borderId="1" xfId="0" applyNumberFormat="1" applyFill="1" applyBorder="1"/>
    <xf numFmtId="177" fontId="0" fillId="0" borderId="1" xfId="0" applyNumberFormat="1" applyFill="1" applyBorder="1"/>
    <xf numFmtId="178" fontId="10" fillId="0" borderId="1" xfId="1" applyNumberFormat="1" applyFill="1" applyBorder="1"/>
    <xf numFmtId="37" fontId="0" fillId="0" borderId="0" xfId="0" applyNumberFormat="1"/>
    <xf numFmtId="0" fontId="13" fillId="0" borderId="1" xfId="0" applyFont="1" applyBorder="1" applyAlignment="1">
      <alignment horizontal="left" indent="1"/>
    </xf>
    <xf numFmtId="37" fontId="13" fillId="0" borderId="1" xfId="0" applyNumberFormat="1" applyFont="1" applyBorder="1"/>
    <xf numFmtId="0" fontId="13" fillId="0" borderId="1" xfId="0" applyFont="1" applyBorder="1"/>
    <xf numFmtId="37" fontId="0" fillId="0" borderId="1" xfId="0" applyNumberFormat="1" applyBorder="1"/>
    <xf numFmtId="5" fontId="0" fillId="0" borderId="1" xfId="0" applyNumberFormat="1" applyBorder="1"/>
    <xf numFmtId="183" fontId="0" fillId="0" borderId="1" xfId="0" applyNumberFormat="1" applyBorder="1"/>
    <xf numFmtId="5" fontId="13" fillId="0" borderId="1" xfId="0" applyNumberFormat="1" applyFont="1" applyFill="1" applyBorder="1"/>
    <xf numFmtId="0" fontId="13" fillId="0" borderId="0" xfId="0" applyFont="1" applyBorder="1" applyAlignment="1">
      <alignment horizontal="left" indent="1"/>
    </xf>
    <xf numFmtId="37" fontId="13" fillId="0" borderId="0" xfId="0" applyNumberFormat="1" applyFont="1" applyBorder="1"/>
    <xf numFmtId="0" fontId="13" fillId="0" borderId="0" xfId="0" applyFont="1" applyBorder="1"/>
    <xf numFmtId="183" fontId="0" fillId="0" borderId="0" xfId="0" applyNumberFormat="1" applyBorder="1"/>
    <xf numFmtId="5" fontId="13" fillId="0" borderId="0" xfId="0" applyNumberFormat="1" applyFont="1" applyFill="1" applyBorder="1"/>
    <xf numFmtId="3" fontId="0" fillId="0" borderId="15" xfId="0" applyNumberFormat="1" applyBorder="1"/>
    <xf numFmtId="177" fontId="0" fillId="0" borderId="1" xfId="0" applyNumberFormat="1" applyBorder="1" applyAlignment="1">
      <alignment horizontal="center"/>
    </xf>
    <xf numFmtId="5" fontId="13" fillId="0" borderId="1" xfId="0" applyNumberFormat="1" applyFont="1" applyBorder="1"/>
    <xf numFmtId="37" fontId="0" fillId="0" borderId="14" xfId="0" applyNumberFormat="1" applyBorder="1"/>
    <xf numFmtId="5" fontId="0" fillId="0" borderId="15" xfId="0" applyNumberFormat="1" applyFill="1" applyBorder="1"/>
    <xf numFmtId="5" fontId="0" fillId="0" borderId="15" xfId="0" applyNumberFormat="1" applyBorder="1"/>
    <xf numFmtId="0" fontId="10" fillId="0" borderId="0" xfId="0" applyFont="1"/>
    <xf numFmtId="38" fontId="0" fillId="0" borderId="0" xfId="0" applyNumberFormat="1" applyFill="1" applyAlignment="1">
      <alignment horizontal="center"/>
    </xf>
    <xf numFmtId="0" fontId="10" fillId="0" borderId="0" xfId="4"/>
    <xf numFmtId="0" fontId="13" fillId="0" borderId="0" xfId="4" applyFont="1"/>
    <xf numFmtId="0" fontId="21" fillId="0" borderId="0" xfId="4" applyFont="1"/>
    <xf numFmtId="43" fontId="10" fillId="0" borderId="0" xfId="11" applyFont="1"/>
    <xf numFmtId="0" fontId="22" fillId="0" borderId="0" xfId="4" applyFont="1"/>
    <xf numFmtId="43" fontId="16" fillId="0" borderId="0" xfId="11" applyFont="1"/>
    <xf numFmtId="0" fontId="16" fillId="0" borderId="0" xfId="4" applyFont="1"/>
    <xf numFmtId="43" fontId="23" fillId="0" borderId="0" xfId="11" applyFont="1" applyAlignment="1">
      <alignment horizontal="right"/>
    </xf>
    <xf numFmtId="0" fontId="16" fillId="0" borderId="0" xfId="4" applyFont="1" applyAlignment="1">
      <alignment horizontal="right"/>
    </xf>
    <xf numFmtId="0" fontId="18" fillId="7" borderId="1" xfId="0" applyFont="1" applyFill="1" applyBorder="1"/>
    <xf numFmtId="0" fontId="13" fillId="7" borderId="1" xfId="0" applyFont="1" applyFill="1" applyBorder="1"/>
    <xf numFmtId="0" fontId="18" fillId="7" borderId="14" xfId="0" applyFont="1" applyFill="1" applyBorder="1"/>
    <xf numFmtId="0" fontId="13" fillId="7" borderId="11" xfId="0" applyFont="1" applyFill="1" applyBorder="1"/>
    <xf numFmtId="0" fontId="13" fillId="7" borderId="9" xfId="0" applyFont="1" applyFill="1" applyBorder="1" applyAlignment="1">
      <alignment horizontal="center"/>
    </xf>
    <xf numFmtId="0" fontId="13" fillId="7" borderId="9" xfId="0" applyFont="1" applyFill="1" applyBorder="1"/>
    <xf numFmtId="0" fontId="13" fillId="7" borderId="10" xfId="0" applyFont="1" applyFill="1" applyBorder="1"/>
    <xf numFmtId="0" fontId="13" fillId="7" borderId="6" xfId="0" applyFont="1" applyFill="1" applyBorder="1" applyAlignment="1">
      <alignment horizontal="center"/>
    </xf>
    <xf numFmtId="0" fontId="13" fillId="7" borderId="14" xfId="0" applyFont="1" applyFill="1" applyBorder="1" applyAlignment="1">
      <alignment horizontal="center"/>
    </xf>
    <xf numFmtId="0" fontId="13" fillId="7" borderId="16" xfId="0" applyFont="1" applyFill="1" applyBorder="1" applyAlignment="1">
      <alignment horizontal="center"/>
    </xf>
    <xf numFmtId="0" fontId="0" fillId="7" borderId="9" xfId="0" applyFill="1" applyBorder="1"/>
    <xf numFmtId="0" fontId="13" fillId="7" borderId="8" xfId="0" applyFont="1" applyFill="1" applyBorder="1" applyAlignment="1">
      <alignment horizontal="center"/>
    </xf>
    <xf numFmtId="5" fontId="0" fillId="8" borderId="15" xfId="0" applyNumberFormat="1" applyFill="1" applyBorder="1"/>
    <xf numFmtId="0" fontId="18" fillId="0" borderId="16" xfId="0" applyFont="1" applyBorder="1"/>
    <xf numFmtId="0" fontId="10" fillId="0" borderId="4" xfId="0" applyFont="1" applyBorder="1"/>
    <xf numFmtId="0" fontId="13" fillId="7" borderId="13" xfId="0" applyNumberFormat="1" applyFont="1" applyFill="1" applyBorder="1" applyAlignment="1">
      <alignment horizontal="center"/>
    </xf>
    <xf numFmtId="0" fontId="10" fillId="0" borderId="0" xfId="12" applyFont="1" applyAlignment="1">
      <alignment horizontal="center"/>
    </xf>
    <xf numFmtId="170" fontId="10" fillId="0" borderId="0" xfId="13" applyFont="1" applyAlignment="1">
      <alignment horizontal="center"/>
    </xf>
    <xf numFmtId="0" fontId="10" fillId="0" borderId="0" xfId="12" applyFont="1" applyAlignment="1"/>
    <xf numFmtId="0" fontId="10" fillId="0" borderId="0" xfId="12" applyFont="1"/>
    <xf numFmtId="0" fontId="40" fillId="0" borderId="0" xfId="12"/>
    <xf numFmtId="0" fontId="42" fillId="0" borderId="0" xfId="12" applyFont="1" applyBorder="1" applyAlignment="1" applyProtection="1">
      <alignment horizontal="left" vertical="center"/>
      <protection locked="0"/>
    </xf>
    <xf numFmtId="170" fontId="10" fillId="0" borderId="0" xfId="13" applyFont="1" applyAlignment="1" applyProtection="1">
      <alignment horizontal="center"/>
      <protection locked="0"/>
    </xf>
    <xf numFmtId="0" fontId="10" fillId="0" borderId="0" xfId="12" applyFont="1" applyAlignment="1" applyProtection="1">
      <alignment horizontal="center"/>
      <protection locked="0"/>
    </xf>
    <xf numFmtId="0" fontId="10" fillId="0" borderId="0" xfId="12" applyFont="1" applyAlignment="1" applyProtection="1">
      <protection locked="0"/>
    </xf>
    <xf numFmtId="0" fontId="10" fillId="0" borderId="0" xfId="12" applyFont="1" applyProtection="1">
      <protection locked="0"/>
    </xf>
    <xf numFmtId="0" fontId="43" fillId="0" borderId="0" xfId="12" applyFont="1" applyBorder="1" applyAlignment="1">
      <alignment horizontal="left" vertical="center"/>
    </xf>
    <xf numFmtId="170" fontId="42" fillId="0" borderId="0" xfId="13" applyFont="1" applyBorder="1" applyAlignment="1" applyProtection="1">
      <alignment horizontal="left" vertical="center"/>
      <protection locked="0"/>
    </xf>
    <xf numFmtId="0" fontId="13" fillId="0" borderId="0" xfId="12" applyFont="1" applyProtection="1">
      <protection locked="0"/>
    </xf>
    <xf numFmtId="0" fontId="13" fillId="0" borderId="0" xfId="12" applyFont="1"/>
    <xf numFmtId="0" fontId="13" fillId="0" borderId="14" xfId="12" applyFont="1" applyBorder="1" applyAlignment="1" applyProtection="1">
      <alignment horizontal="center"/>
      <protection locked="0"/>
    </xf>
    <xf numFmtId="2" fontId="13" fillId="40" borderId="16" xfId="13" applyNumberFormat="1" applyFont="1" applyFill="1" applyBorder="1" applyAlignment="1" applyProtection="1">
      <alignment horizontal="center" wrapText="1"/>
      <protection locked="0"/>
    </xf>
    <xf numFmtId="2" fontId="13" fillId="40" borderId="1" xfId="13" applyNumberFormat="1" applyFont="1" applyFill="1" applyBorder="1" applyAlignment="1" applyProtection="1">
      <alignment horizontal="center" wrapText="1"/>
      <protection locked="0"/>
    </xf>
    <xf numFmtId="0" fontId="13" fillId="0" borderId="1" xfId="12" applyFont="1" applyBorder="1" applyAlignment="1" applyProtection="1">
      <alignment horizontal="center" wrapText="1"/>
      <protection locked="0"/>
    </xf>
    <xf numFmtId="0" fontId="13" fillId="0" borderId="5" xfId="12" applyFont="1" applyBorder="1" applyProtection="1">
      <protection locked="0"/>
    </xf>
    <xf numFmtId="0" fontId="13" fillId="0" borderId="1" xfId="12" applyFont="1" applyFill="1" applyBorder="1" applyAlignment="1" applyProtection="1">
      <alignment horizontal="center" wrapText="1"/>
      <protection locked="0"/>
    </xf>
    <xf numFmtId="0" fontId="13" fillId="0" borderId="0" xfId="12" applyFont="1" applyFill="1" applyProtection="1">
      <protection locked="0"/>
    </xf>
    <xf numFmtId="17" fontId="10" fillId="0" borderId="1" xfId="12" applyNumberFormat="1" applyFont="1" applyBorder="1" applyAlignment="1" applyProtection="1">
      <alignment horizontal="center"/>
      <protection locked="0"/>
    </xf>
    <xf numFmtId="181" fontId="10" fillId="40" borderId="1" xfId="13" applyNumberFormat="1" applyFont="1" applyFill="1" applyBorder="1" applyAlignment="1" applyProtection="1">
      <alignment horizontal="center"/>
      <protection locked="0"/>
    </xf>
    <xf numFmtId="1" fontId="10" fillId="40" borderId="1" xfId="13" applyNumberFormat="1" applyFont="1" applyFill="1" applyBorder="1" applyAlignment="1" applyProtection="1">
      <alignment horizontal="center"/>
      <protection locked="0"/>
    </xf>
    <xf numFmtId="1" fontId="10" fillId="40" borderId="1" xfId="12" applyNumberFormat="1" applyFont="1" applyFill="1" applyBorder="1" applyProtection="1">
      <protection locked="0"/>
    </xf>
    <xf numFmtId="181" fontId="10" fillId="0" borderId="1" xfId="13" applyNumberFormat="1" applyFont="1" applyFill="1" applyBorder="1" applyAlignment="1" applyProtection="1">
      <alignment horizontal="center"/>
      <protection locked="0"/>
    </xf>
    <xf numFmtId="0" fontId="10" fillId="0" borderId="16" xfId="13" applyNumberFormat="1" applyFont="1" applyFill="1" applyBorder="1" applyAlignment="1" applyProtection="1">
      <protection locked="0"/>
    </xf>
    <xf numFmtId="1" fontId="10" fillId="40" borderId="16" xfId="13" applyNumberFormat="1" applyFont="1" applyFill="1" applyBorder="1" applyAlignment="1" applyProtection="1">
      <protection locked="0"/>
    </xf>
    <xf numFmtId="0" fontId="10" fillId="0" borderId="0" xfId="12" applyFont="1" applyFill="1" applyProtection="1">
      <protection locked="0"/>
    </xf>
    <xf numFmtId="181" fontId="10" fillId="40" borderId="16" xfId="13" applyNumberFormat="1" applyFont="1" applyFill="1" applyBorder="1" applyAlignment="1">
      <alignment horizontal="center"/>
    </xf>
    <xf numFmtId="1" fontId="10" fillId="40" borderId="16" xfId="13" applyNumberFormat="1" applyFont="1" applyFill="1" applyBorder="1" applyAlignment="1">
      <alignment horizontal="center"/>
    </xf>
    <xf numFmtId="181" fontId="10" fillId="0" borderId="16" xfId="13" applyNumberFormat="1" applyFont="1" applyFill="1" applyBorder="1" applyAlignment="1" applyProtection="1">
      <alignment horizontal="center"/>
      <protection locked="0"/>
    </xf>
    <xf numFmtId="1" fontId="10" fillId="40" borderId="16" xfId="13" applyNumberFormat="1" applyFont="1" applyFill="1" applyBorder="1" applyAlignment="1" applyProtection="1">
      <alignment horizontal="center"/>
      <protection locked="0"/>
    </xf>
    <xf numFmtId="1" fontId="10" fillId="40" borderId="16" xfId="12" applyNumberFormat="1" applyFont="1" applyFill="1" applyBorder="1" applyProtection="1">
      <protection locked="0"/>
    </xf>
    <xf numFmtId="181" fontId="10" fillId="41" borderId="16" xfId="13" applyNumberFormat="1" applyFont="1" applyFill="1" applyBorder="1" applyAlignment="1">
      <alignment horizontal="center"/>
    </xf>
    <xf numFmtId="1" fontId="10" fillId="41" borderId="16" xfId="13" applyNumberFormat="1" applyFont="1" applyFill="1" applyBorder="1" applyAlignment="1" applyProtection="1">
      <alignment horizontal="center"/>
      <protection locked="0"/>
    </xf>
    <xf numFmtId="1" fontId="10" fillId="42" borderId="1" xfId="13" applyNumberFormat="1" applyFont="1" applyFill="1" applyBorder="1" applyAlignment="1" applyProtection="1">
      <alignment horizontal="center"/>
      <protection locked="0"/>
    </xf>
    <xf numFmtId="1" fontId="10" fillId="41" borderId="16" xfId="12" applyNumberFormat="1" applyFont="1" applyFill="1" applyBorder="1" applyProtection="1">
      <protection locked="0"/>
    </xf>
    <xf numFmtId="181" fontId="10" fillId="42" borderId="16" xfId="13" applyNumberFormat="1" applyFont="1" applyFill="1" applyBorder="1" applyAlignment="1" applyProtection="1">
      <alignment horizontal="center"/>
      <protection locked="0"/>
    </xf>
    <xf numFmtId="0" fontId="10" fillId="42" borderId="16" xfId="13" applyNumberFormat="1" applyFont="1" applyFill="1" applyBorder="1" applyAlignment="1" applyProtection="1">
      <protection locked="0"/>
    </xf>
    <xf numFmtId="1" fontId="10" fillId="42" borderId="16" xfId="13" applyNumberFormat="1" applyFont="1" applyFill="1" applyBorder="1" applyAlignment="1" applyProtection="1">
      <protection locked="0"/>
    </xf>
    <xf numFmtId="0" fontId="10" fillId="42" borderId="0" xfId="12" applyFont="1" applyFill="1" applyProtection="1">
      <protection locked="0"/>
    </xf>
    <xf numFmtId="181" fontId="10" fillId="42" borderId="1" xfId="13" applyNumberFormat="1" applyFont="1" applyFill="1" applyBorder="1" applyAlignment="1" applyProtection="1">
      <alignment horizontal="center"/>
      <protection locked="0"/>
    </xf>
    <xf numFmtId="181" fontId="10" fillId="0" borderId="1" xfId="13" applyNumberFormat="1" applyFont="1" applyFill="1" applyBorder="1" applyProtection="1">
      <protection locked="0"/>
    </xf>
    <xf numFmtId="1" fontId="10" fillId="40" borderId="16" xfId="13" applyNumberFormat="1" applyFont="1" applyFill="1" applyBorder="1" applyProtection="1">
      <protection locked="0"/>
    </xf>
    <xf numFmtId="181" fontId="10" fillId="42" borderId="16" xfId="13" applyNumberFormat="1" applyFont="1" applyFill="1" applyBorder="1" applyAlignment="1">
      <alignment horizontal="center"/>
    </xf>
    <xf numFmtId="1" fontId="10" fillId="42" borderId="16" xfId="13" applyNumberFormat="1" applyFont="1" applyFill="1" applyBorder="1" applyAlignment="1" applyProtection="1">
      <alignment horizontal="center"/>
      <protection locked="0"/>
    </xf>
    <xf numFmtId="1" fontId="10" fillId="42" borderId="16" xfId="12" applyNumberFormat="1" applyFont="1" applyFill="1" applyBorder="1" applyProtection="1">
      <protection locked="0"/>
    </xf>
    <xf numFmtId="10" fontId="10" fillId="0" borderId="0" xfId="14" applyNumberFormat="1" applyFont="1" applyBorder="1" applyAlignment="1" applyProtection="1">
      <alignment horizontal="center"/>
      <protection locked="0"/>
    </xf>
    <xf numFmtId="9" fontId="10" fillId="0" borderId="0" xfId="14" applyFont="1" applyProtection="1">
      <protection locked="0"/>
    </xf>
    <xf numFmtId="0" fontId="41" fillId="0" borderId="0" xfId="12" applyFont="1"/>
    <xf numFmtId="166" fontId="40" fillId="0" borderId="0" xfId="12" applyNumberFormat="1"/>
    <xf numFmtId="0" fontId="45" fillId="0" borderId="0" xfId="12" applyFont="1"/>
    <xf numFmtId="0" fontId="10" fillId="0" borderId="37" xfId="12" applyFont="1" applyBorder="1"/>
    <xf numFmtId="178" fontId="10" fillId="3" borderId="37" xfId="13" applyNumberFormat="1" applyFont="1" applyFill="1" applyBorder="1"/>
    <xf numFmtId="9" fontId="10" fillId="3" borderId="37" xfId="14" applyFont="1" applyFill="1" applyBorder="1"/>
    <xf numFmtId="1" fontId="10" fillId="0" borderId="37" xfId="12" applyNumberFormat="1" applyFont="1" applyBorder="1"/>
    <xf numFmtId="181" fontId="10" fillId="0" borderId="37" xfId="12" applyNumberFormat="1" applyFont="1" applyBorder="1"/>
    <xf numFmtId="181" fontId="10" fillId="0" borderId="0" xfId="12" applyNumberFormat="1" applyFont="1"/>
    <xf numFmtId="178" fontId="10" fillId="0" borderId="0" xfId="13" applyNumberFormat="1" applyFont="1" applyFill="1" applyBorder="1"/>
    <xf numFmtId="181" fontId="10" fillId="40" borderId="16" xfId="13" applyNumberFormat="1" applyFont="1" applyFill="1" applyBorder="1" applyAlignment="1" applyProtection="1">
      <alignment horizontal="center"/>
      <protection locked="0"/>
    </xf>
    <xf numFmtId="17" fontId="10" fillId="0" borderId="0" xfId="12" applyNumberFormat="1" applyFont="1" applyBorder="1" applyProtection="1">
      <protection locked="0"/>
    </xf>
    <xf numFmtId="0" fontId="10" fillId="0" borderId="1" xfId="13" applyNumberFormat="1" applyFont="1" applyFill="1" applyBorder="1" applyAlignment="1" applyProtection="1">
      <protection locked="0"/>
    </xf>
    <xf numFmtId="0" fontId="10" fillId="0" borderId="1" xfId="13" applyNumberFormat="1" applyFont="1" applyBorder="1" applyAlignment="1" applyProtection="1">
      <protection locked="0"/>
    </xf>
    <xf numFmtId="0" fontId="10" fillId="42" borderId="1" xfId="13" applyNumberFormat="1" applyFont="1" applyFill="1" applyBorder="1" applyAlignment="1" applyProtection="1">
      <protection locked="0"/>
    </xf>
    <xf numFmtId="1" fontId="10" fillId="42" borderId="1" xfId="13" applyNumberFormat="1" applyFont="1" applyFill="1" applyBorder="1" applyAlignment="1" applyProtection="1">
      <protection locked="0"/>
    </xf>
    <xf numFmtId="1" fontId="10" fillId="40" borderId="1" xfId="13" applyNumberFormat="1" applyFont="1" applyFill="1" applyBorder="1" applyAlignment="1" applyProtection="1">
      <protection locked="0"/>
    </xf>
    <xf numFmtId="170" fontId="10" fillId="0" borderId="0" xfId="13" applyFont="1" applyBorder="1"/>
    <xf numFmtId="17" fontId="10" fillId="0" borderId="0" xfId="12" applyNumberFormat="1" applyFont="1" applyBorder="1"/>
    <xf numFmtId="181" fontId="10" fillId="0" borderId="1" xfId="13" applyNumberFormat="1" applyFont="1" applyFill="1" applyBorder="1"/>
    <xf numFmtId="0" fontId="10" fillId="0" borderId="0" xfId="12" applyFont="1" applyBorder="1" applyAlignment="1">
      <alignment horizontal="center"/>
    </xf>
    <xf numFmtId="170" fontId="50" fillId="0" borderId="0" xfId="13" applyFont="1" applyBorder="1" applyAlignment="1">
      <alignment horizontal="center"/>
    </xf>
    <xf numFmtId="0" fontId="50" fillId="0" borderId="0" xfId="12" applyFont="1" applyBorder="1" applyAlignment="1">
      <alignment horizontal="center"/>
    </xf>
    <xf numFmtId="0" fontId="50" fillId="0" borderId="0" xfId="18" applyFont="1" applyBorder="1"/>
    <xf numFmtId="170" fontId="51" fillId="0" borderId="0" xfId="13" applyFont="1" applyBorder="1"/>
    <xf numFmtId="186" fontId="51" fillId="0" borderId="0" xfId="19" applyNumberFormat="1" applyFont="1" applyBorder="1"/>
    <xf numFmtId="0" fontId="13" fillId="0" borderId="0" xfId="4" applyFont="1" applyAlignment="1">
      <alignment horizontal="left"/>
    </xf>
    <xf numFmtId="179" fontId="16" fillId="0" borderId="0" xfId="4" applyNumberFormat="1" applyFont="1" applyAlignment="1">
      <alignment horizontal="right"/>
    </xf>
    <xf numFmtId="179" fontId="10" fillId="0" borderId="0" xfId="4" applyNumberFormat="1"/>
    <xf numFmtId="4" fontId="10" fillId="0" borderId="0" xfId="4" applyNumberFormat="1"/>
    <xf numFmtId="179" fontId="16" fillId="0" borderId="0" xfId="4" applyNumberFormat="1" applyFont="1" applyFill="1" applyBorder="1" applyAlignment="1">
      <alignment horizontal="right"/>
    </xf>
    <xf numFmtId="43" fontId="16" fillId="0" borderId="0" xfId="4" applyNumberFormat="1" applyFont="1" applyFill="1" applyBorder="1" applyAlignment="1">
      <alignment horizontal="right"/>
    </xf>
    <xf numFmtId="179" fontId="16" fillId="0" borderId="5" xfId="4" applyNumberFormat="1" applyFont="1" applyFill="1" applyBorder="1" applyAlignment="1">
      <alignment horizontal="right"/>
    </xf>
    <xf numFmtId="43" fontId="16" fillId="0" borderId="5" xfId="4" applyNumberFormat="1" applyFont="1" applyFill="1" applyBorder="1" applyAlignment="1">
      <alignment horizontal="right"/>
    </xf>
    <xf numFmtId="0" fontId="10" fillId="0" borderId="46" xfId="13" applyNumberFormat="1" applyFont="1" applyFill="1" applyBorder="1" applyAlignment="1" applyProtection="1">
      <protection locked="0"/>
    </xf>
    <xf numFmtId="181" fontId="10" fillId="40" borderId="46" xfId="13" applyNumberFormat="1" applyFont="1" applyFill="1" applyBorder="1" applyAlignment="1" applyProtection="1">
      <protection locked="0"/>
    </xf>
    <xf numFmtId="0" fontId="10" fillId="42" borderId="46" xfId="13" applyNumberFormat="1" applyFont="1" applyFill="1" applyBorder="1" applyAlignment="1" applyProtection="1">
      <protection locked="0"/>
    </xf>
    <xf numFmtId="2" fontId="10" fillId="42" borderId="46" xfId="13" applyNumberFormat="1" applyFont="1" applyFill="1" applyBorder="1" applyAlignment="1" applyProtection="1">
      <protection locked="0"/>
    </xf>
    <xf numFmtId="181" fontId="10" fillId="42" borderId="46" xfId="13" applyNumberFormat="1" applyFont="1" applyFill="1" applyBorder="1" applyAlignment="1" applyProtection="1">
      <protection locked="0"/>
    </xf>
    <xf numFmtId="0" fontId="13" fillId="0" borderId="46" xfId="12" applyFont="1" applyBorder="1" applyAlignment="1" applyProtection="1">
      <alignment horizontal="center" wrapText="1"/>
      <protection locked="0"/>
    </xf>
    <xf numFmtId="0" fontId="10" fillId="0" borderId="46" xfId="13" applyNumberFormat="1" applyFont="1" applyBorder="1" applyAlignment="1" applyProtection="1">
      <protection locked="0"/>
    </xf>
    <xf numFmtId="0" fontId="10" fillId="0" borderId="0" xfId="1500"/>
    <xf numFmtId="0" fontId="38" fillId="0" borderId="0" xfId="1512" applyFont="1" applyAlignment="1">
      <alignment horizontal="center" wrapText="1"/>
    </xf>
    <xf numFmtId="0" fontId="10" fillId="0" borderId="0" xfId="1500" applyAlignment="1">
      <alignment horizontal="center" wrapText="1"/>
    </xf>
    <xf numFmtId="181" fontId="10" fillId="0" borderId="0" xfId="1513" applyNumberFormat="1"/>
    <xf numFmtId="3" fontId="13" fillId="0" borderId="0" xfId="1500" applyNumberFormat="1" applyFont="1" applyBorder="1" applyAlignment="1">
      <alignment horizontal="center"/>
    </xf>
    <xf numFmtId="178" fontId="10" fillId="40" borderId="0" xfId="1500" applyNumberFormat="1" applyFill="1"/>
    <xf numFmtId="181" fontId="10" fillId="0" borderId="0" xfId="1500" applyNumberFormat="1"/>
    <xf numFmtId="3" fontId="10" fillId="0" borderId="0" xfId="1500" applyNumberFormat="1"/>
    <xf numFmtId="181" fontId="13" fillId="0" borderId="0" xfId="1513" applyNumberFormat="1" applyFont="1"/>
    <xf numFmtId="181" fontId="10" fillId="0" borderId="0" xfId="1514" applyNumberFormat="1" applyFont="1"/>
    <xf numFmtId="0" fontId="10" fillId="0" borderId="17" xfId="1500" applyBorder="1"/>
    <xf numFmtId="0" fontId="10" fillId="0" borderId="18" xfId="1500" applyBorder="1" applyAlignment="1">
      <alignment horizontal="center"/>
    </xf>
    <xf numFmtId="0" fontId="10" fillId="0" borderId="19" xfId="1500" applyBorder="1" applyAlignment="1">
      <alignment horizontal="center"/>
    </xf>
    <xf numFmtId="0" fontId="10" fillId="0" borderId="48" xfId="1500" applyFont="1" applyBorder="1"/>
    <xf numFmtId="171" fontId="10" fillId="0" borderId="46" xfId="1500" applyNumberFormat="1" applyFill="1" applyBorder="1" applyAlignment="1">
      <alignment horizontal="center"/>
    </xf>
    <xf numFmtId="171" fontId="10" fillId="0" borderId="46" xfId="1500" applyNumberFormat="1" applyBorder="1" applyAlignment="1">
      <alignment horizontal="center"/>
    </xf>
    <xf numFmtId="171" fontId="10" fillId="0" borderId="46" xfId="1500" applyNumberFormat="1" applyBorder="1"/>
    <xf numFmtId="3" fontId="10" fillId="0" borderId="46" xfId="1500" applyNumberFormat="1" applyBorder="1" applyAlignment="1">
      <alignment horizontal="center"/>
    </xf>
    <xf numFmtId="3" fontId="10" fillId="0" borderId="46" xfId="1500" applyNumberFormat="1" applyBorder="1"/>
    <xf numFmtId="3" fontId="10" fillId="3" borderId="46" xfId="1500" applyNumberFormat="1" applyFill="1" applyBorder="1" applyAlignment="1">
      <alignment horizontal="center"/>
    </xf>
    <xf numFmtId="3" fontId="10" fillId="0" borderId="49" xfId="1500" applyNumberFormat="1" applyBorder="1" applyAlignment="1">
      <alignment horizontal="center"/>
    </xf>
    <xf numFmtId="0" fontId="10" fillId="0" borderId="46" xfId="1500" applyBorder="1"/>
    <xf numFmtId="10" fontId="0" fillId="0" borderId="46" xfId="1263" applyNumberFormat="1" applyFont="1" applyFill="1" applyBorder="1"/>
    <xf numFmtId="0" fontId="10" fillId="0" borderId="20" xfId="1500" applyFont="1" applyFill="1" applyBorder="1"/>
    <xf numFmtId="0" fontId="10" fillId="0" borderId="21" xfId="1500" applyBorder="1"/>
    <xf numFmtId="3" fontId="10" fillId="0" borderId="21" xfId="1500" applyNumberFormat="1" applyBorder="1" applyAlignment="1">
      <alignment horizontal="center"/>
    </xf>
    <xf numFmtId="3" fontId="10" fillId="0" borderId="22" xfId="1500" applyNumberFormat="1" applyBorder="1" applyAlignment="1">
      <alignment horizontal="center"/>
    </xf>
    <xf numFmtId="0" fontId="10" fillId="0" borderId="0" xfId="1500" applyFont="1"/>
    <xf numFmtId="181" fontId="10" fillId="0" borderId="5" xfId="1514" applyNumberFormat="1" applyFont="1" applyBorder="1"/>
    <xf numFmtId="0" fontId="10" fillId="0" borderId="12" xfId="1500" applyFont="1" applyBorder="1"/>
    <xf numFmtId="181" fontId="10" fillId="0" borderId="12" xfId="1514" applyNumberFormat="1" applyFont="1" applyBorder="1"/>
    <xf numFmtId="0" fontId="10" fillId="0" borderId="5" xfId="1500" applyBorder="1"/>
    <xf numFmtId="0" fontId="10" fillId="0" borderId="51" xfId="1500" applyBorder="1"/>
    <xf numFmtId="181" fontId="10" fillId="0" borderId="51" xfId="1514" applyNumberFormat="1" applyFont="1" applyBorder="1"/>
    <xf numFmtId="181" fontId="10" fillId="0" borderId="0" xfId="1513" applyNumberFormat="1" applyAlignment="1">
      <alignment wrapText="1"/>
    </xf>
    <xf numFmtId="0" fontId="10" fillId="0" borderId="0" xfId="1500" applyFont="1" applyAlignment="1">
      <alignment wrapText="1"/>
    </xf>
    <xf numFmtId="0" fontId="10" fillId="3" borderId="0" xfId="1500" applyFont="1" applyFill="1" applyAlignment="1">
      <alignment horizontal="center"/>
    </xf>
    <xf numFmtId="174" fontId="10" fillId="0" borderId="0" xfId="1500" applyNumberFormat="1"/>
    <xf numFmtId="17" fontId="10" fillId="0" borderId="0" xfId="1500" applyNumberFormat="1"/>
    <xf numFmtId="192" fontId="10" fillId="0" borderId="0" xfId="1500" applyNumberFormat="1"/>
    <xf numFmtId="14" fontId="10" fillId="0" borderId="0" xfId="1500" applyNumberFormat="1"/>
    <xf numFmtId="0" fontId="10" fillId="0" borderId="0" xfId="1500" applyAlignment="1">
      <alignment horizontal="right"/>
    </xf>
    <xf numFmtId="0" fontId="10" fillId="0" borderId="0" xfId="1500" applyBorder="1"/>
    <xf numFmtId="171" fontId="10" fillId="0" borderId="0" xfId="1515" applyNumberFormat="1" applyFont="1"/>
    <xf numFmtId="0" fontId="10" fillId="40" borderId="46" xfId="13" applyNumberFormat="1" applyFont="1" applyFill="1" applyBorder="1" applyAlignment="1" applyProtection="1">
      <protection locked="0"/>
    </xf>
    <xf numFmtId="0" fontId="10" fillId="42" borderId="0" xfId="12" applyFont="1" applyFill="1"/>
    <xf numFmtId="181" fontId="10" fillId="42" borderId="1" xfId="13" applyNumberFormat="1" applyFont="1" applyFill="1" applyBorder="1"/>
    <xf numFmtId="17" fontId="10" fillId="42" borderId="1" xfId="12" applyNumberFormat="1" applyFont="1" applyFill="1" applyBorder="1" applyAlignment="1" applyProtection="1">
      <alignment horizontal="center"/>
      <protection locked="0"/>
    </xf>
    <xf numFmtId="181" fontId="10" fillId="0" borderId="0" xfId="12" applyNumberFormat="1" applyFont="1" applyProtection="1">
      <protection locked="0"/>
    </xf>
    <xf numFmtId="0" fontId="13" fillId="0" borderId="0" xfId="12" applyFont="1" applyFill="1" applyBorder="1" applyAlignment="1" applyProtection="1">
      <alignment horizontal="center" wrapText="1"/>
      <protection locked="0"/>
    </xf>
    <xf numFmtId="0" fontId="10" fillId="0" borderId="0" xfId="12" applyFont="1" applyFill="1" applyBorder="1" applyProtection="1">
      <protection locked="0"/>
    </xf>
    <xf numFmtId="170" fontId="10" fillId="0" borderId="0" xfId="13" applyFont="1" applyFill="1" applyBorder="1" applyProtection="1">
      <protection locked="0"/>
    </xf>
    <xf numFmtId="181" fontId="10" fillId="0" borderId="0" xfId="13" applyNumberFormat="1" applyFont="1" applyFill="1" applyBorder="1" applyProtection="1">
      <protection locked="0"/>
    </xf>
    <xf numFmtId="181" fontId="10" fillId="0" borderId="0" xfId="13" applyNumberFormat="1" applyFont="1" applyFill="1" applyBorder="1"/>
    <xf numFmtId="0" fontId="10" fillId="0" borderId="0" xfId="12" applyFont="1" applyFill="1"/>
    <xf numFmtId="37" fontId="10" fillId="0" borderId="37" xfId="12" applyNumberFormat="1" applyFont="1" applyBorder="1"/>
    <xf numFmtId="0" fontId="10" fillId="0" borderId="54" xfId="12" applyFont="1" applyBorder="1"/>
    <xf numFmtId="0" fontId="10" fillId="0" borderId="55" xfId="12" applyFont="1" applyBorder="1" applyAlignment="1">
      <alignment horizontal="center"/>
    </xf>
    <xf numFmtId="0" fontId="10" fillId="3" borderId="55" xfId="12" applyFont="1" applyFill="1" applyBorder="1" applyAlignment="1">
      <alignment horizontal="left"/>
    </xf>
    <xf numFmtId="0" fontId="10" fillId="3" borderId="56" xfId="12" applyFont="1" applyFill="1" applyBorder="1" applyAlignment="1">
      <alignment horizontal="center"/>
    </xf>
    <xf numFmtId="185" fontId="10" fillId="0" borderId="37" xfId="13" applyNumberFormat="1" applyFont="1" applyBorder="1"/>
    <xf numFmtId="179" fontId="10" fillId="0" borderId="37" xfId="13" applyNumberFormat="1" applyFont="1" applyFill="1" applyBorder="1"/>
    <xf numFmtId="178" fontId="10" fillId="0" borderId="37" xfId="13" applyNumberFormat="1" applyFont="1" applyFill="1" applyBorder="1"/>
    <xf numFmtId="43" fontId="10" fillId="0" borderId="37" xfId="13" applyNumberFormat="1" applyFont="1" applyFill="1" applyBorder="1"/>
    <xf numFmtId="9" fontId="10" fillId="3" borderId="37" xfId="2" applyFont="1" applyFill="1" applyBorder="1"/>
    <xf numFmtId="0" fontId="10" fillId="0" borderId="0" xfId="1216"/>
    <xf numFmtId="0" fontId="12" fillId="0" borderId="0" xfId="1216" applyFont="1" applyAlignment="1">
      <alignment horizontal="center"/>
    </xf>
    <xf numFmtId="3" fontId="12" fillId="0" borderId="57" xfId="1216" applyNumberFormat="1" applyFont="1" applyBorder="1" applyAlignment="1">
      <alignment horizontal="center"/>
    </xf>
    <xf numFmtId="3" fontId="10" fillId="0" borderId="57" xfId="1216" applyNumberFormat="1" applyFont="1" applyBorder="1" applyAlignment="1"/>
    <xf numFmtId="3" fontId="10" fillId="0" borderId="57" xfId="1216" applyNumberFormat="1" applyBorder="1" applyAlignment="1"/>
    <xf numFmtId="3" fontId="10" fillId="0" borderId="0" xfId="1216" applyNumberFormat="1" applyAlignment="1">
      <alignment horizontal="center"/>
    </xf>
    <xf numFmtId="173" fontId="10" fillId="0" borderId="0" xfId="1216" applyNumberFormat="1" applyAlignment="1">
      <alignment horizontal="center"/>
    </xf>
    <xf numFmtId="174" fontId="10" fillId="0" borderId="0" xfId="1216" applyNumberFormat="1" applyFill="1" applyAlignment="1">
      <alignment horizontal="center"/>
    </xf>
    <xf numFmtId="3" fontId="10" fillId="0" borderId="0" xfId="1216" applyNumberFormat="1" applyFont="1" applyFill="1" applyAlignment="1">
      <alignment horizontal="center"/>
    </xf>
    <xf numFmtId="3" fontId="10" fillId="0" borderId="0" xfId="1216" applyNumberFormat="1" applyFont="1" applyAlignment="1">
      <alignment horizontal="center"/>
    </xf>
    <xf numFmtId="175" fontId="10" fillId="0" borderId="0" xfId="1216" applyNumberFormat="1" applyAlignment="1">
      <alignment horizontal="center"/>
    </xf>
    <xf numFmtId="194" fontId="10" fillId="0" borderId="0" xfId="1216" applyNumberFormat="1" applyAlignment="1">
      <alignment horizontal="center"/>
    </xf>
    <xf numFmtId="0" fontId="10" fillId="0" borderId="0" xfId="1216" applyAlignment="1">
      <alignment horizontal="center"/>
    </xf>
    <xf numFmtId="3" fontId="10" fillId="2" borderId="0" xfId="1216" applyNumberFormat="1" applyFill="1" applyAlignment="1">
      <alignment horizontal="center"/>
    </xf>
    <xf numFmtId="3" fontId="10" fillId="0" borderId="0" xfId="1216" applyNumberFormat="1" applyFill="1" applyAlignment="1">
      <alignment horizontal="center"/>
    </xf>
    <xf numFmtId="0" fontId="13" fillId="0" borderId="0" xfId="1216" applyFont="1" applyAlignment="1">
      <alignment horizontal="center"/>
    </xf>
    <xf numFmtId="172" fontId="10" fillId="0" borderId="0" xfId="1216" applyNumberFormat="1" applyAlignment="1">
      <alignment horizontal="center"/>
    </xf>
    <xf numFmtId="3" fontId="10" fillId="0" borderId="0" xfId="1216" applyNumberFormat="1" applyFont="1" applyAlignment="1">
      <alignment horizontal="left"/>
    </xf>
    <xf numFmtId="17" fontId="13" fillId="0" borderId="0" xfId="1216" applyNumberFormat="1" applyFont="1" applyAlignment="1">
      <alignment wrapText="1"/>
    </xf>
    <xf numFmtId="3" fontId="10" fillId="0" borderId="0" xfId="5" applyNumberFormat="1" applyAlignment="1">
      <alignment horizontal="center"/>
    </xf>
    <xf numFmtId="0" fontId="13" fillId="0" borderId="0" xfId="1216" applyFont="1"/>
    <xf numFmtId="0" fontId="10" fillId="0" borderId="0" xfId="1216" applyNumberFormat="1" applyBorder="1"/>
    <xf numFmtId="10" fontId="0" fillId="0" borderId="0" xfId="1263" applyNumberFormat="1" applyFont="1" applyAlignment="1">
      <alignment horizontal="center"/>
    </xf>
    <xf numFmtId="17" fontId="10" fillId="0" borderId="0" xfId="1216" applyNumberFormat="1"/>
    <xf numFmtId="0" fontId="13" fillId="0" borderId="0" xfId="1216" applyFont="1" applyAlignment="1">
      <alignment wrapText="1"/>
    </xf>
    <xf numFmtId="173" fontId="13" fillId="0" borderId="0" xfId="1216" applyNumberFormat="1" applyFont="1" applyFill="1" applyAlignment="1">
      <alignment horizontal="center"/>
    </xf>
    <xf numFmtId="173" fontId="10" fillId="0" borderId="0" xfId="1216" applyNumberFormat="1" applyFill="1" applyAlignment="1">
      <alignment horizontal="center"/>
    </xf>
    <xf numFmtId="0" fontId="10" fillId="0" borderId="0" xfId="1216" applyBorder="1" applyAlignment="1">
      <alignment horizontal="center"/>
    </xf>
    <xf numFmtId="3" fontId="10" fillId="0" borderId="0" xfId="1216" applyNumberFormat="1" applyBorder="1" applyAlignment="1">
      <alignment horizontal="center"/>
    </xf>
    <xf numFmtId="3" fontId="10" fillId="0" borderId="4" xfId="1216" applyNumberFormat="1" applyBorder="1" applyAlignment="1">
      <alignment horizontal="center"/>
    </xf>
    <xf numFmtId="0" fontId="10" fillId="0" borderId="0" xfId="1216" applyFont="1" applyBorder="1" applyAlignment="1">
      <alignment horizontal="center"/>
    </xf>
    <xf numFmtId="173" fontId="10" fillId="0" borderId="0" xfId="1216" applyNumberFormat="1" applyFont="1" applyBorder="1" applyAlignment="1">
      <alignment horizontal="center"/>
    </xf>
    <xf numFmtId="173" fontId="10" fillId="0" borderId="12" xfId="1216" applyNumberFormat="1" applyFont="1" applyBorder="1" applyAlignment="1">
      <alignment horizontal="center"/>
    </xf>
    <xf numFmtId="173" fontId="10" fillId="0" borderId="13" xfId="1216" applyNumberFormat="1" applyBorder="1" applyAlignment="1">
      <alignment horizontal="center"/>
    </xf>
    <xf numFmtId="172" fontId="10" fillId="0" borderId="0" xfId="1216" applyNumberFormat="1" applyBorder="1" applyAlignment="1">
      <alignment horizontal="center"/>
    </xf>
    <xf numFmtId="3" fontId="10" fillId="0" borderId="0" xfId="1216" applyNumberFormat="1" applyFont="1" applyBorder="1" applyAlignment="1">
      <alignment horizontal="left"/>
    </xf>
    <xf numFmtId="3" fontId="10" fillId="0" borderId="0" xfId="1216" applyNumberFormat="1" applyFill="1" applyBorder="1" applyAlignment="1">
      <alignment horizontal="center"/>
    </xf>
    <xf numFmtId="181" fontId="10" fillId="0" borderId="1" xfId="12" applyNumberFormat="1" applyFont="1" applyFill="1" applyBorder="1" applyProtection="1">
      <protection locked="0"/>
    </xf>
    <xf numFmtId="171" fontId="10" fillId="0" borderId="1" xfId="2" applyNumberFormat="1" applyFont="1" applyFill="1" applyBorder="1" applyProtection="1">
      <protection locked="0"/>
    </xf>
    <xf numFmtId="171" fontId="10" fillId="42" borderId="1" xfId="2" applyNumberFormat="1" applyFont="1" applyFill="1" applyBorder="1" applyProtection="1">
      <protection locked="0"/>
    </xf>
    <xf numFmtId="171" fontId="10" fillId="3" borderId="0" xfId="12" applyNumberFormat="1" applyFont="1" applyFill="1"/>
    <xf numFmtId="0" fontId="10" fillId="0" borderId="7" xfId="12" applyFont="1" applyBorder="1" applyProtection="1">
      <protection locked="0"/>
    </xf>
    <xf numFmtId="0" fontId="10" fillId="0" borderId="51" xfId="12" applyFont="1" applyBorder="1"/>
    <xf numFmtId="10" fontId="13" fillId="0" borderId="51" xfId="12" applyNumberFormat="1" applyFont="1" applyBorder="1" applyAlignment="1" applyProtection="1">
      <alignment horizontal="center"/>
      <protection locked="0"/>
    </xf>
    <xf numFmtId="0" fontId="10" fillId="0" borderId="51" xfId="12" applyFont="1" applyBorder="1" applyProtection="1">
      <protection locked="0"/>
    </xf>
    <xf numFmtId="0" fontId="13" fillId="0" borderId="53" xfId="12" applyFont="1" applyBorder="1" applyProtection="1">
      <protection locked="0"/>
    </xf>
    <xf numFmtId="0" fontId="10" fillId="0" borderId="53" xfId="12" applyFont="1" applyBorder="1" applyProtection="1">
      <protection locked="0"/>
    </xf>
    <xf numFmtId="10" fontId="10" fillId="0" borderId="53" xfId="12" applyNumberFormat="1" applyFont="1" applyBorder="1" applyAlignment="1" applyProtection="1">
      <alignment horizontal="center"/>
      <protection locked="0"/>
    </xf>
    <xf numFmtId="171" fontId="10" fillId="0" borderId="53" xfId="12" applyNumberFormat="1" applyFont="1" applyBorder="1" applyAlignment="1">
      <alignment horizontal="center"/>
    </xf>
    <xf numFmtId="181" fontId="10" fillId="42" borderId="1" xfId="12" applyNumberFormat="1" applyFont="1" applyFill="1" applyBorder="1" applyProtection="1">
      <protection locked="0"/>
    </xf>
    <xf numFmtId="3" fontId="10" fillId="40" borderId="0" xfId="1216" applyNumberFormat="1" applyFill="1" applyAlignment="1">
      <alignment horizontal="center"/>
    </xf>
    <xf numFmtId="174" fontId="10" fillId="3" borderId="0" xfId="1216" applyNumberFormat="1" applyFill="1" applyAlignment="1">
      <alignment horizontal="center"/>
    </xf>
    <xf numFmtId="174" fontId="10" fillId="3" borderId="0" xfId="1216" applyNumberFormat="1" applyFill="1" applyAlignment="1">
      <alignment horizontal="left"/>
    </xf>
    <xf numFmtId="3" fontId="10" fillId="40" borderId="59" xfId="1216" applyNumberFormat="1" applyFill="1" applyBorder="1" applyAlignment="1">
      <alignment horizontal="center"/>
    </xf>
    <xf numFmtId="3" fontId="10" fillId="40" borderId="60" xfId="1216" applyNumberFormat="1" applyFill="1" applyBorder="1" applyAlignment="1">
      <alignment horizontal="center"/>
    </xf>
    <xf numFmtId="3" fontId="10" fillId="40" borderId="61" xfId="1216" applyNumberFormat="1" applyFill="1" applyBorder="1" applyAlignment="1">
      <alignment horizontal="center"/>
    </xf>
    <xf numFmtId="3" fontId="10" fillId="40" borderId="62" xfId="1216" applyNumberFormat="1" applyFill="1" applyBorder="1" applyAlignment="1">
      <alignment horizontal="center"/>
    </xf>
    <xf numFmtId="3" fontId="10" fillId="40" borderId="37" xfId="1216" applyNumberFormat="1" applyFill="1" applyBorder="1" applyAlignment="1">
      <alignment horizontal="center"/>
    </xf>
    <xf numFmtId="3" fontId="10" fillId="40" borderId="63" xfId="1216" applyNumberFormat="1" applyFill="1" applyBorder="1" applyAlignment="1">
      <alignment horizontal="center"/>
    </xf>
    <xf numFmtId="174" fontId="0" fillId="0" borderId="37" xfId="0" applyNumberFormat="1" applyBorder="1" applyAlignment="1">
      <alignment horizontal="center"/>
    </xf>
    <xf numFmtId="3" fontId="0" fillId="0" borderId="37" xfId="0" applyNumberFormat="1" applyBorder="1" applyAlignment="1">
      <alignment horizontal="center"/>
    </xf>
    <xf numFmtId="175" fontId="0" fillId="0" borderId="37" xfId="0" applyNumberFormat="1" applyBorder="1" applyAlignment="1">
      <alignment horizontal="center"/>
    </xf>
    <xf numFmtId="0" fontId="13" fillId="0" borderId="58" xfId="12" applyFont="1" applyBorder="1"/>
    <xf numFmtId="0" fontId="10" fillId="0" borderId="65" xfId="12" applyFont="1" applyBorder="1"/>
    <xf numFmtId="0" fontId="10" fillId="0" borderId="65" xfId="12" applyFont="1" applyBorder="1" applyProtection="1">
      <protection locked="0"/>
    </xf>
    <xf numFmtId="0" fontId="10" fillId="0" borderId="66" xfId="12" applyFont="1" applyBorder="1" applyProtection="1">
      <protection locked="0"/>
    </xf>
    <xf numFmtId="0" fontId="10" fillId="0" borderId="4" xfId="12" applyFont="1" applyBorder="1"/>
    <xf numFmtId="0" fontId="10" fillId="0" borderId="0" xfId="12" applyFont="1" applyBorder="1"/>
    <xf numFmtId="0" fontId="10" fillId="0" borderId="0" xfId="12" applyFont="1" applyBorder="1" applyProtection="1">
      <protection locked="0"/>
    </xf>
    <xf numFmtId="0" fontId="10" fillId="0" borderId="5" xfId="12" applyFont="1" applyBorder="1" applyProtection="1">
      <protection locked="0"/>
    </xf>
    <xf numFmtId="0" fontId="10" fillId="0" borderId="4" xfId="12" applyFont="1" applyBorder="1" applyProtection="1">
      <protection locked="0"/>
    </xf>
    <xf numFmtId="174" fontId="10" fillId="0" borderId="0" xfId="12" applyNumberFormat="1" applyFont="1" applyBorder="1" applyProtection="1">
      <protection locked="0"/>
    </xf>
    <xf numFmtId="181" fontId="10" fillId="0" borderId="0" xfId="13" applyNumberFormat="1" applyFont="1" applyBorder="1" applyProtection="1">
      <protection locked="0"/>
    </xf>
    <xf numFmtId="10" fontId="10" fillId="0" borderId="0" xfId="14" applyNumberFormat="1" applyFont="1" applyBorder="1" applyProtection="1">
      <protection locked="0"/>
    </xf>
    <xf numFmtId="0" fontId="13" fillId="0" borderId="6" xfId="12" applyFont="1" applyBorder="1"/>
    <xf numFmtId="0" fontId="10" fillId="0" borderId="12" xfId="12" applyFont="1" applyBorder="1" applyProtection="1">
      <protection locked="0"/>
    </xf>
    <xf numFmtId="0" fontId="10" fillId="0" borderId="13" xfId="12" applyFont="1" applyBorder="1" applyProtection="1">
      <protection locked="0"/>
    </xf>
    <xf numFmtId="0" fontId="13" fillId="5" borderId="0" xfId="1216" applyFont="1" applyFill="1" applyAlignment="1">
      <alignment wrapText="1"/>
    </xf>
    <xf numFmtId="173" fontId="10" fillId="0" borderId="0" xfId="1216" applyNumberFormat="1" applyFont="1" applyAlignment="1">
      <alignment horizontal="center"/>
    </xf>
    <xf numFmtId="173" fontId="10" fillId="0" borderId="0" xfId="1216" applyNumberFormat="1" applyFont="1" applyFill="1" applyAlignment="1">
      <alignment horizontal="center"/>
    </xf>
    <xf numFmtId="3" fontId="0" fillId="0" borderId="0" xfId="0" applyNumberFormat="1" applyAlignment="1">
      <alignment horizontal="left"/>
    </xf>
    <xf numFmtId="0" fontId="13" fillId="0" borderId="0" xfId="1216" applyFont="1" applyAlignment="1">
      <alignment vertical="center"/>
    </xf>
    <xf numFmtId="181" fontId="10" fillId="3" borderId="0" xfId="1514" applyNumberFormat="1" applyFont="1" applyFill="1"/>
    <xf numFmtId="0" fontId="10" fillId="0" borderId="58" xfId="1500" applyBorder="1"/>
    <xf numFmtId="0" fontId="10" fillId="0" borderId="65" xfId="1500" applyBorder="1"/>
    <xf numFmtId="181" fontId="13" fillId="0" borderId="65" xfId="1513" applyNumberFormat="1" applyFont="1" applyBorder="1"/>
    <xf numFmtId="181" fontId="10" fillId="0" borderId="65" xfId="1513" applyNumberFormat="1" applyBorder="1"/>
    <xf numFmtId="0" fontId="10" fillId="0" borderId="66" xfId="1500" applyBorder="1"/>
    <xf numFmtId="0" fontId="10" fillId="0" borderId="4" xfId="1500" applyBorder="1"/>
    <xf numFmtId="181" fontId="10" fillId="0" borderId="0" xfId="1513" applyNumberFormat="1" applyBorder="1"/>
    <xf numFmtId="0" fontId="10" fillId="0" borderId="6" xfId="1500" applyBorder="1"/>
    <xf numFmtId="0" fontId="10" fillId="0" borderId="12" xfId="1500" applyBorder="1"/>
    <xf numFmtId="181" fontId="10" fillId="0" borderId="12" xfId="1513" applyNumberFormat="1" applyBorder="1"/>
    <xf numFmtId="181" fontId="10" fillId="0" borderId="0" xfId="1514" applyNumberFormat="1" applyFont="1" applyBorder="1"/>
    <xf numFmtId="0" fontId="13" fillId="0" borderId="65" xfId="1500" applyFont="1" applyBorder="1" applyAlignment="1">
      <alignment wrapText="1"/>
    </xf>
    <xf numFmtId="181" fontId="10" fillId="3" borderId="12" xfId="1500" applyNumberFormat="1" applyFill="1" applyBorder="1"/>
    <xf numFmtId="10" fontId="0" fillId="0" borderId="51" xfId="1263" applyNumberFormat="1" applyFont="1" applyBorder="1" applyAlignment="1">
      <alignment horizontal="center"/>
    </xf>
    <xf numFmtId="10" fontId="0" fillId="0" borderId="53" xfId="1263" applyNumberFormat="1" applyFont="1" applyBorder="1" applyAlignment="1">
      <alignment horizontal="center"/>
    </xf>
    <xf numFmtId="0" fontId="13" fillId="0" borderId="0" xfId="1500" applyFont="1"/>
    <xf numFmtId="0" fontId="10" fillId="0" borderId="48" xfId="1500" applyBorder="1"/>
    <xf numFmtId="10" fontId="10" fillId="0" borderId="46" xfId="1500" applyNumberFormat="1" applyBorder="1"/>
    <xf numFmtId="10" fontId="10" fillId="0" borderId="49" xfId="1500" applyNumberFormat="1" applyBorder="1"/>
    <xf numFmtId="3" fontId="10" fillId="0" borderId="49" xfId="1500" applyNumberFormat="1" applyBorder="1"/>
    <xf numFmtId="0" fontId="10" fillId="0" borderId="20" xfId="1500" applyBorder="1"/>
    <xf numFmtId="3" fontId="10" fillId="0" borderId="21" xfId="1500" applyNumberFormat="1" applyBorder="1"/>
    <xf numFmtId="3" fontId="10" fillId="0" borderId="22" xfId="1500" applyNumberFormat="1" applyBorder="1"/>
    <xf numFmtId="0" fontId="10" fillId="0" borderId="50" xfId="1500" applyBorder="1"/>
    <xf numFmtId="0" fontId="10" fillId="0" borderId="52" xfId="1500" applyBorder="1"/>
    <xf numFmtId="0" fontId="10" fillId="0" borderId="67" xfId="1500" applyBorder="1"/>
    <xf numFmtId="0" fontId="10" fillId="0" borderId="16" xfId="1500" applyBorder="1"/>
    <xf numFmtId="0" fontId="10" fillId="0" borderId="68" xfId="1500" applyBorder="1"/>
    <xf numFmtId="0" fontId="10" fillId="0" borderId="2" xfId="1500" applyBorder="1"/>
    <xf numFmtId="3" fontId="13" fillId="3" borderId="2" xfId="1500" applyNumberFormat="1" applyFont="1" applyFill="1" applyBorder="1"/>
    <xf numFmtId="0" fontId="10" fillId="0" borderId="51" xfId="1500" applyFill="1" applyBorder="1"/>
    <xf numFmtId="0" fontId="10" fillId="0" borderId="53" xfId="1500" applyFill="1" applyBorder="1"/>
    <xf numFmtId="0" fontId="13" fillId="0" borderId="0" xfId="1216" applyFont="1" applyAlignment="1">
      <alignment vertical="center" wrapText="1"/>
    </xf>
    <xf numFmtId="173" fontId="10" fillId="40" borderId="12" xfId="1216" applyNumberFormat="1" applyFont="1" applyFill="1" applyBorder="1" applyAlignment="1">
      <alignment horizontal="center"/>
    </xf>
    <xf numFmtId="173" fontId="10" fillId="40" borderId="6" xfId="1216" applyNumberFormat="1" applyFont="1" applyFill="1" applyBorder="1" applyAlignment="1">
      <alignment horizontal="center"/>
    </xf>
    <xf numFmtId="10" fontId="0" fillId="0" borderId="4" xfId="1263" applyNumberFormat="1" applyFont="1" applyBorder="1" applyAlignment="1">
      <alignment horizontal="center"/>
    </xf>
    <xf numFmtId="173" fontId="10" fillId="0" borderId="4" xfId="1216" applyNumberFormat="1" applyBorder="1" applyAlignment="1">
      <alignment horizontal="center"/>
    </xf>
    <xf numFmtId="173" fontId="10" fillId="0" borderId="6" xfId="1216" applyNumberFormat="1" applyBorder="1" applyAlignment="1">
      <alignment horizontal="center"/>
    </xf>
    <xf numFmtId="173" fontId="10" fillId="0" borderId="12" xfId="1216" applyNumberFormat="1" applyBorder="1" applyAlignment="1">
      <alignment horizontal="center"/>
    </xf>
    <xf numFmtId="3" fontId="10" fillId="0" borderId="7" xfId="1216" applyNumberFormat="1" applyBorder="1" applyAlignment="1">
      <alignment horizontal="center"/>
    </xf>
    <xf numFmtId="3" fontId="10" fillId="0" borderId="51" xfId="1216" applyNumberFormat="1" applyBorder="1" applyAlignment="1">
      <alignment horizontal="center"/>
    </xf>
    <xf numFmtId="173" fontId="10" fillId="0" borderId="0" xfId="1216" applyNumberFormat="1" applyBorder="1" applyAlignment="1">
      <alignment horizontal="center"/>
    </xf>
    <xf numFmtId="10" fontId="13" fillId="0" borderId="7" xfId="1263" applyNumberFormat="1" applyFont="1" applyBorder="1" applyAlignment="1">
      <alignment horizontal="left"/>
    </xf>
    <xf numFmtId="173" fontId="10" fillId="0" borderId="7" xfId="1216" applyNumberFormat="1" applyBorder="1" applyAlignment="1">
      <alignment horizontal="center"/>
    </xf>
    <xf numFmtId="0" fontId="13" fillId="0" borderId="0" xfId="1216" applyFont="1" applyFill="1"/>
    <xf numFmtId="0" fontId="10" fillId="0" borderId="12" xfId="0" applyFont="1" applyBorder="1"/>
    <xf numFmtId="3" fontId="10" fillId="0" borderId="12" xfId="0" applyNumberFormat="1" applyFont="1" applyBorder="1" applyAlignment="1">
      <alignment horizontal="center" wrapText="1"/>
    </xf>
    <xf numFmtId="0" fontId="91" fillId="3" borderId="0" xfId="12" applyFont="1" applyFill="1" applyAlignment="1">
      <alignment horizontal="left"/>
    </xf>
    <xf numFmtId="0" fontId="13" fillId="3" borderId="0" xfId="12" applyFont="1" applyFill="1" applyProtection="1">
      <protection locked="0"/>
    </xf>
    <xf numFmtId="0" fontId="10" fillId="0" borderId="0" xfId="12" applyFont="1" applyBorder="1" applyAlignment="1" applyProtection="1">
      <alignment horizontal="center"/>
      <protection locked="0"/>
    </xf>
    <xf numFmtId="0" fontId="13" fillId="0" borderId="15" xfId="12" applyFont="1" applyBorder="1" applyAlignment="1" applyProtection="1">
      <alignment horizontal="center" wrapText="1"/>
      <protection locked="0"/>
    </xf>
    <xf numFmtId="181" fontId="10" fillId="0" borderId="15" xfId="13" applyNumberFormat="1" applyFont="1" applyFill="1" applyBorder="1" applyAlignment="1" applyProtection="1">
      <alignment horizontal="center"/>
      <protection locked="0"/>
    </xf>
    <xf numFmtId="181" fontId="10" fillId="42" borderId="15" xfId="13" applyNumberFormat="1" applyFont="1" applyFill="1" applyBorder="1" applyAlignment="1" applyProtection="1">
      <alignment horizontal="center"/>
      <protection locked="0"/>
    </xf>
    <xf numFmtId="0" fontId="49" fillId="0" borderId="0" xfId="12" applyFont="1" applyFill="1" applyBorder="1" applyAlignment="1" applyProtection="1">
      <alignment horizontal="center"/>
      <protection locked="0"/>
    </xf>
    <xf numFmtId="181" fontId="10" fillId="0" borderId="0" xfId="12" applyNumberFormat="1" applyFont="1" applyBorder="1"/>
    <xf numFmtId="17" fontId="10" fillId="40" borderId="1" xfId="12" applyNumberFormat="1" applyFont="1" applyFill="1" applyBorder="1" applyAlignment="1" applyProtection="1">
      <alignment horizontal="center"/>
      <protection locked="0"/>
    </xf>
    <xf numFmtId="178" fontId="10" fillId="0" borderId="0" xfId="4" applyNumberFormat="1"/>
    <xf numFmtId="37" fontId="10" fillId="0" borderId="0" xfId="12" applyNumberFormat="1" applyFont="1" applyProtection="1">
      <protection locked="0"/>
    </xf>
    <xf numFmtId="0" fontId="10" fillId="0" borderId="50" xfId="1500" applyBorder="1" applyAlignment="1">
      <alignment horizontal="center"/>
    </xf>
    <xf numFmtId="0" fontId="10" fillId="0" borderId="51" xfId="1500" applyBorder="1" applyAlignment="1">
      <alignment horizontal="center"/>
    </xf>
    <xf numFmtId="0" fontId="10" fillId="0" borderId="52" xfId="1500" applyBorder="1" applyAlignment="1">
      <alignment horizontal="center"/>
    </xf>
    <xf numFmtId="3" fontId="10" fillId="40" borderId="46" xfId="1500" applyNumberFormat="1" applyFill="1" applyBorder="1" applyAlignment="1">
      <alignment horizontal="center"/>
    </xf>
    <xf numFmtId="3" fontId="10" fillId="0" borderId="46" xfId="1500" applyNumberFormat="1" applyFill="1" applyBorder="1" applyAlignment="1">
      <alignment horizontal="center"/>
    </xf>
    <xf numFmtId="181" fontId="10" fillId="40" borderId="0" xfId="1514" applyNumberFormat="1" applyFont="1" applyFill="1"/>
    <xf numFmtId="181" fontId="10" fillId="40" borderId="5" xfId="1514" applyNumberFormat="1" applyFont="1" applyFill="1" applyBorder="1"/>
    <xf numFmtId="181" fontId="10" fillId="40" borderId="12" xfId="1514" applyNumberFormat="1" applyFont="1" applyFill="1" applyBorder="1"/>
    <xf numFmtId="181" fontId="10" fillId="40" borderId="13" xfId="1514" applyNumberFormat="1" applyFont="1" applyFill="1" applyBorder="1"/>
    <xf numFmtId="181" fontId="10" fillId="0" borderId="0" xfId="1514" applyNumberFormat="1" applyFont="1" applyFill="1"/>
    <xf numFmtId="181" fontId="10" fillId="0" borderId="12" xfId="1514" applyNumberFormat="1" applyFont="1" applyFill="1" applyBorder="1"/>
    <xf numFmtId="3" fontId="10" fillId="3" borderId="0" xfId="1500" applyNumberFormat="1" applyFill="1"/>
    <xf numFmtId="0" fontId="92" fillId="0" borderId="0" xfId="1500" applyFont="1"/>
    <xf numFmtId="17" fontId="10" fillId="42" borderId="0" xfId="1500" applyNumberFormat="1" applyFill="1"/>
    <xf numFmtId="181" fontId="10" fillId="42" borderId="0" xfId="1513" applyNumberFormat="1" applyFill="1"/>
    <xf numFmtId="181" fontId="10" fillId="42" borderId="0" xfId="1500" applyNumberFormat="1" applyFill="1"/>
    <xf numFmtId="193" fontId="10" fillId="42" borderId="0" xfId="1500" applyNumberFormat="1" applyFill="1"/>
    <xf numFmtId="0" fontId="10" fillId="42" borderId="0" xfId="1500" applyFill="1"/>
    <xf numFmtId="170" fontId="10" fillId="42" borderId="0" xfId="1500" applyNumberFormat="1" applyFill="1"/>
    <xf numFmtId="174" fontId="10" fillId="40" borderId="0" xfId="1500" applyNumberFormat="1" applyFill="1"/>
    <xf numFmtId="0" fontId="10" fillId="40" borderId="0" xfId="1500" applyFont="1" applyFill="1"/>
    <xf numFmtId="0" fontId="10" fillId="0" borderId="0" xfId="1216" applyFont="1" applyAlignment="1">
      <alignment vertical="center" wrapText="1"/>
    </xf>
    <xf numFmtId="0" fontId="10" fillId="0" borderId="0" xfId="1077"/>
    <xf numFmtId="0" fontId="13" fillId="0" borderId="0" xfId="1077" applyFont="1" applyAlignment="1">
      <alignment horizontal="left"/>
    </xf>
    <xf numFmtId="0" fontId="16" fillId="0" borderId="0" xfId="1077" applyFont="1" applyAlignment="1">
      <alignment horizontal="right" vertical="top"/>
    </xf>
    <xf numFmtId="0" fontId="16" fillId="40" borderId="69" xfId="1077" applyFont="1" applyFill="1" applyBorder="1" applyAlignment="1">
      <alignment horizontal="right" vertical="top"/>
    </xf>
    <xf numFmtId="0" fontId="16" fillId="40" borderId="0" xfId="1077" applyFont="1" applyFill="1" applyAlignment="1">
      <alignment horizontal="right" vertical="top"/>
    </xf>
    <xf numFmtId="0" fontId="13" fillId="40" borderId="46" xfId="1077" applyFont="1" applyFill="1" applyBorder="1" applyAlignment="1">
      <alignment horizontal="center" vertical="center"/>
    </xf>
    <xf numFmtId="0" fontId="10" fillId="0" borderId="48" xfId="1077" applyFill="1" applyBorder="1"/>
    <xf numFmtId="0" fontId="13" fillId="0" borderId="48" xfId="1077" applyFont="1" applyBorder="1" applyAlignment="1">
      <alignment vertical="top"/>
    </xf>
    <xf numFmtId="0" fontId="10" fillId="0" borderId="46" xfId="1077" applyBorder="1" applyAlignment="1">
      <alignment vertical="top" wrapText="1"/>
    </xf>
    <xf numFmtId="181" fontId="10" fillId="40" borderId="46" xfId="1514" applyNumberFormat="1" applyFont="1" applyFill="1" applyBorder="1" applyAlignment="1">
      <alignment horizontal="right" vertical="center"/>
    </xf>
    <xf numFmtId="181" fontId="10" fillId="0" borderId="46" xfId="1514" applyNumberFormat="1" applyFont="1" applyFill="1" applyBorder="1" applyAlignment="1">
      <alignment horizontal="right" vertical="center"/>
    </xf>
    <xf numFmtId="0" fontId="10" fillId="3" borderId="0" xfId="1077" applyFill="1"/>
    <xf numFmtId="0" fontId="10" fillId="40" borderId="46" xfId="1077" applyFill="1" applyBorder="1" applyAlignment="1">
      <alignment horizontal="right" vertical="center"/>
    </xf>
    <xf numFmtId="0" fontId="10" fillId="0" borderId="49" xfId="1077" applyBorder="1" applyAlignment="1">
      <alignment horizontal="right" vertical="center"/>
    </xf>
    <xf numFmtId="0" fontId="10" fillId="40" borderId="46" xfId="1077" applyFont="1" applyFill="1" applyBorder="1" applyAlignment="1">
      <alignment horizontal="right" vertical="center"/>
    </xf>
    <xf numFmtId="174" fontId="10" fillId="0" borderId="46" xfId="1077" applyNumberFormat="1" applyFill="1" applyBorder="1" applyAlignment="1">
      <alignment horizontal="right" vertical="center"/>
    </xf>
    <xf numFmtId="0" fontId="10" fillId="0" borderId="48" xfId="1077" applyFill="1" applyBorder="1" applyAlignment="1">
      <alignment vertical="top"/>
    </xf>
    <xf numFmtId="0" fontId="10" fillId="0" borderId="20" xfId="1077" applyBorder="1" applyAlignment="1">
      <alignment vertical="top"/>
    </xf>
    <xf numFmtId="0" fontId="10" fillId="0" borderId="21" xfId="1077" applyBorder="1" applyAlignment="1">
      <alignment vertical="top" wrapText="1"/>
    </xf>
    <xf numFmtId="174" fontId="10" fillId="0" borderId="21" xfId="1077" applyNumberFormat="1" applyBorder="1" applyAlignment="1">
      <alignment horizontal="right" vertical="center"/>
    </xf>
    <xf numFmtId="174" fontId="10" fillId="0" borderId="22" xfId="1077" applyNumberFormat="1" applyBorder="1" applyAlignment="1">
      <alignment horizontal="right" vertical="center"/>
    </xf>
    <xf numFmtId="0" fontId="95" fillId="0" borderId="0" xfId="1077" applyFont="1"/>
    <xf numFmtId="0" fontId="13" fillId="0" borderId="0" xfId="1077" applyFont="1" applyAlignment="1">
      <alignment horizontal="center"/>
    </xf>
    <xf numFmtId="0" fontId="10" fillId="0" borderId="0" xfId="1077" applyFont="1" applyAlignment="1">
      <alignment horizontal="center"/>
    </xf>
    <xf numFmtId="0" fontId="10" fillId="0" borderId="0" xfId="1077" applyFont="1"/>
    <xf numFmtId="178" fontId="10" fillId="0" borderId="0" xfId="1" applyNumberFormat="1"/>
    <xf numFmtId="178" fontId="10" fillId="40" borderId="46" xfId="1" applyNumberFormat="1" applyFont="1" applyFill="1" applyBorder="1" applyAlignment="1">
      <alignment horizontal="right" vertical="center"/>
    </xf>
    <xf numFmtId="10" fontId="10" fillId="3" borderId="0" xfId="2" applyNumberFormat="1" applyFont="1" applyFill="1" applyBorder="1" applyAlignment="1" applyProtection="1">
      <protection locked="0"/>
    </xf>
    <xf numFmtId="10" fontId="10" fillId="3" borderId="0" xfId="1216" applyNumberFormat="1" applyFill="1" applyBorder="1" applyAlignment="1">
      <alignment horizontal="center"/>
    </xf>
    <xf numFmtId="10" fontId="10" fillId="0" borderId="0" xfId="1216" applyNumberFormat="1" applyFill="1" applyBorder="1" applyAlignment="1">
      <alignment horizontal="center"/>
    </xf>
    <xf numFmtId="10" fontId="10" fillId="0" borderId="5" xfId="1216" applyNumberFormat="1" applyFill="1" applyBorder="1" applyAlignment="1">
      <alignment horizontal="center"/>
    </xf>
    <xf numFmtId="0" fontId="13" fillId="0" borderId="0" xfId="1216" applyFont="1" applyFill="1" applyAlignment="1">
      <alignment wrapText="1"/>
    </xf>
    <xf numFmtId="0" fontId="10" fillId="0" borderId="0" xfId="1216" applyFill="1" applyAlignment="1">
      <alignment horizontal="center"/>
    </xf>
    <xf numFmtId="0" fontId="10" fillId="0" borderId="0" xfId="1216" applyFill="1"/>
    <xf numFmtId="3" fontId="11" fillId="40" borderId="1" xfId="0" applyNumberFormat="1" applyFont="1" applyFill="1" applyBorder="1" applyAlignment="1">
      <alignment horizontal="center"/>
    </xf>
    <xf numFmtId="3" fontId="0" fillId="40" borderId="1" xfId="0" applyNumberFormat="1" applyFill="1" applyBorder="1" applyAlignment="1">
      <alignment horizontal="center"/>
    </xf>
    <xf numFmtId="3" fontId="11" fillId="0" borderId="1" xfId="0" applyNumberFormat="1" applyFont="1" applyFill="1" applyBorder="1" applyAlignment="1">
      <alignment horizontal="center"/>
    </xf>
    <xf numFmtId="176" fontId="0" fillId="3" borderId="0" xfId="0" applyNumberFormat="1" applyFill="1" applyAlignment="1">
      <alignment horizontal="center"/>
    </xf>
    <xf numFmtId="3" fontId="15" fillId="0" borderId="0" xfId="1216" applyNumberFormat="1" applyFont="1" applyFill="1" applyAlignment="1">
      <alignment horizontal="center"/>
    </xf>
    <xf numFmtId="0" fontId="13" fillId="7" borderId="13" xfId="0" applyNumberFormat="1" applyFont="1" applyFill="1" applyBorder="1" applyAlignment="1">
      <alignment horizontal="center"/>
    </xf>
    <xf numFmtId="3" fontId="10" fillId="0" borderId="0" xfId="0" applyNumberFormat="1" applyFont="1" applyAlignment="1">
      <alignment horizontal="center"/>
    </xf>
    <xf numFmtId="9" fontId="10" fillId="3" borderId="0" xfId="0" applyNumberFormat="1" applyFont="1" applyFill="1" applyAlignment="1">
      <alignment horizontal="left"/>
    </xf>
    <xf numFmtId="181" fontId="10" fillId="40" borderId="46" xfId="13" applyNumberFormat="1" applyFont="1" applyFill="1" applyBorder="1" applyAlignment="1" applyProtection="1">
      <alignment horizontal="center"/>
      <protection locked="0"/>
    </xf>
    <xf numFmtId="3" fontId="0" fillId="3" borderId="0" xfId="0" applyNumberFormat="1" applyFill="1" applyAlignment="1">
      <alignment horizontal="center"/>
    </xf>
    <xf numFmtId="0" fontId="0" fillId="3" borderId="0" xfId="0" applyFill="1"/>
    <xf numFmtId="0" fontId="10" fillId="0" borderId="0" xfId="1216" applyFont="1" applyAlignment="1">
      <alignment vertical="center"/>
    </xf>
    <xf numFmtId="177" fontId="0" fillId="40" borderId="1" xfId="0" applyNumberFormat="1" applyFill="1" applyBorder="1"/>
    <xf numFmtId="172" fontId="10" fillId="42" borderId="46" xfId="13" applyNumberFormat="1" applyFont="1" applyFill="1" applyBorder="1" applyAlignment="1" applyProtection="1">
      <protection locked="0"/>
    </xf>
    <xf numFmtId="1" fontId="10" fillId="0" borderId="46" xfId="12" applyNumberFormat="1" applyFont="1" applyBorder="1" applyAlignment="1"/>
    <xf numFmtId="178" fontId="10" fillId="0" borderId="46" xfId="1" applyNumberFormat="1" applyFont="1" applyBorder="1" applyAlignment="1"/>
    <xf numFmtId="0" fontId="10" fillId="3" borderId="0" xfId="12" applyFont="1" applyFill="1" applyAlignment="1"/>
    <xf numFmtId="181" fontId="10" fillId="3" borderId="0" xfId="12" applyNumberFormat="1" applyFont="1" applyFill="1" applyAlignment="1">
      <alignment horizontal="center"/>
    </xf>
    <xf numFmtId="172" fontId="10" fillId="40" borderId="46" xfId="12" applyNumberFormat="1" applyFont="1" applyFill="1" applyBorder="1" applyAlignment="1"/>
    <xf numFmtId="0" fontId="10" fillId="0" borderId="46" xfId="12" applyFont="1" applyBorder="1" applyAlignment="1">
      <alignment horizontal="center"/>
    </xf>
    <xf numFmtId="0" fontId="10" fillId="2" borderId="46" xfId="1216" applyNumberFormat="1" applyFill="1" applyBorder="1" applyAlignment="1">
      <alignment horizontal="center"/>
    </xf>
    <xf numFmtId="3" fontId="10" fillId="2" borderId="46" xfId="1216" applyNumberFormat="1" applyFill="1" applyBorder="1" applyAlignment="1">
      <alignment horizontal="center"/>
    </xf>
    <xf numFmtId="171" fontId="10" fillId="2" borderId="46" xfId="2" applyNumberFormat="1" applyFill="1" applyBorder="1" applyAlignment="1">
      <alignment horizontal="center"/>
    </xf>
    <xf numFmtId="0" fontId="13" fillId="0" borderId="1" xfId="15" applyFont="1" applyFill="1" applyBorder="1" applyAlignment="1">
      <alignment horizontal="center"/>
    </xf>
    <xf numFmtId="0" fontId="13" fillId="0" borderId="1" xfId="15" applyFont="1" applyFill="1" applyBorder="1" applyAlignment="1">
      <alignment horizontal="left"/>
    </xf>
    <xf numFmtId="0" fontId="13" fillId="0" borderId="1" xfId="16" applyFont="1" applyFill="1" applyBorder="1" applyAlignment="1">
      <alignment horizontal="center"/>
    </xf>
    <xf numFmtId="9" fontId="10" fillId="0" borderId="46" xfId="14" applyFont="1" applyFill="1" applyBorder="1" applyProtection="1">
      <protection locked="0"/>
    </xf>
    <xf numFmtId="0" fontId="10" fillId="0" borderId="46" xfId="12" applyFont="1" applyFill="1" applyBorder="1" applyProtection="1">
      <protection locked="0"/>
    </xf>
    <xf numFmtId="174" fontId="10" fillId="40" borderId="46" xfId="12" applyNumberFormat="1" applyFont="1" applyFill="1" applyBorder="1" applyProtection="1">
      <protection locked="0"/>
    </xf>
    <xf numFmtId="181" fontId="10" fillId="40" borderId="46" xfId="12" applyNumberFormat="1" applyFont="1" applyFill="1" applyBorder="1" applyProtection="1">
      <protection locked="0"/>
    </xf>
    <xf numFmtId="182" fontId="0" fillId="0" borderId="1" xfId="0" applyNumberFormat="1" applyFill="1" applyBorder="1"/>
    <xf numFmtId="184" fontId="0" fillId="40" borderId="1" xfId="0" applyNumberFormat="1" applyFill="1" applyBorder="1"/>
    <xf numFmtId="184" fontId="0" fillId="0" borderId="1" xfId="0" applyNumberFormat="1" applyFill="1" applyBorder="1"/>
    <xf numFmtId="5" fontId="13" fillId="0" borderId="0" xfId="0" applyNumberFormat="1" applyFont="1" applyBorder="1"/>
    <xf numFmtId="0" fontId="97" fillId="0" borderId="46" xfId="0" applyFont="1" applyBorder="1"/>
    <xf numFmtId="0" fontId="97" fillId="0" borderId="13" xfId="0" applyNumberFormat="1" applyFont="1" applyBorder="1" applyAlignment="1">
      <alignment horizontal="center"/>
    </xf>
    <xf numFmtId="37" fontId="97" fillId="0" borderId="46" xfId="0" applyNumberFormat="1" applyFont="1" applyBorder="1"/>
    <xf numFmtId="0" fontId="90" fillId="0" borderId="46" xfId="0" applyFont="1" applyBorder="1" applyAlignment="1">
      <alignment horizontal="center"/>
    </xf>
    <xf numFmtId="0" fontId="90" fillId="0" borderId="0" xfId="0" applyFont="1"/>
    <xf numFmtId="183" fontId="90" fillId="0" borderId="46" xfId="0" applyNumberFormat="1" applyFont="1" applyBorder="1"/>
    <xf numFmtId="7" fontId="0" fillId="40" borderId="1" xfId="0" applyNumberFormat="1" applyFill="1" applyBorder="1"/>
    <xf numFmtId="37" fontId="0" fillId="40" borderId="1" xfId="0" applyNumberFormat="1" applyFill="1" applyBorder="1"/>
    <xf numFmtId="10" fontId="10" fillId="40" borderId="1" xfId="2" applyNumberFormat="1" applyFill="1" applyBorder="1"/>
    <xf numFmtId="10" fontId="0" fillId="0" borderId="0" xfId="2" applyNumberFormat="1" applyFont="1"/>
    <xf numFmtId="0" fontId="0" fillId="0" borderId="7" xfId="0" applyBorder="1"/>
    <xf numFmtId="0" fontId="0" fillId="0" borderId="53" xfId="0" applyBorder="1"/>
    <xf numFmtId="174" fontId="13" fillId="0" borderId="0" xfId="0" applyNumberFormat="1" applyFont="1"/>
    <xf numFmtId="0" fontId="0" fillId="40" borderId="0" xfId="0" applyFill="1"/>
    <xf numFmtId="182" fontId="0" fillId="40" borderId="1" xfId="0" applyNumberFormat="1" applyFill="1" applyBorder="1"/>
    <xf numFmtId="0" fontId="10" fillId="3" borderId="0" xfId="12" applyFont="1" applyFill="1" applyAlignment="1">
      <alignment horizontal="left"/>
    </xf>
    <xf numFmtId="2" fontId="13" fillId="40" borderId="46" xfId="13" applyNumberFormat="1" applyFont="1" applyFill="1" applyBorder="1" applyAlignment="1" applyProtection="1">
      <alignment horizontal="center" wrapText="1"/>
      <protection locked="0"/>
    </xf>
    <xf numFmtId="1" fontId="10" fillId="0" borderId="65" xfId="13" applyNumberFormat="1" applyFont="1" applyFill="1" applyBorder="1" applyAlignment="1" applyProtection="1">
      <alignment horizontal="center"/>
      <protection locked="0"/>
    </xf>
    <xf numFmtId="1" fontId="10" fillId="0" borderId="65" xfId="12" applyNumberFormat="1" applyFont="1" applyFill="1" applyBorder="1" applyProtection="1">
      <protection locked="0"/>
    </xf>
    <xf numFmtId="37" fontId="10" fillId="40" borderId="46" xfId="1509" applyNumberFormat="1" applyFont="1" applyFill="1" applyBorder="1" applyAlignment="1">
      <alignment horizontal="center"/>
    </xf>
    <xf numFmtId="37" fontId="10" fillId="42" borderId="46" xfId="1509" applyNumberFormat="1" applyFont="1" applyFill="1" applyBorder="1" applyAlignment="1">
      <alignment horizontal="center"/>
    </xf>
    <xf numFmtId="181" fontId="10" fillId="0" borderId="0" xfId="1513" applyNumberFormat="1" applyFont="1" applyAlignment="1"/>
    <xf numFmtId="0" fontId="48" fillId="0" borderId="0" xfId="12" applyFont="1" applyBorder="1" applyAlignment="1" applyProtection="1">
      <alignment horizontal="center"/>
      <protection locked="0"/>
    </xf>
    <xf numFmtId="181" fontId="10" fillId="3" borderId="0" xfId="1500" applyNumberFormat="1" applyFill="1" applyBorder="1"/>
    <xf numFmtId="0" fontId="0" fillId="3" borderId="2" xfId="0" applyFill="1" applyBorder="1" applyAlignment="1"/>
    <xf numFmtId="0" fontId="0" fillId="0" borderId="0" xfId="0" applyBorder="1"/>
    <xf numFmtId="0" fontId="13" fillId="0" borderId="0" xfId="12" applyFont="1" applyBorder="1"/>
    <xf numFmtId="0" fontId="10" fillId="0" borderId="0" xfId="12" applyFont="1" applyBorder="1" applyAlignment="1">
      <alignment horizontal="right"/>
    </xf>
    <xf numFmtId="181" fontId="10" fillId="0" borderId="0" xfId="12" applyNumberFormat="1" applyFont="1" applyBorder="1" applyAlignment="1">
      <alignment horizontal="center"/>
    </xf>
    <xf numFmtId="178" fontId="0" fillId="0" borderId="0" xfId="1" applyNumberFormat="1" applyFont="1"/>
    <xf numFmtId="178" fontId="0" fillId="0" borderId="0" xfId="0" applyNumberFormat="1"/>
    <xf numFmtId="171" fontId="0" fillId="0" borderId="0" xfId="2" applyNumberFormat="1" applyFont="1"/>
    <xf numFmtId="171" fontId="0" fillId="0" borderId="0" xfId="0" applyNumberFormat="1"/>
    <xf numFmtId="174" fontId="0" fillId="0" borderId="37" xfId="0" applyNumberFormat="1" applyFill="1" applyBorder="1" applyAlignment="1">
      <alignment horizontal="center"/>
    </xf>
    <xf numFmtId="178" fontId="10" fillId="0" borderId="0" xfId="0" applyNumberFormat="1" applyFont="1"/>
    <xf numFmtId="0" fontId="0" fillId="0" borderId="58" xfId="0" applyBorder="1"/>
    <xf numFmtId="0" fontId="0" fillId="0" borderId="65" xfId="0" applyBorder="1"/>
    <xf numFmtId="0" fontId="10" fillId="0" borderId="65" xfId="0" applyFont="1" applyBorder="1"/>
    <xf numFmtId="0" fontId="0" fillId="0" borderId="66" xfId="0" applyBorder="1"/>
    <xf numFmtId="0" fontId="10" fillId="0" borderId="4" xfId="0" applyFont="1" applyFill="1" applyBorder="1"/>
    <xf numFmtId="181" fontId="10" fillId="0" borderId="5" xfId="0" applyNumberFormat="1" applyFont="1" applyBorder="1"/>
    <xf numFmtId="0" fontId="10" fillId="0" borderId="6" xfId="0" applyFont="1" applyBorder="1"/>
    <xf numFmtId="0" fontId="0" fillId="0" borderId="12" xfId="0" applyBorder="1"/>
    <xf numFmtId="181" fontId="10" fillId="0" borderId="13" xfId="0" applyNumberFormat="1" applyFont="1" applyBorder="1"/>
    <xf numFmtId="0" fontId="10" fillId="0" borderId="66" xfId="0" applyFont="1" applyBorder="1"/>
    <xf numFmtId="181" fontId="0" fillId="0" borderId="13" xfId="0" applyNumberFormat="1" applyBorder="1"/>
    <xf numFmtId="178" fontId="0" fillId="0" borderId="0" xfId="0" applyNumberFormat="1" applyFill="1" applyBorder="1"/>
    <xf numFmtId="178" fontId="10" fillId="0" borderId="0" xfId="1500" applyNumberFormat="1"/>
    <xf numFmtId="175" fontId="0" fillId="0" borderId="37" xfId="0" applyNumberFormat="1" applyBorder="1" applyAlignment="1">
      <alignment horizontal="left"/>
    </xf>
    <xf numFmtId="3" fontId="0" fillId="40" borderId="0" xfId="0" applyNumberFormat="1" applyFill="1" applyAlignment="1">
      <alignment horizontal="center"/>
    </xf>
    <xf numFmtId="3" fontId="0" fillId="40" borderId="0" xfId="0" applyNumberFormat="1" applyFill="1"/>
    <xf numFmtId="170" fontId="0" fillId="0" borderId="0" xfId="0" applyNumberFormat="1"/>
    <xf numFmtId="0" fontId="13" fillId="0" borderId="0" xfId="4" applyFont="1" applyAlignment="1">
      <alignment horizontal="center"/>
    </xf>
    <xf numFmtId="0" fontId="10" fillId="0" borderId="0" xfId="1500" applyBorder="1" applyAlignment="1">
      <alignment horizontal="center"/>
    </xf>
    <xf numFmtId="172" fontId="10" fillId="40" borderId="46" xfId="13" applyNumberFormat="1" applyFont="1" applyFill="1" applyBorder="1" applyAlignment="1" applyProtection="1">
      <protection locked="0"/>
    </xf>
    <xf numFmtId="178" fontId="10" fillId="3" borderId="0" xfId="1500" applyNumberFormat="1" applyFill="1"/>
    <xf numFmtId="181" fontId="14" fillId="0" borderId="0" xfId="1513" applyNumberFormat="1" applyFont="1"/>
    <xf numFmtId="0" fontId="10" fillId="0" borderId="58" xfId="1500" applyBorder="1" applyAlignment="1">
      <alignment horizontal="center"/>
    </xf>
    <xf numFmtId="0" fontId="10" fillId="0" borderId="66" xfId="1500" applyBorder="1" applyAlignment="1">
      <alignment horizontal="center"/>
    </xf>
    <xf numFmtId="0" fontId="10" fillId="0" borderId="4" xfId="1500" applyBorder="1" applyAlignment="1">
      <alignment horizontal="center"/>
    </xf>
    <xf numFmtId="0" fontId="10" fillId="0" borderId="5" xfId="1500" applyBorder="1" applyAlignment="1">
      <alignment horizontal="center"/>
    </xf>
    <xf numFmtId="0" fontId="10" fillId="0" borderId="7" xfId="1500" applyBorder="1" applyAlignment="1">
      <alignment horizontal="center"/>
    </xf>
    <xf numFmtId="0" fontId="10" fillId="0" borderId="53" xfId="1500" applyBorder="1" applyAlignment="1">
      <alignment horizontal="center"/>
    </xf>
    <xf numFmtId="181" fontId="10" fillId="0" borderId="65" xfId="1500" applyNumberFormat="1" applyBorder="1"/>
    <xf numFmtId="181" fontId="13" fillId="0" borderId="0" xfId="1513" applyNumberFormat="1" applyFont="1" applyAlignment="1"/>
    <xf numFmtId="0" fontId="10" fillId="0" borderId="46" xfId="12" applyFont="1" applyFill="1" applyBorder="1" applyAlignment="1">
      <alignment horizontal="center"/>
    </xf>
    <xf numFmtId="181" fontId="10" fillId="0" borderId="46" xfId="12" applyNumberFormat="1" applyFont="1" applyFill="1" applyBorder="1" applyAlignment="1">
      <alignment horizontal="center"/>
    </xf>
    <xf numFmtId="181" fontId="10" fillId="0" borderId="0" xfId="1500" applyNumberFormat="1" applyBorder="1"/>
    <xf numFmtId="0" fontId="10" fillId="0" borderId="4" xfId="1500" applyBorder="1" applyAlignment="1">
      <alignment wrapText="1"/>
    </xf>
    <xf numFmtId="0" fontId="6" fillId="0" borderId="0" xfId="1512" applyFont="1" applyBorder="1" applyAlignment="1">
      <alignment horizontal="center" wrapText="1"/>
    </xf>
    <xf numFmtId="3" fontId="13" fillId="0" borderId="5" xfId="1500" applyNumberFormat="1" applyFont="1" applyBorder="1" applyAlignment="1">
      <alignment horizontal="center"/>
    </xf>
    <xf numFmtId="178" fontId="10" fillId="0" borderId="4" xfId="1500" applyNumberFormat="1" applyBorder="1"/>
    <xf numFmtId="3" fontId="10" fillId="0" borderId="0" xfId="1500" applyNumberFormat="1" applyFill="1" applyBorder="1" applyAlignment="1">
      <alignment wrapText="1"/>
    </xf>
    <xf numFmtId="3" fontId="10" fillId="0" borderId="5" xfId="1500" applyNumberFormat="1" applyFont="1" applyBorder="1" applyAlignment="1">
      <alignment horizontal="center"/>
    </xf>
    <xf numFmtId="181" fontId="10" fillId="0" borderId="0" xfId="1513" applyNumberFormat="1" applyFill="1" applyBorder="1"/>
    <xf numFmtId="0" fontId="13" fillId="0" borderId="58" xfId="1500" applyFont="1" applyBorder="1"/>
    <xf numFmtId="178" fontId="10" fillId="0" borderId="6" xfId="1500" applyNumberFormat="1" applyBorder="1"/>
    <xf numFmtId="178" fontId="10" fillId="0" borderId="12" xfId="1500" applyNumberFormat="1" applyFill="1" applyBorder="1"/>
    <xf numFmtId="3" fontId="10" fillId="0" borderId="13" xfId="1500" applyNumberFormat="1" applyFont="1" applyBorder="1" applyAlignment="1">
      <alignment horizontal="center"/>
    </xf>
    <xf numFmtId="195" fontId="10" fillId="0" borderId="0" xfId="1216" applyNumberFormat="1" applyAlignment="1">
      <alignment horizontal="center"/>
    </xf>
    <xf numFmtId="175" fontId="10" fillId="40" borderId="37" xfId="1216" applyNumberFormat="1" applyFill="1" applyBorder="1" applyAlignment="1">
      <alignment horizontal="center"/>
    </xf>
    <xf numFmtId="175" fontId="0" fillId="40" borderId="37" xfId="0" applyNumberFormat="1" applyFill="1" applyBorder="1" applyAlignment="1">
      <alignment horizontal="center"/>
    </xf>
    <xf numFmtId="175" fontId="10" fillId="40" borderId="0" xfId="1216" applyNumberFormat="1" applyFill="1" applyAlignment="1">
      <alignment horizontal="center"/>
    </xf>
    <xf numFmtId="0" fontId="0" fillId="0" borderId="63" xfId="0" applyBorder="1"/>
    <xf numFmtId="175" fontId="0" fillId="0" borderId="0" xfId="0" applyNumberFormat="1" applyBorder="1" applyAlignment="1">
      <alignment horizontal="center"/>
    </xf>
    <xf numFmtId="181" fontId="10" fillId="0" borderId="0" xfId="1513" applyNumberFormat="1" applyFill="1"/>
    <xf numFmtId="181" fontId="10" fillId="40" borderId="0" xfId="1513" applyNumberFormat="1" applyFill="1" applyBorder="1"/>
    <xf numFmtId="185" fontId="10" fillId="40" borderId="12" xfId="1513" applyNumberFormat="1" applyFill="1" applyBorder="1"/>
    <xf numFmtId="178" fontId="0" fillId="3" borderId="51" xfId="0" applyNumberFormat="1" applyFill="1" applyBorder="1"/>
    <xf numFmtId="0" fontId="13" fillId="0" borderId="0" xfId="0" applyFont="1" applyFill="1" applyBorder="1" applyAlignment="1">
      <alignment horizontal="center"/>
    </xf>
    <xf numFmtId="3" fontId="15" fillId="0" borderId="0" xfId="1216" applyNumberFormat="1" applyFont="1" applyFill="1" applyBorder="1" applyAlignment="1">
      <alignment horizontal="center"/>
    </xf>
    <xf numFmtId="171" fontId="15" fillId="0" borderId="0" xfId="2" applyNumberFormat="1" applyFont="1" applyFill="1" applyBorder="1" applyAlignment="1">
      <alignment horizontal="center"/>
    </xf>
    <xf numFmtId="178" fontId="15" fillId="0" borderId="0" xfId="1" applyNumberFormat="1" applyFont="1" applyProtection="1">
      <protection locked="0"/>
    </xf>
    <xf numFmtId="196" fontId="13" fillId="0" borderId="1" xfId="1525" applyNumberFormat="1" applyFont="1" applyBorder="1"/>
    <xf numFmtId="0" fontId="10" fillId="0" borderId="0" xfId="0" applyFont="1" applyFill="1"/>
    <xf numFmtId="0" fontId="0" fillId="0" borderId="5" xfId="0" applyBorder="1"/>
    <xf numFmtId="174" fontId="0" fillId="40" borderId="0" xfId="0" applyNumberFormat="1" applyFill="1" applyBorder="1"/>
    <xf numFmtId="174" fontId="0" fillId="0" borderId="0" xfId="0" applyNumberFormat="1" applyBorder="1"/>
    <xf numFmtId="170" fontId="0" fillId="0" borderId="0" xfId="0" applyNumberFormat="1" applyBorder="1"/>
    <xf numFmtId="170" fontId="0" fillId="0" borderId="5" xfId="0" applyNumberFormat="1" applyBorder="1"/>
    <xf numFmtId="3" fontId="0" fillId="40" borderId="0" xfId="0" applyNumberFormat="1" applyFill="1" applyBorder="1"/>
    <xf numFmtId="10" fontId="0" fillId="0" borderId="0" xfId="2" applyNumberFormat="1" applyFont="1" applyBorder="1"/>
    <xf numFmtId="10" fontId="0" fillId="0" borderId="5" xfId="2" applyNumberFormat="1" applyFont="1" applyBorder="1"/>
    <xf numFmtId="0" fontId="13" fillId="0" borderId="6" xfId="0" applyFont="1" applyBorder="1"/>
    <xf numFmtId="0" fontId="13" fillId="0" borderId="12" xfId="0" applyFont="1" applyBorder="1"/>
    <xf numFmtId="174" fontId="13" fillId="0" borderId="12" xfId="0" applyNumberFormat="1" applyFont="1" applyBorder="1"/>
    <xf numFmtId="3" fontId="0" fillId="0" borderId="12" xfId="0" applyNumberFormat="1" applyBorder="1"/>
    <xf numFmtId="10" fontId="0" fillId="0" borderId="12" xfId="2" applyNumberFormat="1" applyFont="1" applyBorder="1"/>
    <xf numFmtId="10" fontId="0" fillId="0" borderId="13" xfId="2" applyNumberFormat="1" applyFont="1" applyBorder="1"/>
    <xf numFmtId="0" fontId="10" fillId="0" borderId="0" xfId="0" applyFont="1" applyBorder="1"/>
    <xf numFmtId="174" fontId="0" fillId="0" borderId="60" xfId="0" applyNumberFormat="1" applyBorder="1" applyAlignment="1">
      <alignment horizontal="center"/>
    </xf>
    <xf numFmtId="10" fontId="0" fillId="0" borderId="0" xfId="2" applyNumberFormat="1" applyFont="1" applyFill="1"/>
    <xf numFmtId="0" fontId="10" fillId="0" borderId="73" xfId="1216" applyFont="1" applyBorder="1" applyAlignment="1">
      <alignment vertical="center"/>
    </xf>
    <xf numFmtId="0" fontId="10" fillId="0" borderId="15" xfId="1216" applyFont="1" applyBorder="1" applyAlignment="1">
      <alignment vertical="center"/>
    </xf>
    <xf numFmtId="0" fontId="10" fillId="0" borderId="16" xfId="1216" applyFont="1" applyBorder="1" applyAlignment="1">
      <alignment vertical="center"/>
    </xf>
    <xf numFmtId="0" fontId="13" fillId="0" borderId="0" xfId="0" applyFont="1" applyBorder="1" applyAlignment="1">
      <alignment horizontal="center" wrapText="1"/>
    </xf>
    <xf numFmtId="5" fontId="0" fillId="0" borderId="0" xfId="0" applyNumberFormat="1"/>
    <xf numFmtId="7" fontId="0" fillId="0" borderId="0" xfId="0" applyNumberFormat="1"/>
    <xf numFmtId="170" fontId="10" fillId="0" borderId="0" xfId="0" applyNumberFormat="1" applyFont="1"/>
    <xf numFmtId="0" fontId="13" fillId="0" borderId="46" xfId="15" applyFont="1" applyFill="1" applyBorder="1" applyAlignment="1">
      <alignment horizontal="center"/>
    </xf>
    <xf numFmtId="2" fontId="16" fillId="0" borderId="0" xfId="4" applyNumberFormat="1" applyFont="1" applyFill="1" applyBorder="1"/>
    <xf numFmtId="4" fontId="16" fillId="0" borderId="5" xfId="4" applyNumberFormat="1" applyFont="1" applyFill="1" applyBorder="1"/>
    <xf numFmtId="172" fontId="10" fillId="0" borderId="37" xfId="12" applyNumberFormat="1" applyFont="1" applyBorder="1"/>
    <xf numFmtId="1" fontId="10" fillId="0" borderId="46" xfId="12" applyNumberFormat="1" applyFont="1" applyBorder="1" applyAlignment="1">
      <alignment horizontal="center"/>
    </xf>
    <xf numFmtId="172" fontId="10" fillId="0" borderId="0" xfId="12" applyNumberFormat="1" applyFont="1" applyAlignment="1"/>
    <xf numFmtId="175" fontId="10" fillId="0" borderId="0" xfId="1216" applyNumberFormat="1" applyFill="1" applyAlignment="1">
      <alignment horizontal="center"/>
    </xf>
    <xf numFmtId="0" fontId="5" fillId="0" borderId="0" xfId="3258"/>
    <xf numFmtId="0" fontId="38" fillId="0" borderId="0" xfId="3258" applyFont="1"/>
    <xf numFmtId="178" fontId="0" fillId="0" borderId="0" xfId="5987" applyNumberFormat="1" applyFont="1"/>
    <xf numFmtId="178" fontId="110" fillId="0" borderId="0" xfId="1" applyNumberFormat="1" applyFont="1"/>
    <xf numFmtId="0" fontId="110" fillId="0" borderId="7" xfId="3258" applyFont="1" applyBorder="1"/>
    <xf numFmtId="0" fontId="110" fillId="0" borderId="51" xfId="3258" applyFont="1" applyBorder="1"/>
    <xf numFmtId="0" fontId="110" fillId="0" borderId="53" xfId="3258" applyFont="1" applyBorder="1"/>
    <xf numFmtId="0" fontId="225" fillId="0" borderId="0" xfId="3258" applyFont="1"/>
    <xf numFmtId="0" fontId="54" fillId="0" borderId="7" xfId="3258" applyFont="1" applyBorder="1"/>
    <xf numFmtId="0" fontId="54" fillId="0" borderId="51" xfId="3258" applyFont="1" applyBorder="1"/>
    <xf numFmtId="0" fontId="54" fillId="0" borderId="53" xfId="3258" applyFont="1" applyBorder="1"/>
    <xf numFmtId="0" fontId="54" fillId="0" borderId="46" xfId="3258" applyFont="1" applyBorder="1" applyAlignment="1">
      <alignment horizontal="center"/>
    </xf>
    <xf numFmtId="178" fontId="10" fillId="0" borderId="46" xfId="1" applyNumberFormat="1" applyFont="1" applyBorder="1" applyAlignment="1">
      <alignment horizontal="center"/>
    </xf>
    <xf numFmtId="178" fontId="54" fillId="0" borderId="46" xfId="1" applyNumberFormat="1" applyFont="1" applyBorder="1" applyAlignment="1">
      <alignment horizontal="center"/>
    </xf>
    <xf numFmtId="0" fontId="231" fillId="0" borderId="0" xfId="3258" applyFont="1"/>
    <xf numFmtId="0" fontId="110" fillId="0" borderId="0" xfId="3258" applyFont="1"/>
    <xf numFmtId="181" fontId="10" fillId="40" borderId="46" xfId="1513" applyNumberFormat="1" applyFill="1" applyBorder="1"/>
    <xf numFmtId="49" fontId="10" fillId="0" borderId="101" xfId="12" applyNumberFormat="1" applyFont="1" applyBorder="1" applyAlignment="1" applyProtection="1">
      <alignment horizontal="center"/>
      <protection locked="0"/>
    </xf>
    <xf numFmtId="181" fontId="10" fillId="0" borderId="101" xfId="13" applyNumberFormat="1" applyFont="1" applyBorder="1" applyAlignment="1" applyProtection="1">
      <alignment horizontal="center"/>
      <protection locked="0"/>
    </xf>
    <xf numFmtId="10" fontId="10" fillId="0" borderId="101" xfId="14" applyNumberFormat="1" applyFont="1" applyBorder="1" applyAlignment="1" applyProtection="1">
      <alignment horizontal="right"/>
      <protection locked="0"/>
    </xf>
    <xf numFmtId="178" fontId="10" fillId="0" borderId="0" xfId="1500" applyNumberFormat="1" applyBorder="1"/>
    <xf numFmtId="10" fontId="10" fillId="0" borderId="0" xfId="14" applyNumberFormat="1" applyFont="1" applyBorder="1" applyAlignment="1" applyProtection="1">
      <alignment horizontal="right"/>
      <protection locked="0"/>
    </xf>
    <xf numFmtId="10" fontId="10" fillId="0" borderId="5" xfId="14" applyNumberFormat="1" applyFont="1" applyBorder="1" applyAlignment="1" applyProtection="1">
      <alignment horizontal="right"/>
      <protection locked="0"/>
    </xf>
    <xf numFmtId="43" fontId="10" fillId="0" borderId="0" xfId="12" applyNumberFormat="1" applyFont="1"/>
    <xf numFmtId="10" fontId="10" fillId="0" borderId="0" xfId="2" applyNumberFormat="1" applyFont="1"/>
    <xf numFmtId="0" fontId="10" fillId="0" borderId="55" xfId="12" applyFont="1" applyBorder="1" applyAlignment="1">
      <alignment horizontal="left"/>
    </xf>
    <xf numFmtId="173" fontId="233" fillId="0" borderId="0" xfId="1216" applyNumberFormat="1" applyFont="1" applyFill="1" applyAlignment="1">
      <alignment horizontal="center"/>
    </xf>
    <xf numFmtId="0" fontId="233" fillId="0" borderId="0" xfId="1216" applyFont="1" applyFill="1"/>
    <xf numFmtId="0" fontId="234" fillId="0" borderId="0" xfId="1216" applyFont="1" applyFill="1" applyAlignment="1">
      <alignment wrapText="1"/>
    </xf>
    <xf numFmtId="3" fontId="10" fillId="40" borderId="77" xfId="1216" applyNumberFormat="1" applyFill="1" applyBorder="1" applyAlignment="1">
      <alignment horizontal="center"/>
    </xf>
    <xf numFmtId="3" fontId="10" fillId="40" borderId="111" xfId="1216" applyNumberFormat="1" applyFill="1" applyBorder="1" applyAlignment="1">
      <alignment horizontal="center"/>
    </xf>
    <xf numFmtId="3" fontId="10" fillId="40" borderId="112" xfId="1216" applyNumberFormat="1" applyFill="1" applyBorder="1" applyAlignment="1">
      <alignment horizontal="center"/>
    </xf>
    <xf numFmtId="3" fontId="10" fillId="40" borderId="79" xfId="1216" applyNumberFormat="1" applyFill="1" applyBorder="1" applyAlignment="1">
      <alignment horizontal="center"/>
    </xf>
    <xf numFmtId="174" fontId="10" fillId="0" borderId="12" xfId="1216" applyNumberFormat="1" applyFill="1" applyBorder="1" applyAlignment="1">
      <alignment horizontal="center"/>
    </xf>
    <xf numFmtId="3" fontId="10" fillId="0" borderId="12" xfId="1216" applyNumberFormat="1" applyFont="1" applyFill="1" applyBorder="1" applyAlignment="1">
      <alignment horizontal="center"/>
    </xf>
    <xf numFmtId="3" fontId="10" fillId="40" borderId="78" xfId="1216" applyNumberFormat="1" applyFill="1" applyBorder="1" applyAlignment="1">
      <alignment horizontal="center"/>
    </xf>
    <xf numFmtId="3" fontId="10" fillId="40" borderId="113" xfId="1216" applyNumberFormat="1" applyFill="1" applyBorder="1" applyAlignment="1">
      <alignment horizontal="center"/>
    </xf>
    <xf numFmtId="0" fontId="13" fillId="0" borderId="46" xfId="1216" applyFont="1" applyBorder="1" applyAlignment="1">
      <alignment horizontal="center" vertical="center"/>
    </xf>
    <xf numFmtId="0" fontId="13" fillId="0" borderId="46" xfId="1216" applyFont="1" applyBorder="1" applyAlignment="1">
      <alignment horizontal="center" vertical="center" wrapText="1"/>
    </xf>
    <xf numFmtId="0" fontId="110" fillId="0" borderId="46" xfId="3258" applyFont="1" applyBorder="1"/>
    <xf numFmtId="3" fontId="10" fillId="0" borderId="46" xfId="1216" applyNumberFormat="1" applyFont="1" applyFill="1" applyBorder="1" applyAlignment="1">
      <alignment horizontal="center"/>
    </xf>
    <xf numFmtId="3" fontId="110" fillId="0" borderId="46" xfId="3258" applyNumberFormat="1" applyFont="1" applyBorder="1"/>
    <xf numFmtId="175" fontId="110" fillId="0" borderId="46" xfId="3258" applyNumberFormat="1" applyFont="1" applyBorder="1"/>
    <xf numFmtId="3" fontId="110" fillId="0" borderId="0" xfId="3258" applyNumberFormat="1" applyFont="1" applyBorder="1"/>
    <xf numFmtId="175" fontId="110" fillId="0" borderId="0" xfId="3258" applyNumberFormat="1" applyFont="1" applyBorder="1"/>
    <xf numFmtId="173" fontId="233" fillId="0" borderId="4" xfId="1216" applyNumberFormat="1" applyFont="1" applyFill="1" applyBorder="1" applyAlignment="1">
      <alignment horizontal="center"/>
    </xf>
    <xf numFmtId="173" fontId="233" fillId="0" borderId="0" xfId="1216" applyNumberFormat="1" applyFont="1" applyFill="1" applyBorder="1" applyAlignment="1">
      <alignment horizontal="center"/>
    </xf>
    <xf numFmtId="173" fontId="233" fillId="0" borderId="5" xfId="1216" applyNumberFormat="1" applyFont="1" applyFill="1" applyBorder="1" applyAlignment="1">
      <alignment horizontal="center"/>
    </xf>
    <xf numFmtId="3" fontId="110" fillId="0" borderId="0" xfId="3258" applyNumberFormat="1" applyFont="1"/>
    <xf numFmtId="176" fontId="0" fillId="0" borderId="0" xfId="2" applyNumberFormat="1" applyFont="1" applyAlignment="1">
      <alignment horizontal="center"/>
    </xf>
    <xf numFmtId="0" fontId="225" fillId="0" borderId="0" xfId="3258" applyFont="1" applyBorder="1" applyAlignment="1">
      <alignment horizontal="left"/>
    </xf>
    <xf numFmtId="0" fontId="110" fillId="0" borderId="0" xfId="3258" applyFont="1" applyBorder="1"/>
    <xf numFmtId="178" fontId="87" fillId="0" borderId="0" xfId="1" applyNumberFormat="1" applyFont="1" applyBorder="1"/>
    <xf numFmtId="0" fontId="225" fillId="0" borderId="114" xfId="3258" applyFont="1" applyBorder="1" applyAlignment="1">
      <alignment horizontal="center" vertical="center"/>
    </xf>
    <xf numFmtId="0" fontId="110" fillId="0" borderId="114" xfId="3258" applyFont="1" applyBorder="1"/>
    <xf numFmtId="0" fontId="13" fillId="0" borderId="114" xfId="1216" applyFont="1" applyBorder="1" applyAlignment="1">
      <alignment horizontal="center" vertical="center" wrapText="1"/>
    </xf>
    <xf numFmtId="178" fontId="110" fillId="0" borderId="114" xfId="1" applyNumberFormat="1" applyFont="1" applyBorder="1"/>
    <xf numFmtId="178" fontId="54" fillId="0" borderId="114" xfId="1" applyNumberFormat="1" applyFont="1" applyBorder="1"/>
    <xf numFmtId="10" fontId="10" fillId="0" borderId="114" xfId="2" applyNumberFormat="1" applyFont="1" applyFill="1" applyBorder="1" applyAlignment="1" applyProtection="1">
      <protection locked="0"/>
    </xf>
    <xf numFmtId="178" fontId="54" fillId="0" borderId="116" xfId="1" applyNumberFormat="1" applyFont="1" applyBorder="1"/>
    <xf numFmtId="178" fontId="54" fillId="0" borderId="117" xfId="1" applyNumberFormat="1" applyFont="1" applyBorder="1"/>
    <xf numFmtId="178" fontId="54" fillId="0" borderId="115" xfId="1" applyNumberFormat="1" applyFont="1" applyBorder="1"/>
    <xf numFmtId="0" fontId="225" fillId="0" borderId="114" xfId="3258" applyFont="1" applyBorder="1"/>
    <xf numFmtId="178" fontId="225" fillId="0" borderId="114" xfId="1" applyNumberFormat="1" applyFont="1" applyBorder="1"/>
    <xf numFmtId="178" fontId="225" fillId="0" borderId="114" xfId="3258" applyNumberFormat="1" applyFont="1" applyBorder="1"/>
    <xf numFmtId="10" fontId="10" fillId="0" borderId="115" xfId="2" applyNumberFormat="1" applyFont="1" applyFill="1" applyBorder="1" applyAlignment="1" applyProtection="1">
      <protection locked="0"/>
    </xf>
    <xf numFmtId="181" fontId="13" fillId="0" borderId="0" xfId="0" applyNumberFormat="1" applyFont="1" applyFill="1" applyBorder="1"/>
    <xf numFmtId="181" fontId="13" fillId="0" borderId="12" xfId="0" applyNumberFormat="1" applyFont="1" applyBorder="1"/>
    <xf numFmtId="181" fontId="0" fillId="0" borderId="5" xfId="0" applyNumberFormat="1" applyFill="1" applyBorder="1"/>
    <xf numFmtId="0" fontId="13" fillId="0" borderId="114" xfId="1216" applyFont="1" applyBorder="1" applyAlignment="1">
      <alignment horizontal="center" vertical="center"/>
    </xf>
    <xf numFmtId="178" fontId="87" fillId="0" borderId="114" xfId="1" applyNumberFormat="1" applyFont="1" applyBorder="1"/>
    <xf numFmtId="0" fontId="54" fillId="0" borderId="114" xfId="3258" applyFont="1" applyBorder="1" applyAlignment="1">
      <alignment horizontal="center"/>
    </xf>
    <xf numFmtId="178" fontId="54" fillId="0" borderId="0" xfId="1" applyNumberFormat="1" applyFont="1"/>
    <xf numFmtId="0" fontId="54" fillId="0" borderId="0" xfId="3258" applyFont="1"/>
    <xf numFmtId="178" fontId="110" fillId="0" borderId="0" xfId="3258" applyNumberFormat="1" applyFont="1"/>
    <xf numFmtId="178" fontId="54" fillId="0" borderId="37" xfId="1" applyNumberFormat="1" applyFont="1" applyBorder="1"/>
    <xf numFmtId="38" fontId="54" fillId="0" borderId="37" xfId="1" applyNumberFormat="1" applyFont="1" applyBorder="1"/>
    <xf numFmtId="38" fontId="54" fillId="0" borderId="79" xfId="1" applyNumberFormat="1" applyFont="1" applyBorder="1"/>
    <xf numFmtId="178" fontId="54" fillId="0" borderId="62" xfId="1" applyNumberFormat="1" applyFont="1" applyBorder="1"/>
    <xf numFmtId="38" fontId="54" fillId="0" borderId="62" xfId="1" applyNumberFormat="1" applyFont="1" applyBorder="1"/>
    <xf numFmtId="38" fontId="54" fillId="0" borderId="78" xfId="1" applyNumberFormat="1" applyFont="1" applyBorder="1"/>
    <xf numFmtId="178" fontId="54" fillId="0" borderId="74" xfId="1" applyNumberFormat="1" applyFont="1" applyBorder="1"/>
    <xf numFmtId="178" fontId="110" fillId="0" borderId="60" xfId="1" applyNumberFormat="1" applyFont="1" applyBorder="1" applyAlignment="1">
      <alignment horizontal="center"/>
    </xf>
    <xf numFmtId="178" fontId="110" fillId="0" borderId="76" xfId="1" applyNumberFormat="1" applyFont="1" applyBorder="1" applyAlignment="1">
      <alignment horizontal="center"/>
    </xf>
    <xf numFmtId="38" fontId="54" fillId="0" borderId="60" xfId="1" applyNumberFormat="1" applyFont="1" applyBorder="1"/>
    <xf numFmtId="38" fontId="54" fillId="0" borderId="59" xfId="1" applyNumberFormat="1" applyFont="1" applyBorder="1"/>
    <xf numFmtId="38" fontId="54" fillId="0" borderId="79" xfId="1" applyNumberFormat="1" applyFont="1" applyFill="1" applyBorder="1"/>
    <xf numFmtId="171" fontId="54" fillId="0" borderId="74" xfId="2" applyNumberFormat="1" applyFont="1" applyBorder="1"/>
    <xf numFmtId="171" fontId="54" fillId="0" borderId="75" xfId="2" applyNumberFormat="1" applyFont="1" applyFill="1" applyBorder="1"/>
    <xf numFmtId="171" fontId="54" fillId="0" borderId="76" xfId="2" applyNumberFormat="1" applyFont="1" applyBorder="1"/>
    <xf numFmtId="171" fontId="54" fillId="0" borderId="75" xfId="2" applyNumberFormat="1" applyFont="1" applyBorder="1"/>
    <xf numFmtId="38" fontId="54" fillId="0" borderId="118" xfId="1" applyNumberFormat="1" applyFont="1" applyFill="1" applyBorder="1"/>
    <xf numFmtId="171" fontId="54" fillId="0" borderId="119" xfId="2" applyNumberFormat="1" applyFont="1" applyFill="1" applyBorder="1"/>
    <xf numFmtId="38" fontId="54" fillId="0" borderId="120" xfId="1" applyNumberFormat="1" applyFont="1" applyFill="1" applyBorder="1"/>
    <xf numFmtId="197" fontId="54" fillId="0" borderId="79" xfId="1" applyNumberFormat="1" applyFont="1" applyFill="1" applyBorder="1"/>
    <xf numFmtId="0" fontId="110" fillId="0" borderId="12" xfId="3258" applyFont="1" applyBorder="1"/>
    <xf numFmtId="178" fontId="54" fillId="0" borderId="0" xfId="3258" applyNumberFormat="1" applyFont="1"/>
    <xf numFmtId="180" fontId="54" fillId="0" borderId="0" xfId="3258" applyNumberFormat="1" applyFont="1"/>
    <xf numFmtId="214" fontId="54" fillId="0" borderId="0" xfId="3258" applyNumberFormat="1" applyFont="1"/>
    <xf numFmtId="178" fontId="54" fillId="0" borderId="12" xfId="3258" applyNumberFormat="1" applyFont="1" applyBorder="1"/>
    <xf numFmtId="178" fontId="225" fillId="0" borderId="0" xfId="3258" applyNumberFormat="1" applyFont="1"/>
    <xf numFmtId="38" fontId="87" fillId="0" borderId="118" xfId="1" applyNumberFormat="1" applyFont="1" applyFill="1" applyBorder="1"/>
    <xf numFmtId="38" fontId="54" fillId="0" borderId="111" xfId="1" applyNumberFormat="1" applyFont="1" applyFill="1" applyBorder="1"/>
    <xf numFmtId="38" fontId="87" fillId="0" borderId="79" xfId="1" applyNumberFormat="1" applyFont="1" applyFill="1" applyBorder="1"/>
    <xf numFmtId="178" fontId="54" fillId="0" borderId="0" xfId="3258" applyNumberFormat="1" applyFont="1" applyBorder="1"/>
    <xf numFmtId="38" fontId="87" fillId="0" borderId="111" xfId="1" applyNumberFormat="1" applyFont="1" applyFill="1" applyBorder="1"/>
    <xf numFmtId="43" fontId="54" fillId="0" borderId="0" xfId="1" applyFont="1"/>
    <xf numFmtId="180" fontId="54" fillId="0" borderId="0" xfId="1" applyNumberFormat="1" applyFont="1"/>
    <xf numFmtId="0" fontId="54" fillId="0" borderId="121" xfId="1" applyNumberFormat="1" applyFont="1" applyBorder="1"/>
    <xf numFmtId="0" fontId="54" fillId="0" borderId="12" xfId="1" applyNumberFormat="1" applyFont="1" applyBorder="1"/>
    <xf numFmtId="43" fontId="110" fillId="0" borderId="0" xfId="3258" applyNumberFormat="1" applyFont="1"/>
    <xf numFmtId="180" fontId="110" fillId="0" borderId="0" xfId="3258" applyNumberFormat="1" applyFont="1"/>
    <xf numFmtId="301" fontId="54" fillId="0" borderId="0" xfId="3258" applyNumberFormat="1" applyFont="1"/>
    <xf numFmtId="302" fontId="54" fillId="0" borderId="0" xfId="3258" applyNumberFormat="1" applyFont="1"/>
    <xf numFmtId="0" fontId="110" fillId="0" borderId="0" xfId="3258" applyNumberFormat="1" applyFont="1"/>
    <xf numFmtId="0" fontId="110" fillId="0" borderId="77" xfId="3258" applyFont="1" applyBorder="1"/>
    <xf numFmtId="0" fontId="225" fillId="0" borderId="12" xfId="3258" applyFont="1" applyBorder="1"/>
    <xf numFmtId="178" fontId="110" fillId="0" borderId="12" xfId="3258" applyNumberFormat="1" applyFont="1" applyBorder="1"/>
    <xf numFmtId="38" fontId="87" fillId="0" borderId="122" xfId="1" applyNumberFormat="1" applyFont="1" applyFill="1" applyBorder="1"/>
    <xf numFmtId="0" fontId="54" fillId="0" borderId="61" xfId="1" applyNumberFormat="1" applyFont="1" applyBorder="1"/>
    <xf numFmtId="178" fontId="110" fillId="0" borderId="0" xfId="3258" applyNumberFormat="1" applyFont="1" applyBorder="1"/>
    <xf numFmtId="38" fontId="87" fillId="0" borderId="0" xfId="1" applyNumberFormat="1" applyFont="1" applyFill="1" applyBorder="1"/>
    <xf numFmtId="0" fontId="225" fillId="0" borderId="0" xfId="3258" applyFont="1" applyBorder="1"/>
    <xf numFmtId="38" fontId="54" fillId="0" borderId="0" xfId="1" applyNumberFormat="1" applyFont="1" applyFill="1" applyBorder="1"/>
    <xf numFmtId="178" fontId="54" fillId="0" borderId="0" xfId="1" applyNumberFormat="1" applyFont="1" applyBorder="1"/>
    <xf numFmtId="0" fontId="54" fillId="0" borderId="0" xfId="3258" applyFont="1" applyBorder="1"/>
    <xf numFmtId="178" fontId="110" fillId="0" borderId="0" xfId="1" applyNumberFormat="1" applyFont="1" applyBorder="1"/>
    <xf numFmtId="0" fontId="0" fillId="0" borderId="0" xfId="0" applyProtection="1">
      <protection locked="0"/>
    </xf>
    <xf numFmtId="178" fontId="0" fillId="0" borderId="114" xfId="1" applyNumberFormat="1" applyFont="1" applyFill="1" applyBorder="1" applyProtection="1">
      <protection locked="0"/>
    </xf>
    <xf numFmtId="0" fontId="14" fillId="0" borderId="0" xfId="0" applyFont="1" applyAlignment="1">
      <alignment horizontal="left"/>
    </xf>
    <xf numFmtId="0" fontId="10" fillId="0" borderId="114" xfId="0" applyFont="1" applyFill="1" applyBorder="1" applyProtection="1">
      <protection locked="0"/>
    </xf>
    <xf numFmtId="178" fontId="0" fillId="0" borderId="115" xfId="1" applyNumberFormat="1" applyFont="1" applyFill="1" applyBorder="1" applyAlignment="1" applyProtection="1">
      <protection locked="0"/>
    </xf>
    <xf numFmtId="178" fontId="0" fillId="0" borderId="123" xfId="1" applyNumberFormat="1" applyFont="1" applyFill="1" applyBorder="1" applyProtection="1">
      <protection locked="0"/>
    </xf>
    <xf numFmtId="178" fontId="0" fillId="0" borderId="124" xfId="1" applyNumberFormat="1" applyFont="1" applyFill="1" applyBorder="1" applyProtection="1">
      <protection locked="0"/>
    </xf>
    <xf numFmtId="178" fontId="4" fillId="0" borderId="0" xfId="3258" applyNumberFormat="1" applyFont="1"/>
    <xf numFmtId="171" fontId="5" fillId="0" borderId="0" xfId="2" applyNumberFormat="1" applyFont="1"/>
    <xf numFmtId="178" fontId="5" fillId="0" borderId="0" xfId="3258" applyNumberFormat="1"/>
    <xf numFmtId="178" fontId="5" fillId="3" borderId="0" xfId="3258" applyNumberFormat="1" applyFill="1"/>
    <xf numFmtId="0" fontId="3" fillId="0" borderId="0" xfId="3258" applyFont="1"/>
    <xf numFmtId="178" fontId="5" fillId="0" borderId="12" xfId="3258" applyNumberFormat="1" applyBorder="1"/>
    <xf numFmtId="178" fontId="5" fillId="3" borderId="12" xfId="3258" applyNumberFormat="1" applyFill="1" applyBorder="1"/>
    <xf numFmtId="178" fontId="5" fillId="0" borderId="0" xfId="3258" applyNumberFormat="1" applyFill="1"/>
    <xf numFmtId="178" fontId="0" fillId="3" borderId="0" xfId="5987" applyNumberFormat="1" applyFont="1" applyFill="1"/>
    <xf numFmtId="0" fontId="110" fillId="0" borderId="0" xfId="3258" applyFont="1" applyBorder="1" applyAlignment="1">
      <alignment horizontal="center"/>
    </xf>
    <xf numFmtId="9" fontId="10" fillId="0" borderId="0" xfId="2" applyAlignment="1">
      <alignment horizontal="center"/>
    </xf>
    <xf numFmtId="9" fontId="0" fillId="0" borderId="0" xfId="2" applyFont="1"/>
    <xf numFmtId="3" fontId="13" fillId="0" borderId="46" xfId="1216" applyNumberFormat="1" applyFont="1" applyFill="1" applyBorder="1" applyAlignment="1">
      <alignment horizontal="center"/>
    </xf>
    <xf numFmtId="3" fontId="10" fillId="0" borderId="0" xfId="0" applyNumberFormat="1" applyFont="1" applyAlignment="1">
      <alignment horizontal="left"/>
    </xf>
    <xf numFmtId="10" fontId="0" fillId="0" borderId="0" xfId="0" applyNumberFormat="1"/>
    <xf numFmtId="178" fontId="10" fillId="40" borderId="46" xfId="1514" applyNumberFormat="1" applyFont="1" applyFill="1" applyBorder="1" applyAlignment="1">
      <alignment horizontal="right" vertical="center"/>
    </xf>
    <xf numFmtId="3" fontId="54" fillId="0" borderId="0" xfId="3258" applyNumberFormat="1" applyFont="1"/>
    <xf numFmtId="171" fontId="54" fillId="0" borderId="0" xfId="2" applyNumberFormat="1" applyFont="1" applyFill="1" applyBorder="1"/>
    <xf numFmtId="38" fontId="54" fillId="93" borderId="79" xfId="1" applyNumberFormat="1" applyFont="1" applyFill="1" applyBorder="1"/>
    <xf numFmtId="40" fontId="54" fillId="0" borderId="79" xfId="1" applyNumberFormat="1" applyFont="1" applyFill="1" applyBorder="1"/>
    <xf numFmtId="171" fontId="87" fillId="93" borderId="75" xfId="2" applyNumberFormat="1" applyFont="1" applyFill="1" applyBorder="1"/>
    <xf numFmtId="38" fontId="54" fillId="0" borderId="0" xfId="1" applyNumberFormat="1" applyFont="1" applyBorder="1"/>
    <xf numFmtId="0" fontId="0" fillId="0" borderId="102" xfId="0" applyBorder="1"/>
    <xf numFmtId="0" fontId="13" fillId="0" borderId="0" xfId="0" applyFont="1" applyFill="1" applyBorder="1" applyAlignment="1">
      <alignment horizontal="center" wrapText="1"/>
    </xf>
    <xf numFmtId="0" fontId="13" fillId="0" borderId="5" xfId="0" applyFont="1" applyFill="1" applyBorder="1" applyAlignment="1">
      <alignment horizontal="center" wrapText="1"/>
    </xf>
    <xf numFmtId="3" fontId="0" fillId="0" borderId="0" xfId="0" applyNumberFormat="1" applyBorder="1" applyAlignment="1">
      <alignment horizontal="center" wrapText="1"/>
    </xf>
    <xf numFmtId="3" fontId="0" fillId="0" borderId="0" xfId="0" applyNumberFormat="1" applyFill="1" applyBorder="1" applyAlignment="1">
      <alignment horizontal="center" wrapText="1"/>
    </xf>
    <xf numFmtId="3" fontId="0" fillId="0" borderId="0" xfId="0" applyNumberFormat="1" applyFill="1" applyBorder="1" applyAlignment="1">
      <alignment horizontal="center"/>
    </xf>
    <xf numFmtId="3" fontId="0" fillId="0" borderId="0" xfId="0" applyNumberFormat="1" applyBorder="1" applyAlignment="1">
      <alignment horizontal="center"/>
    </xf>
    <xf numFmtId="3" fontId="0" fillId="0" borderId="5" xfId="0" applyNumberFormat="1" applyFill="1" applyBorder="1" applyAlignment="1">
      <alignment horizontal="center"/>
    </xf>
    <xf numFmtId="171" fontId="0" fillId="0" borderId="0" xfId="0" applyNumberFormat="1" applyBorder="1" applyAlignment="1">
      <alignment horizontal="center" wrapText="1"/>
    </xf>
    <xf numFmtId="171" fontId="0" fillId="0" borderId="0" xfId="0" applyNumberFormat="1" applyFill="1" applyBorder="1" applyAlignment="1">
      <alignment horizontal="center" wrapText="1"/>
    </xf>
    <xf numFmtId="0" fontId="0" fillId="0" borderId="5" xfId="0" applyFill="1" applyBorder="1" applyAlignment="1">
      <alignment horizontal="center"/>
    </xf>
    <xf numFmtId="173" fontId="0" fillId="0" borderId="0" xfId="0" applyNumberFormat="1" applyFill="1" applyBorder="1" applyAlignment="1">
      <alignment horizontal="center"/>
    </xf>
    <xf numFmtId="173" fontId="0" fillId="0" borderId="5" xfId="0" applyNumberFormat="1" applyFill="1" applyBorder="1" applyAlignment="1">
      <alignment horizontal="center"/>
    </xf>
    <xf numFmtId="3" fontId="0" fillId="0" borderId="0" xfId="0" applyNumberFormat="1" applyFill="1" applyBorder="1"/>
    <xf numFmtId="3" fontId="0" fillId="0" borderId="5" xfId="0" applyNumberFormat="1" applyFill="1" applyBorder="1"/>
    <xf numFmtId="0" fontId="0" fillId="0" borderId="0" xfId="0" applyBorder="1" applyAlignment="1">
      <alignment horizontal="center" wrapText="1"/>
    </xf>
    <xf numFmtId="0" fontId="0" fillId="0" borderId="0" xfId="0" applyFill="1" applyBorder="1" applyAlignment="1">
      <alignment horizontal="center" wrapText="1"/>
    </xf>
    <xf numFmtId="0" fontId="0" fillId="0" borderId="0" xfId="0" applyFill="1" applyBorder="1"/>
    <xf numFmtId="0" fontId="0" fillId="0" borderId="0" xfId="0" applyBorder="1" applyAlignment="1">
      <alignment horizontal="center"/>
    </xf>
    <xf numFmtId="0" fontId="0" fillId="0" borderId="0" xfId="0" applyFill="1" applyBorder="1" applyAlignment="1">
      <alignment horizontal="center"/>
    </xf>
    <xf numFmtId="3" fontId="13" fillId="0" borderId="5" xfId="0" applyNumberFormat="1" applyFont="1" applyFill="1" applyBorder="1" applyAlignment="1">
      <alignment horizontal="center"/>
    </xf>
    <xf numFmtId="180" fontId="17" fillId="0" borderId="0" xfId="1" applyNumberFormat="1" applyFont="1" applyFill="1" applyBorder="1" applyAlignment="1">
      <alignment horizontal="center"/>
    </xf>
    <xf numFmtId="178" fontId="0" fillId="0" borderId="0" xfId="1" applyNumberFormat="1" applyFont="1" applyBorder="1" applyAlignment="1">
      <alignment horizontal="center"/>
    </xf>
    <xf numFmtId="1" fontId="0" fillId="0" borderId="0" xfId="0" applyNumberFormat="1" applyBorder="1" applyAlignment="1">
      <alignment horizontal="center"/>
    </xf>
    <xf numFmtId="3" fontId="0" fillId="0" borderId="127" xfId="0" applyNumberFormat="1" applyFill="1" applyBorder="1" applyAlignment="1">
      <alignment horizontal="center"/>
    </xf>
    <xf numFmtId="3" fontId="0" fillId="0" borderId="128" xfId="0" applyNumberFormat="1" applyFill="1" applyBorder="1" applyAlignment="1">
      <alignment horizontal="center"/>
    </xf>
    <xf numFmtId="0" fontId="0" fillId="0" borderId="65" xfId="0" applyBorder="1" applyAlignment="1">
      <alignment horizontal="center"/>
    </xf>
    <xf numFmtId="0" fontId="14" fillId="0" borderId="65" xfId="0" applyFont="1" applyBorder="1" applyAlignment="1">
      <alignment horizontal="left"/>
    </xf>
    <xf numFmtId="0" fontId="0" fillId="0" borderId="65" xfId="0" applyFill="1" applyBorder="1" applyAlignment="1">
      <alignment horizontal="center"/>
    </xf>
    <xf numFmtId="0" fontId="0" fillId="0" borderId="65" xfId="0" applyFill="1" applyBorder="1"/>
    <xf numFmtId="0" fontId="0" fillId="0" borderId="66" xfId="0" applyFill="1" applyBorder="1"/>
    <xf numFmtId="3" fontId="0" fillId="0" borderId="74" xfId="0" applyNumberFormat="1" applyFill="1" applyBorder="1" applyAlignment="1">
      <alignment horizontal="center"/>
    </xf>
    <xf numFmtId="3" fontId="10" fillId="0" borderId="127" xfId="1216" applyNumberFormat="1" applyFill="1" applyBorder="1" applyAlignment="1">
      <alignment horizontal="center"/>
    </xf>
    <xf numFmtId="3" fontId="10" fillId="0" borderId="128" xfId="1216" applyNumberFormat="1" applyFill="1" applyBorder="1" applyAlignment="1">
      <alignment horizontal="center"/>
    </xf>
    <xf numFmtId="171" fontId="10" fillId="0" borderId="0" xfId="0" applyNumberFormat="1" applyFont="1" applyAlignment="1">
      <alignment horizontal="left"/>
    </xf>
    <xf numFmtId="0" fontId="13" fillId="0" borderId="130" xfId="1216" applyFont="1" applyBorder="1" applyAlignment="1">
      <alignment horizontal="center" vertical="center" wrapText="1"/>
    </xf>
    <xf numFmtId="0" fontId="110" fillId="0" borderId="131" xfId="3258" applyFont="1" applyBorder="1"/>
    <xf numFmtId="173" fontId="13" fillId="0" borderId="0" xfId="1216" applyNumberFormat="1" applyFont="1" applyBorder="1" applyAlignment="1">
      <alignment horizontal="center"/>
    </xf>
    <xf numFmtId="0" fontId="13" fillId="0" borderId="129" xfId="1216" applyFont="1" applyBorder="1" applyAlignment="1">
      <alignment horizontal="center" vertical="center"/>
    </xf>
    <xf numFmtId="0" fontId="13" fillId="0" borderId="131" xfId="1216" applyFont="1" applyBorder="1" applyAlignment="1">
      <alignment vertical="center"/>
    </xf>
    <xf numFmtId="0" fontId="13" fillId="0" borderId="114" xfId="1216" applyFont="1" applyBorder="1" applyAlignment="1">
      <alignment vertical="center" wrapText="1"/>
    </xf>
    <xf numFmtId="9" fontId="10" fillId="0" borderId="131" xfId="1216" applyNumberFormat="1" applyFill="1" applyBorder="1" applyAlignment="1">
      <alignment horizontal="center"/>
    </xf>
    <xf numFmtId="9" fontId="10" fillId="0" borderId="114" xfId="1216" applyNumberFormat="1" applyFill="1" applyBorder="1" applyAlignment="1">
      <alignment horizontal="center"/>
    </xf>
    <xf numFmtId="0" fontId="225" fillId="0" borderId="131" xfId="3258" applyFont="1" applyBorder="1" applyAlignment="1">
      <alignment horizontal="center" vertical="center"/>
    </xf>
    <xf numFmtId="0" fontId="87" fillId="0" borderId="131" xfId="3258" applyFont="1" applyBorder="1" applyAlignment="1">
      <alignment horizontal="center"/>
    </xf>
    <xf numFmtId="0" fontId="110" fillId="0" borderId="135" xfId="3258" applyFont="1" applyBorder="1"/>
    <xf numFmtId="3" fontId="10" fillId="0" borderId="0" xfId="1216" applyNumberFormat="1" applyFont="1" applyFill="1" applyBorder="1" applyAlignment="1">
      <alignment horizontal="center"/>
    </xf>
    <xf numFmtId="9" fontId="10" fillId="0" borderId="0" xfId="1216" applyNumberFormat="1" applyFill="1" applyBorder="1" applyAlignment="1">
      <alignment horizontal="center"/>
    </xf>
    <xf numFmtId="43" fontId="54" fillId="0" borderId="129" xfId="1" applyFont="1" applyBorder="1"/>
    <xf numFmtId="273" fontId="87" fillId="0" borderId="130" xfId="1" applyNumberFormat="1" applyFont="1" applyBorder="1" applyAlignment="1">
      <alignment horizontal="center"/>
    </xf>
    <xf numFmtId="43" fontId="87" fillId="0" borderId="130" xfId="1" applyFont="1" applyBorder="1" applyAlignment="1">
      <alignment horizontal="center"/>
    </xf>
    <xf numFmtId="43" fontId="54" fillId="0" borderId="131" xfId="1" applyFont="1" applyBorder="1" applyAlignment="1">
      <alignment horizontal="left"/>
    </xf>
    <xf numFmtId="171" fontId="54" fillId="0" borderId="114" xfId="2" applyNumberFormat="1" applyFont="1" applyBorder="1"/>
    <xf numFmtId="43" fontId="87" fillId="0" borderId="131" xfId="1" applyFont="1" applyBorder="1" applyAlignment="1">
      <alignment horizontal="left"/>
    </xf>
    <xf numFmtId="171" fontId="87" fillId="0" borderId="114" xfId="2" applyNumberFormat="1" applyFont="1" applyBorder="1"/>
    <xf numFmtId="43" fontId="54" fillId="0" borderId="114" xfId="1" applyFont="1" applyBorder="1"/>
    <xf numFmtId="0" fontId="225" fillId="0" borderId="131" xfId="3258" applyFont="1" applyBorder="1" applyAlignment="1">
      <alignment horizontal="left"/>
    </xf>
    <xf numFmtId="0" fontId="54" fillId="0" borderId="0" xfId="3258" applyFont="1" applyBorder="1" applyAlignment="1">
      <alignment horizontal="center"/>
    </xf>
    <xf numFmtId="0" fontId="225" fillId="0" borderId="129" xfId="3258" applyFont="1" applyBorder="1" applyAlignment="1">
      <alignment horizontal="center" vertical="center"/>
    </xf>
    <xf numFmtId="3" fontId="13" fillId="0" borderId="130" xfId="0" applyNumberFormat="1" applyFont="1" applyBorder="1" applyAlignment="1">
      <alignment horizontal="center" vertical="center" wrapText="1"/>
    </xf>
    <xf numFmtId="3" fontId="13" fillId="0" borderId="130" xfId="0" applyNumberFormat="1" applyFont="1" applyBorder="1" applyAlignment="1">
      <alignment horizontal="center" vertical="center"/>
    </xf>
    <xf numFmtId="3" fontId="110" fillId="0" borderId="114" xfId="3258" applyNumberFormat="1" applyFont="1" applyBorder="1"/>
    <xf numFmtId="0" fontId="54" fillId="0" borderId="131" xfId="3258" applyFont="1" applyBorder="1" applyAlignment="1">
      <alignment horizontal="center"/>
    </xf>
    <xf numFmtId="176" fontId="54" fillId="0" borderId="114" xfId="2" applyNumberFormat="1" applyFont="1" applyBorder="1"/>
    <xf numFmtId="0" fontId="87" fillId="0" borderId="131" xfId="3258" applyFont="1" applyBorder="1" applyAlignment="1">
      <alignment horizontal="left" wrapText="1"/>
    </xf>
    <xf numFmtId="176" fontId="87" fillId="0" borderId="114" xfId="2" applyNumberFormat="1" applyFont="1" applyBorder="1"/>
    <xf numFmtId="0" fontId="0" fillId="0" borderId="136" xfId="0" applyBorder="1"/>
    <xf numFmtId="0" fontId="13" fillId="0" borderId="137" xfId="0" applyFont="1" applyBorder="1" applyAlignment="1">
      <alignment horizontal="center" wrapText="1"/>
    </xf>
    <xf numFmtId="0" fontId="13" fillId="0" borderId="138" xfId="0" applyFont="1" applyFill="1" applyBorder="1" applyAlignment="1">
      <alignment horizontal="center" wrapText="1"/>
    </xf>
    <xf numFmtId="0" fontId="0" fillId="0" borderId="135" xfId="0" applyBorder="1"/>
    <xf numFmtId="0" fontId="13" fillId="0" borderId="135" xfId="0" applyFont="1" applyBorder="1"/>
    <xf numFmtId="0" fontId="14" fillId="0" borderId="135" xfId="0" applyFont="1" applyBorder="1"/>
    <xf numFmtId="3" fontId="13" fillId="0" borderId="135" xfId="0" applyNumberFormat="1" applyFont="1" applyBorder="1"/>
    <xf numFmtId="0" fontId="13" fillId="0" borderId="135" xfId="1216" applyFont="1" applyBorder="1" applyAlignment="1">
      <alignment vertical="center"/>
    </xf>
    <xf numFmtId="0" fontId="0" fillId="0" borderId="139" xfId="0" applyBorder="1"/>
    <xf numFmtId="0" fontId="110" fillId="0" borderId="140" xfId="3258" applyFont="1" applyBorder="1" applyAlignment="1">
      <alignment horizontal="center"/>
    </xf>
    <xf numFmtId="0" fontId="110" fillId="0" borderId="141" xfId="3258" applyFont="1" applyBorder="1" applyAlignment="1">
      <alignment horizontal="center" wrapText="1"/>
    </xf>
    <xf numFmtId="0" fontId="110" fillId="0" borderId="141" xfId="3258" applyFont="1" applyBorder="1" applyAlignment="1">
      <alignment horizontal="center"/>
    </xf>
    <xf numFmtId="0" fontId="13" fillId="0" borderId="145" xfId="0" applyFont="1" applyBorder="1" applyAlignment="1">
      <alignment horizontal="center"/>
    </xf>
    <xf numFmtId="3" fontId="13" fillId="0" borderId="146" xfId="0" applyNumberFormat="1" applyFont="1" applyBorder="1"/>
    <xf numFmtId="0" fontId="10" fillId="0" borderId="146" xfId="0" applyFont="1" applyBorder="1"/>
    <xf numFmtId="0" fontId="10" fillId="0" borderId="147" xfId="0" applyFont="1" applyFill="1" applyBorder="1"/>
    <xf numFmtId="0" fontId="10" fillId="0" borderId="148" xfId="0" applyFont="1" applyFill="1" applyBorder="1"/>
    <xf numFmtId="3" fontId="13" fillId="0" borderId="145" xfId="0" applyNumberFormat="1" applyFont="1" applyBorder="1"/>
    <xf numFmtId="0" fontId="13" fillId="0" borderId="145" xfId="1216" applyFont="1" applyBorder="1" applyAlignment="1">
      <alignment vertical="center"/>
    </xf>
    <xf numFmtId="0" fontId="10" fillId="0" borderId="148" xfId="0" applyFont="1" applyBorder="1"/>
    <xf numFmtId="178" fontId="110" fillId="0" borderId="0" xfId="3258" applyNumberFormat="1" applyFont="1" applyAlignment="1">
      <alignment shrinkToFit="1"/>
    </xf>
    <xf numFmtId="0" fontId="13" fillId="0" borderId="129" xfId="0" applyFont="1" applyBorder="1" applyProtection="1">
      <protection locked="0"/>
    </xf>
    <xf numFmtId="0" fontId="13" fillId="0" borderId="130" xfId="0" applyFont="1" applyBorder="1" applyProtection="1">
      <protection locked="0"/>
    </xf>
    <xf numFmtId="0" fontId="13" fillId="0" borderId="130" xfId="0" applyFont="1" applyFill="1" applyBorder="1" applyAlignment="1" applyProtection="1">
      <alignment horizontal="center"/>
      <protection locked="0"/>
    </xf>
    <xf numFmtId="0" fontId="13" fillId="0" borderId="149" xfId="0" applyFont="1" applyBorder="1" applyProtection="1">
      <protection locked="0"/>
    </xf>
    <xf numFmtId="0" fontId="13" fillId="0" borderId="150" xfId="0" applyFont="1" applyBorder="1" applyProtection="1">
      <protection locked="0"/>
    </xf>
    <xf numFmtId="0" fontId="95" fillId="0" borderId="150" xfId="0" applyFont="1" applyBorder="1" applyProtection="1">
      <protection locked="0"/>
    </xf>
    <xf numFmtId="0" fontId="10" fillId="0" borderId="131" xfId="0" applyFont="1" applyFill="1" applyBorder="1" applyAlignment="1" applyProtection="1">
      <alignment horizontal="center"/>
      <protection locked="0"/>
    </xf>
    <xf numFmtId="178" fontId="0" fillId="0" borderId="152" xfId="1" applyNumberFormat="1" applyFont="1" applyFill="1" applyBorder="1" applyAlignment="1" applyProtection="1">
      <protection locked="0"/>
    </xf>
    <xf numFmtId="0" fontId="13" fillId="0" borderId="156" xfId="0" applyFont="1" applyFill="1" applyBorder="1" applyAlignment="1" applyProtection="1">
      <alignment horizontal="center"/>
      <protection locked="0"/>
    </xf>
    <xf numFmtId="0" fontId="95" fillId="0" borderId="157" xfId="0" applyFont="1" applyBorder="1" applyProtection="1">
      <protection locked="0"/>
    </xf>
    <xf numFmtId="9" fontId="0" fillId="0" borderId="49" xfId="2" applyFont="1" applyFill="1" applyBorder="1" applyProtection="1">
      <protection locked="0"/>
    </xf>
    <xf numFmtId="303" fontId="0" fillId="0" borderId="49" xfId="2600" applyNumberFormat="1" applyFont="1" applyFill="1" applyBorder="1" applyProtection="1">
      <protection locked="0"/>
    </xf>
    <xf numFmtId="0" fontId="0" fillId="0" borderId="158" xfId="0" applyFill="1" applyBorder="1" applyAlignment="1" applyProtection="1">
      <protection locked="0"/>
    </xf>
    <xf numFmtId="9" fontId="0" fillId="0" borderId="160" xfId="2" applyFont="1" applyFill="1" applyBorder="1" applyProtection="1">
      <protection locked="0"/>
    </xf>
    <xf numFmtId="9" fontId="0" fillId="0" borderId="162" xfId="2" applyFont="1" applyFill="1" applyBorder="1" applyProtection="1">
      <protection locked="0"/>
    </xf>
    <xf numFmtId="0" fontId="0" fillId="0" borderId="163" xfId="0" applyFill="1" applyBorder="1" applyAlignment="1" applyProtection="1">
      <protection locked="0"/>
    </xf>
    <xf numFmtId="9" fontId="0" fillId="0" borderId="164" xfId="2" applyFont="1" applyFill="1" applyBorder="1" applyProtection="1">
      <protection locked="0"/>
    </xf>
    <xf numFmtId="178" fontId="0" fillId="0" borderId="165" xfId="1" applyNumberFormat="1" applyFont="1" applyFill="1" applyBorder="1" applyProtection="1">
      <protection locked="0"/>
    </xf>
    <xf numFmtId="0" fontId="10" fillId="0" borderId="165" xfId="0" applyFont="1" applyFill="1" applyBorder="1" applyProtection="1">
      <protection locked="0"/>
    </xf>
    <xf numFmtId="303" fontId="0" fillId="0" borderId="164" xfId="2600" applyNumberFormat="1" applyFont="1" applyFill="1" applyBorder="1" applyProtection="1">
      <protection locked="0"/>
    </xf>
    <xf numFmtId="0" fontId="10" fillId="0" borderId="151" xfId="0" applyFont="1" applyFill="1" applyBorder="1" applyAlignment="1" applyProtection="1">
      <alignment horizontal="center"/>
      <protection locked="0"/>
    </xf>
    <xf numFmtId="0" fontId="10" fillId="0" borderId="152" xfId="0" applyFont="1" applyFill="1" applyBorder="1" applyProtection="1">
      <protection locked="0"/>
    </xf>
    <xf numFmtId="178" fontId="0" fillId="0" borderId="152" xfId="1" applyNumberFormat="1" applyFont="1" applyFill="1" applyBorder="1" applyProtection="1">
      <protection locked="0"/>
    </xf>
    <xf numFmtId="0" fontId="13" fillId="0" borderId="0" xfId="0" applyFont="1" applyFill="1" applyBorder="1" applyAlignment="1" applyProtection="1">
      <alignment horizontal="left"/>
      <protection locked="0"/>
    </xf>
    <xf numFmtId="178" fontId="0" fillId="0" borderId="0" xfId="1" applyNumberFormat="1" applyFont="1" applyFill="1" applyBorder="1" applyProtection="1">
      <protection locked="0"/>
    </xf>
    <xf numFmtId="9" fontId="0" fillId="0" borderId="0" xfId="2" applyFont="1" applyFill="1" applyBorder="1" applyProtection="1">
      <protection locked="0"/>
    </xf>
    <xf numFmtId="303" fontId="0" fillId="0" borderId="163" xfId="2600" applyNumberFormat="1" applyFont="1" applyFill="1" applyBorder="1" applyProtection="1">
      <protection locked="0"/>
    </xf>
    <xf numFmtId="3" fontId="0" fillId="0" borderId="170" xfId="0" applyNumberFormat="1" applyBorder="1"/>
    <xf numFmtId="37" fontId="0" fillId="0" borderId="165" xfId="0" applyNumberFormat="1" applyBorder="1"/>
    <xf numFmtId="177" fontId="0" fillId="0" borderId="165" xfId="0" applyNumberFormat="1" applyBorder="1" applyAlignment="1">
      <alignment horizontal="center"/>
    </xf>
    <xf numFmtId="184" fontId="0" fillId="40" borderId="165" xfId="0" applyNumberFormat="1" applyFill="1" applyBorder="1"/>
    <xf numFmtId="5" fontId="0" fillId="0" borderId="165" xfId="0" applyNumberFormat="1" applyBorder="1"/>
    <xf numFmtId="0" fontId="13" fillId="0" borderId="131" xfId="0" applyFont="1" applyBorder="1" applyAlignment="1">
      <alignment horizontal="left" indent="1"/>
    </xf>
    <xf numFmtId="37" fontId="13" fillId="0" borderId="165" xfId="0" applyNumberFormat="1" applyFont="1" applyBorder="1"/>
    <xf numFmtId="0" fontId="13" fillId="0" borderId="165" xfId="0" applyFont="1" applyBorder="1"/>
    <xf numFmtId="183" fontId="0" fillId="0" borderId="165" xfId="0" applyNumberFormat="1" applyBorder="1"/>
    <xf numFmtId="5" fontId="13" fillId="0" borderId="165" xfId="0" applyNumberFormat="1" applyFont="1" applyBorder="1"/>
    <xf numFmtId="37" fontId="0" fillId="0" borderId="165" xfId="0" applyNumberFormat="1" applyFill="1" applyBorder="1"/>
    <xf numFmtId="177" fontId="0" fillId="0" borderId="165" xfId="0" applyNumberFormat="1" applyFill="1" applyBorder="1"/>
    <xf numFmtId="10" fontId="10" fillId="0" borderId="165" xfId="2" applyNumberFormat="1" applyFill="1" applyBorder="1"/>
    <xf numFmtId="178" fontId="10" fillId="0" borderId="165" xfId="1" applyNumberFormat="1" applyFill="1" applyBorder="1"/>
    <xf numFmtId="0" fontId="54" fillId="0" borderId="129" xfId="3258" applyFont="1" applyBorder="1"/>
    <xf numFmtId="0" fontId="87" fillId="0" borderId="130" xfId="3258" applyFont="1" applyFill="1" applyBorder="1" applyAlignment="1">
      <alignment horizontal="center" vertical="center" wrapText="1"/>
    </xf>
    <xf numFmtId="0" fontId="87" fillId="0" borderId="130" xfId="3258" applyFont="1" applyFill="1" applyBorder="1" applyAlignment="1">
      <alignment horizontal="center" vertical="center"/>
    </xf>
    <xf numFmtId="0" fontId="87" fillId="0" borderId="131" xfId="3258" applyFont="1" applyBorder="1"/>
    <xf numFmtId="0" fontId="54" fillId="0" borderId="165" xfId="3258" applyFont="1" applyBorder="1"/>
    <xf numFmtId="0" fontId="10" fillId="0" borderId="131" xfId="3258" applyFont="1" applyFill="1" applyBorder="1" applyAlignment="1">
      <alignment vertical="center"/>
    </xf>
    <xf numFmtId="3" fontId="54" fillId="0" borderId="165" xfId="3258" applyNumberFormat="1" applyFont="1" applyBorder="1"/>
    <xf numFmtId="0" fontId="13" fillId="0" borderId="131" xfId="3258" applyFont="1" applyFill="1" applyBorder="1" applyAlignment="1">
      <alignment vertical="center"/>
    </xf>
    <xf numFmtId="3" fontId="87" fillId="0" borderId="165" xfId="3258" applyNumberFormat="1" applyFont="1" applyBorder="1"/>
    <xf numFmtId="0" fontId="54" fillId="0" borderId="131" xfId="3258" applyFont="1" applyBorder="1"/>
    <xf numFmtId="0" fontId="87" fillId="0" borderId="0" xfId="3258" applyFont="1" applyBorder="1"/>
    <xf numFmtId="3" fontId="87" fillId="0" borderId="0" xfId="3258" applyNumberFormat="1" applyFont="1" applyBorder="1"/>
    <xf numFmtId="178" fontId="54" fillId="0" borderId="165" xfId="1" applyNumberFormat="1" applyFont="1" applyBorder="1"/>
    <xf numFmtId="4" fontId="54" fillId="0" borderId="165" xfId="3258" applyNumberFormat="1" applyFont="1" applyBorder="1"/>
    <xf numFmtId="171" fontId="54" fillId="0" borderId="165" xfId="2" applyNumberFormat="1" applyFont="1" applyBorder="1"/>
    <xf numFmtId="43" fontId="54" fillId="0" borderId="165" xfId="3258" applyNumberFormat="1" applyFont="1" applyBorder="1"/>
    <xf numFmtId="0" fontId="87" fillId="0" borderId="129" xfId="3258" applyFont="1" applyBorder="1" applyAlignment="1">
      <alignment horizontal="center" vertical="center" wrapText="1"/>
    </xf>
    <xf numFmtId="3" fontId="87" fillId="0" borderId="130" xfId="3258" applyNumberFormat="1" applyFont="1" applyBorder="1" applyAlignment="1">
      <alignment horizontal="center" vertical="center" wrapText="1"/>
    </xf>
    <xf numFmtId="0" fontId="87" fillId="0" borderId="130" xfId="3258" applyFont="1" applyBorder="1" applyAlignment="1">
      <alignment horizontal="center" vertical="center" wrapText="1"/>
    </xf>
    <xf numFmtId="0" fontId="10" fillId="0" borderId="131" xfId="0" applyFont="1" applyBorder="1" applyAlignment="1">
      <alignment horizontal="center" wrapText="1"/>
    </xf>
    <xf numFmtId="0" fontId="10" fillId="0" borderId="131" xfId="0" applyFont="1" applyFill="1" applyBorder="1" applyAlignment="1">
      <alignment horizontal="center" wrapText="1"/>
    </xf>
    <xf numFmtId="0" fontId="13" fillId="0" borderId="65" xfId="0" applyFont="1" applyBorder="1" applyAlignment="1">
      <alignment horizontal="center"/>
    </xf>
    <xf numFmtId="0" fontId="232" fillId="0" borderId="129" xfId="3258" applyFont="1" applyBorder="1"/>
    <xf numFmtId="0" fontId="232" fillId="0" borderId="130" xfId="3258" applyFont="1" applyBorder="1" applyAlignment="1">
      <alignment horizontal="center"/>
    </xf>
    <xf numFmtId="0" fontId="232" fillId="0" borderId="131" xfId="3258" applyFont="1" applyBorder="1" applyAlignment="1">
      <alignment horizontal="center"/>
    </xf>
    <xf numFmtId="178" fontId="232" fillId="0" borderId="165" xfId="5987" applyNumberFormat="1" applyFont="1" applyBorder="1"/>
    <xf numFmtId="178" fontId="0" fillId="0" borderId="165" xfId="5987" applyNumberFormat="1" applyFont="1" applyBorder="1"/>
    <xf numFmtId="0" fontId="236" fillId="0" borderId="131" xfId="3258" applyFont="1" applyBorder="1" applyAlignment="1">
      <alignment horizontal="center"/>
    </xf>
    <xf numFmtId="178" fontId="236" fillId="0" borderId="165" xfId="5987" applyNumberFormat="1" applyFont="1" applyBorder="1"/>
    <xf numFmtId="0" fontId="236" fillId="0" borderId="165" xfId="3258" applyFont="1" applyBorder="1"/>
    <xf numFmtId="171" fontId="236" fillId="0" borderId="165" xfId="5505" applyNumberFormat="1" applyFont="1" applyBorder="1" applyAlignment="1">
      <alignment horizontal="center"/>
    </xf>
    <xf numFmtId="178" fontId="232" fillId="0" borderId="165" xfId="5987" applyNumberFormat="1" applyFont="1" applyFill="1" applyBorder="1"/>
    <xf numFmtId="0" fontId="237" fillId="0" borderId="0" xfId="4" applyFont="1"/>
    <xf numFmtId="0" fontId="16" fillId="0" borderId="0" xfId="4" applyFont="1" applyBorder="1"/>
    <xf numFmtId="43" fontId="23" fillId="0" borderId="0" xfId="11" applyFont="1" applyBorder="1" applyAlignment="1">
      <alignment horizontal="right"/>
    </xf>
    <xf numFmtId="0" fontId="10" fillId="0" borderId="0" xfId="4" applyBorder="1"/>
    <xf numFmtId="0" fontId="10" fillId="0" borderId="5" xfId="4" applyBorder="1"/>
    <xf numFmtId="0" fontId="16" fillId="0" borderId="135" xfId="4" applyFont="1" applyBorder="1" applyAlignment="1">
      <alignment horizontal="right"/>
    </xf>
    <xf numFmtId="2" fontId="16" fillId="0" borderId="5" xfId="4" applyNumberFormat="1" applyFont="1" applyFill="1" applyBorder="1"/>
    <xf numFmtId="179" fontId="16" fillId="0" borderId="0" xfId="4" applyNumberFormat="1" applyFont="1" applyBorder="1" applyAlignment="1">
      <alignment horizontal="right"/>
    </xf>
    <xf numFmtId="179" fontId="10" fillId="0" borderId="0" xfId="4" applyNumberFormat="1" applyBorder="1"/>
    <xf numFmtId="178" fontId="16" fillId="0" borderId="0" xfId="4" applyNumberFormat="1" applyFont="1" applyBorder="1" applyAlignment="1">
      <alignment horizontal="right"/>
    </xf>
    <xf numFmtId="178" fontId="16" fillId="0" borderId="5" xfId="4" applyNumberFormat="1" applyFont="1" applyBorder="1" applyAlignment="1">
      <alignment horizontal="right"/>
    </xf>
    <xf numFmtId="0" fontId="22" fillId="0" borderId="135" xfId="4" applyFont="1" applyBorder="1"/>
    <xf numFmtId="0" fontId="22" fillId="0" borderId="0" xfId="4" applyFont="1" applyBorder="1"/>
    <xf numFmtId="43" fontId="16" fillId="0" borderId="0" xfId="11" applyFont="1" applyBorder="1"/>
    <xf numFmtId="178" fontId="10" fillId="0" borderId="0" xfId="4" applyNumberFormat="1" applyBorder="1"/>
    <xf numFmtId="0" fontId="237" fillId="0" borderId="0" xfId="4" applyFont="1" applyBorder="1"/>
    <xf numFmtId="43" fontId="16" fillId="0" borderId="127" xfId="4" applyNumberFormat="1" applyFont="1" applyFill="1" applyBorder="1" applyAlignment="1">
      <alignment horizontal="right"/>
    </xf>
    <xf numFmtId="0" fontId="23" fillId="0" borderId="129" xfId="4" applyFont="1" applyFill="1" applyBorder="1" applyAlignment="1">
      <alignment horizontal="right"/>
    </xf>
    <xf numFmtId="0" fontId="23" fillId="0" borderId="133" xfId="4" applyFont="1" applyFill="1" applyBorder="1" applyAlignment="1">
      <alignment horizontal="right"/>
    </xf>
    <xf numFmtId="0" fontId="23" fillId="0" borderId="134" xfId="4" applyFont="1" applyFill="1" applyBorder="1" applyAlignment="1">
      <alignment horizontal="right"/>
    </xf>
    <xf numFmtId="0" fontId="23" fillId="0" borderId="133" xfId="4" applyFont="1" applyFill="1" applyBorder="1"/>
    <xf numFmtId="0" fontId="16" fillId="0" borderId="170" xfId="4" applyFont="1" applyBorder="1" applyAlignment="1">
      <alignment horizontal="right"/>
    </xf>
    <xf numFmtId="0" fontId="16" fillId="0" borderId="149" xfId="4" applyFont="1" applyBorder="1" applyAlignment="1">
      <alignment horizontal="right"/>
    </xf>
    <xf numFmtId="179" fontId="16" fillId="0" borderId="127" xfId="4" applyNumberFormat="1" applyFont="1" applyFill="1" applyBorder="1" applyAlignment="1">
      <alignment horizontal="right"/>
    </xf>
    <xf numFmtId="179" fontId="16" fillId="0" borderId="128" xfId="4" applyNumberFormat="1" applyFont="1" applyFill="1" applyBorder="1" applyAlignment="1">
      <alignment horizontal="right"/>
    </xf>
    <xf numFmtId="4" fontId="16" fillId="0" borderId="128" xfId="4" applyNumberFormat="1" applyFont="1" applyFill="1" applyBorder="1"/>
    <xf numFmtId="0" fontId="23" fillId="0" borderId="131" xfId="4" applyFont="1" applyFill="1" applyBorder="1" applyAlignment="1">
      <alignment horizontal="right"/>
    </xf>
    <xf numFmtId="0" fontId="23" fillId="0" borderId="152" xfId="4" applyFont="1" applyFill="1" applyBorder="1" applyAlignment="1">
      <alignment horizontal="right"/>
    </xf>
    <xf numFmtId="0" fontId="23" fillId="0" borderId="153" xfId="4" applyFont="1" applyFill="1" applyBorder="1" applyAlignment="1">
      <alignment horizontal="right"/>
    </xf>
    <xf numFmtId="0" fontId="23" fillId="0" borderId="152" xfId="4" applyFont="1" applyFill="1" applyBorder="1"/>
    <xf numFmtId="43" fontId="16" fillId="0" borderId="128" xfId="4" applyNumberFormat="1" applyFont="1" applyFill="1" applyBorder="1" applyAlignment="1">
      <alignment horizontal="right"/>
    </xf>
    <xf numFmtId="0" fontId="23" fillId="0" borderId="134" xfId="4" applyFont="1" applyFill="1" applyBorder="1"/>
    <xf numFmtId="0" fontId="23" fillId="0" borderId="153" xfId="4" applyFont="1" applyFill="1" applyBorder="1"/>
    <xf numFmtId="0" fontId="236" fillId="0" borderId="0" xfId="3258" applyFont="1" applyBorder="1" applyAlignment="1">
      <alignment horizontal="center"/>
    </xf>
    <xf numFmtId="0" fontId="236" fillId="0" borderId="0" xfId="3258" applyFont="1" applyBorder="1"/>
    <xf numFmtId="171" fontId="236" fillId="0" borderId="0" xfId="5505" applyNumberFormat="1" applyFont="1" applyBorder="1" applyAlignment="1">
      <alignment horizontal="center"/>
    </xf>
    <xf numFmtId="0" fontId="10" fillId="0" borderId="129" xfId="12" applyFont="1" applyBorder="1" applyAlignment="1" applyProtection="1">
      <alignment horizontal="center"/>
      <protection locked="0"/>
    </xf>
    <xf numFmtId="0" fontId="10" fillId="0" borderId="130" xfId="12" applyFont="1" applyBorder="1" applyAlignment="1" applyProtection="1">
      <alignment horizontal="center"/>
      <protection locked="0"/>
    </xf>
    <xf numFmtId="49" fontId="10" fillId="0" borderId="131" xfId="12" applyNumberFormat="1" applyFont="1" applyBorder="1" applyAlignment="1" applyProtection="1">
      <alignment horizontal="center"/>
      <protection locked="0"/>
    </xf>
    <xf numFmtId="181" fontId="10" fillId="0" borderId="165" xfId="13" applyNumberFormat="1" applyFont="1" applyBorder="1" applyAlignment="1" applyProtection="1">
      <alignment horizontal="center"/>
      <protection locked="0"/>
    </xf>
    <xf numFmtId="178" fontId="10" fillId="0" borderId="165" xfId="1500" applyNumberFormat="1" applyBorder="1"/>
    <xf numFmtId="10" fontId="10" fillId="0" borderId="165" xfId="14" applyNumberFormat="1" applyFont="1" applyBorder="1" applyAlignment="1" applyProtection="1">
      <alignment horizontal="right"/>
      <protection locked="0"/>
    </xf>
    <xf numFmtId="49" fontId="10" fillId="0" borderId="166" xfId="12" applyNumberFormat="1" applyFont="1" applyBorder="1" applyAlignment="1" applyProtection="1">
      <alignment horizontal="left"/>
      <protection locked="0"/>
    </xf>
    <xf numFmtId="3" fontId="10" fillId="2" borderId="165" xfId="1216" applyNumberFormat="1" applyFill="1" applyBorder="1" applyAlignment="1">
      <alignment horizontal="right"/>
    </xf>
    <xf numFmtId="49" fontId="10" fillId="0" borderId="151" xfId="12" applyNumberFormat="1" applyFont="1" applyBorder="1" applyAlignment="1" applyProtection="1">
      <alignment horizontal="left"/>
      <protection locked="0"/>
    </xf>
    <xf numFmtId="10" fontId="10" fillId="0" borderId="127" xfId="14" applyNumberFormat="1" applyFont="1" applyBorder="1" applyAlignment="1" applyProtection="1">
      <alignment horizontal="right"/>
      <protection locked="0"/>
    </xf>
    <xf numFmtId="10" fontId="10" fillId="0" borderId="128" xfId="14" applyNumberFormat="1" applyFont="1" applyBorder="1" applyAlignment="1" applyProtection="1">
      <alignment horizontal="right"/>
      <protection locked="0"/>
    </xf>
    <xf numFmtId="17" fontId="10" fillId="92" borderId="1" xfId="12" applyNumberFormat="1" applyFont="1" applyFill="1" applyBorder="1" applyAlignment="1" applyProtection="1">
      <alignment horizontal="center"/>
      <protection locked="0"/>
    </xf>
    <xf numFmtId="181" fontId="10" fillId="92" borderId="16" xfId="13" applyNumberFormat="1" applyFont="1" applyFill="1" applyBorder="1" applyAlignment="1" applyProtection="1">
      <alignment horizontal="center"/>
      <protection locked="0"/>
    </xf>
    <xf numFmtId="1" fontId="10" fillId="92" borderId="16" xfId="13" applyNumberFormat="1" applyFont="1" applyFill="1" applyBorder="1" applyAlignment="1" applyProtection="1">
      <alignment horizontal="center"/>
      <protection locked="0"/>
    </xf>
    <xf numFmtId="1" fontId="10" fillId="92" borderId="16" xfId="12" applyNumberFormat="1" applyFont="1" applyFill="1" applyBorder="1" applyProtection="1">
      <protection locked="0"/>
    </xf>
    <xf numFmtId="181" fontId="10" fillId="92" borderId="15" xfId="13" applyNumberFormat="1" applyFont="1" applyFill="1" applyBorder="1" applyAlignment="1" applyProtection="1">
      <alignment horizontal="center"/>
      <protection locked="0"/>
    </xf>
    <xf numFmtId="0" fontId="10" fillId="92" borderId="46" xfId="13" applyNumberFormat="1" applyFont="1" applyFill="1" applyBorder="1" applyAlignment="1" applyProtection="1">
      <protection locked="0"/>
    </xf>
    <xf numFmtId="37" fontId="10" fillId="92" borderId="46" xfId="1509" applyNumberFormat="1" applyFont="1" applyFill="1" applyBorder="1" applyAlignment="1">
      <alignment horizontal="center"/>
    </xf>
    <xf numFmtId="181" fontId="10" fillId="0" borderId="171" xfId="13" applyNumberFormat="1" applyFont="1" applyBorder="1" applyAlignment="1" applyProtection="1">
      <alignment horizontal="center"/>
      <protection locked="0"/>
    </xf>
    <xf numFmtId="2" fontId="13" fillId="0" borderId="174" xfId="13" applyNumberFormat="1" applyFont="1" applyFill="1" applyBorder="1" applyAlignment="1" applyProtection="1">
      <alignment horizontal="center" wrapText="1"/>
      <protection locked="0"/>
    </xf>
    <xf numFmtId="0" fontId="13" fillId="0" borderId="174" xfId="12" applyFont="1" applyFill="1" applyBorder="1" applyAlignment="1" applyProtection="1">
      <alignment horizontal="center" wrapText="1"/>
      <protection locked="0"/>
    </xf>
    <xf numFmtId="178" fontId="54" fillId="0" borderId="165" xfId="3258" applyNumberFormat="1" applyFont="1" applyBorder="1"/>
    <xf numFmtId="3" fontId="10" fillId="0" borderId="133" xfId="0" applyNumberFormat="1" applyFont="1" applyBorder="1" applyAlignment="1">
      <alignment horizontal="center" wrapText="1"/>
    </xf>
    <xf numFmtId="3" fontId="0" fillId="0" borderId="134" xfId="0" applyNumberFormat="1" applyBorder="1" applyAlignment="1">
      <alignment horizontal="center"/>
    </xf>
    <xf numFmtId="0" fontId="0" fillId="0" borderId="135" xfId="0" applyBorder="1" applyAlignment="1">
      <alignment horizontal="right"/>
    </xf>
    <xf numFmtId="0" fontId="0" fillId="0" borderId="146" xfId="0" applyBorder="1" applyAlignment="1">
      <alignment horizontal="right"/>
    </xf>
    <xf numFmtId="0" fontId="0" fillId="0" borderId="136" xfId="0" applyBorder="1" applyAlignment="1">
      <alignment horizontal="right"/>
    </xf>
    <xf numFmtId="0" fontId="0" fillId="0" borderId="146" xfId="0" applyBorder="1"/>
    <xf numFmtId="3" fontId="13" fillId="2" borderId="0" xfId="1216" applyNumberFormat="1" applyFont="1" applyFill="1" applyAlignment="1">
      <alignment horizontal="center"/>
    </xf>
    <xf numFmtId="0" fontId="13" fillId="0" borderId="165" xfId="1216" applyFont="1" applyBorder="1" applyAlignment="1">
      <alignment horizontal="center" vertical="center" wrapText="1"/>
    </xf>
    <xf numFmtId="0" fontId="13" fillId="0" borderId="165" xfId="1216" applyFont="1" applyBorder="1" applyAlignment="1">
      <alignment horizontal="center" vertical="center"/>
    </xf>
    <xf numFmtId="0" fontId="110" fillId="0" borderId="5" xfId="3258" applyFont="1" applyBorder="1"/>
    <xf numFmtId="181" fontId="91" fillId="0" borderId="0" xfId="1513" applyNumberFormat="1" applyFont="1"/>
    <xf numFmtId="181" fontId="44" fillId="0" borderId="0" xfId="1513" applyNumberFormat="1" applyFont="1"/>
    <xf numFmtId="0" fontId="225" fillId="0" borderId="0" xfId="3258" applyFont="1" applyAlignment="1">
      <alignment horizontal="left"/>
    </xf>
    <xf numFmtId="178" fontId="238" fillId="0" borderId="0" xfId="1" applyNumberFormat="1" applyFont="1"/>
    <xf numFmtId="0" fontId="54" fillId="0" borderId="140" xfId="3258" applyFont="1" applyBorder="1" applyAlignment="1">
      <alignment horizontal="center"/>
    </xf>
    <xf numFmtId="178" fontId="54" fillId="0" borderId="60" xfId="1" applyNumberFormat="1" applyFont="1" applyBorder="1" applyAlignment="1">
      <alignment horizontal="center"/>
    </xf>
    <xf numFmtId="178" fontId="54" fillId="0" borderId="76" xfId="1" applyNumberFormat="1" applyFont="1" applyBorder="1" applyAlignment="1">
      <alignment horizontal="center"/>
    </xf>
    <xf numFmtId="38" fontId="10" fillId="0" borderId="37" xfId="1" applyNumberFormat="1" applyFont="1" applyFill="1" applyBorder="1" applyAlignment="1">
      <alignment horizontal="center"/>
    </xf>
    <xf numFmtId="0" fontId="87" fillId="0" borderId="141" xfId="3258" applyFont="1" applyBorder="1" applyAlignment="1">
      <alignment horizontal="center" vertical="center" wrapText="1"/>
    </xf>
    <xf numFmtId="0" fontId="87" fillId="0" borderId="141" xfId="3258" applyFont="1" applyBorder="1" applyAlignment="1">
      <alignment horizontal="center" vertical="center"/>
    </xf>
    <xf numFmtId="10" fontId="110" fillId="0" borderId="0" xfId="2" applyNumberFormat="1" applyFont="1"/>
    <xf numFmtId="0" fontId="87" fillId="0" borderId="141" xfId="3258" applyFont="1" applyBorder="1" applyAlignment="1">
      <alignment horizontal="left" vertical="center"/>
    </xf>
    <xf numFmtId="0" fontId="91" fillId="0" borderId="0" xfId="0" applyFont="1"/>
    <xf numFmtId="0" fontId="91" fillId="0" borderId="0" xfId="0" applyFont="1" applyAlignment="1">
      <alignment horizontal="left"/>
    </xf>
    <xf numFmtId="0" fontId="95" fillId="0" borderId="150" xfId="0" applyFont="1" applyBorder="1" applyAlignment="1" applyProtection="1">
      <alignment horizontal="center"/>
      <protection locked="0"/>
    </xf>
    <xf numFmtId="0" fontId="95" fillId="0" borderId="157" xfId="0" applyFont="1" applyBorder="1" applyAlignment="1" applyProtection="1">
      <alignment horizontal="center"/>
      <protection locked="0"/>
    </xf>
    <xf numFmtId="0" fontId="10" fillId="0" borderId="149" xfId="0" applyFont="1" applyBorder="1" applyProtection="1">
      <protection locked="0"/>
    </xf>
    <xf numFmtId="0" fontId="15" fillId="0" borderId="150" xfId="0" applyFont="1" applyBorder="1" applyProtection="1">
      <protection locked="0"/>
    </xf>
    <xf numFmtId="0" fontId="10" fillId="0" borderId="114" xfId="0" applyFont="1" applyFill="1" applyBorder="1" applyAlignment="1" applyProtection="1">
      <alignment wrapText="1"/>
      <protection locked="0"/>
    </xf>
    <xf numFmtId="0" fontId="10" fillId="0" borderId="151" xfId="0" applyFont="1" applyFill="1" applyBorder="1" applyAlignment="1" applyProtection="1">
      <protection locked="0"/>
    </xf>
    <xf numFmtId="0" fontId="10" fillId="0" borderId="115" xfId="0" applyFont="1" applyFill="1" applyBorder="1" applyAlignment="1" applyProtection="1">
      <protection locked="0"/>
    </xf>
    <xf numFmtId="0" fontId="10" fillId="0" borderId="165" xfId="0" applyFont="1" applyFill="1" applyBorder="1" applyAlignment="1" applyProtection="1">
      <alignment wrapText="1"/>
      <protection locked="0"/>
    </xf>
    <xf numFmtId="0" fontId="10" fillId="0" borderId="152" xfId="0" applyFont="1" applyFill="1" applyBorder="1" applyAlignment="1" applyProtection="1">
      <protection locked="0"/>
    </xf>
    <xf numFmtId="178" fontId="0" fillId="0" borderId="0" xfId="0" applyNumberFormat="1" applyFill="1"/>
    <xf numFmtId="0" fontId="13" fillId="0" borderId="150" xfId="0" applyFont="1" applyBorder="1" applyAlignment="1" applyProtection="1">
      <alignment horizontal="center"/>
      <protection locked="0"/>
    </xf>
    <xf numFmtId="0" fontId="13" fillId="0" borderId="157" xfId="0" applyFont="1" applyBorder="1" applyAlignment="1" applyProtection="1">
      <alignment horizontal="center"/>
      <protection locked="0"/>
    </xf>
    <xf numFmtId="301" fontId="0" fillId="0" borderId="0" xfId="0" applyNumberFormat="1" applyBorder="1"/>
    <xf numFmtId="174" fontId="10" fillId="0" borderId="0" xfId="0" applyNumberFormat="1" applyFont="1"/>
    <xf numFmtId="10" fontId="13" fillId="0" borderId="0" xfId="2" applyNumberFormat="1" applyFont="1"/>
    <xf numFmtId="0" fontId="13" fillId="0" borderId="116" xfId="0" applyNumberFormat="1" applyFont="1" applyFill="1" applyBorder="1" applyAlignment="1">
      <alignment horizontal="center"/>
    </xf>
    <xf numFmtId="0" fontId="13" fillId="0" borderId="165" xfId="0" applyNumberFormat="1" applyFont="1" applyFill="1" applyBorder="1" applyAlignment="1">
      <alignment horizontal="center"/>
    </xf>
    <xf numFmtId="0" fontId="13" fillId="0" borderId="153" xfId="0" applyNumberFormat="1" applyFont="1" applyFill="1" applyBorder="1" applyAlignment="1">
      <alignment horizontal="center"/>
    </xf>
    <xf numFmtId="0" fontId="18" fillId="0" borderId="173" xfId="0" applyFont="1" applyFill="1" applyBorder="1"/>
    <xf numFmtId="0" fontId="13" fillId="0" borderId="131" xfId="0" applyFont="1" applyFill="1" applyBorder="1"/>
    <xf numFmtId="0" fontId="13" fillId="0" borderId="7" xfId="0" applyNumberFormat="1" applyFont="1" applyFill="1" applyBorder="1" applyAlignment="1">
      <alignment horizontal="center"/>
    </xf>
    <xf numFmtId="3" fontId="0" fillId="0" borderId="135" xfId="0" applyNumberFormat="1" applyBorder="1"/>
    <xf numFmtId="182" fontId="0" fillId="40" borderId="165" xfId="0" applyNumberFormat="1" applyFill="1" applyBorder="1"/>
    <xf numFmtId="182" fontId="0" fillId="0" borderId="165" xfId="0" applyNumberFormat="1" applyFill="1" applyBorder="1"/>
    <xf numFmtId="183" fontId="19" fillId="0" borderId="165" xfId="0" applyNumberFormat="1" applyFont="1" applyBorder="1"/>
    <xf numFmtId="5" fontId="13" fillId="0" borderId="165" xfId="0" applyNumberFormat="1" applyFont="1" applyFill="1" applyBorder="1"/>
    <xf numFmtId="3" fontId="0" fillId="0" borderId="135" xfId="0" applyNumberFormat="1" applyFill="1" applyBorder="1"/>
    <xf numFmtId="5" fontId="0" fillId="0" borderId="165" xfId="0" applyNumberFormat="1" applyFill="1" applyBorder="1"/>
    <xf numFmtId="0" fontId="13" fillId="0" borderId="131" xfId="0" applyFont="1" applyFill="1" applyBorder="1" applyAlignment="1">
      <alignment horizontal="left" indent="1"/>
    </xf>
    <xf numFmtId="37" fontId="13" fillId="0" borderId="165" xfId="0" applyNumberFormat="1" applyFont="1" applyFill="1" applyBorder="1"/>
    <xf numFmtId="0" fontId="13" fillId="0" borderId="165" xfId="0" applyFont="1" applyFill="1" applyBorder="1"/>
    <xf numFmtId="183" fontId="0" fillId="0" borderId="165" xfId="0" applyNumberFormat="1" applyFill="1" applyBorder="1"/>
    <xf numFmtId="0" fontId="18" fillId="0" borderId="167" xfId="0" applyFont="1" applyFill="1" applyBorder="1"/>
    <xf numFmtId="0" fontId="13" fillId="0" borderId="138" xfId="0" applyFont="1" applyFill="1" applyBorder="1"/>
    <xf numFmtId="0" fontId="13" fillId="0" borderId="168" xfId="0" applyFont="1" applyFill="1" applyBorder="1" applyAlignment="1">
      <alignment horizontal="center"/>
    </xf>
    <xf numFmtId="0" fontId="13" fillId="0" borderId="128" xfId="0" applyNumberFormat="1" applyFont="1" applyFill="1" applyBorder="1" applyAlignment="1">
      <alignment horizontal="center"/>
    </xf>
    <xf numFmtId="0" fontId="13" fillId="0" borderId="169" xfId="0" applyFont="1" applyFill="1" applyBorder="1" applyAlignment="1">
      <alignment horizontal="center"/>
    </xf>
    <xf numFmtId="3" fontId="0" fillId="0" borderId="170" xfId="0" applyNumberFormat="1" applyFill="1" applyBorder="1"/>
    <xf numFmtId="177" fontId="0" fillId="0" borderId="165" xfId="0" applyNumberFormat="1" applyFill="1" applyBorder="1" applyAlignment="1">
      <alignment horizontal="center"/>
    </xf>
    <xf numFmtId="184" fontId="0" fillId="0" borderId="165" xfId="0" applyNumberFormat="1" applyFill="1" applyBorder="1"/>
    <xf numFmtId="0" fontId="13" fillId="0" borderId="150" xfId="0" applyFont="1" applyFill="1" applyBorder="1" applyAlignment="1">
      <alignment horizontal="center"/>
    </xf>
    <xf numFmtId="0" fontId="13" fillId="0" borderId="175" xfId="0" applyFont="1" applyFill="1" applyBorder="1" applyAlignment="1">
      <alignment horizontal="center"/>
    </xf>
    <xf numFmtId="0" fontId="97" fillId="0" borderId="128" xfId="0" applyNumberFormat="1" applyFont="1" applyFill="1" applyBorder="1" applyAlignment="1">
      <alignment horizontal="center"/>
    </xf>
    <xf numFmtId="0" fontId="90" fillId="0" borderId="165" xfId="0" applyFont="1" applyFill="1" applyBorder="1" applyAlignment="1">
      <alignment horizontal="center"/>
    </xf>
    <xf numFmtId="7" fontId="0" fillId="0" borderId="165" xfId="0" applyNumberFormat="1" applyFill="1" applyBorder="1"/>
    <xf numFmtId="0" fontId="90" fillId="0" borderId="0" xfId="0" applyFont="1" applyFill="1" applyBorder="1"/>
    <xf numFmtId="37" fontId="97" fillId="0" borderId="165" xfId="0" applyNumberFormat="1" applyFont="1" applyFill="1" applyBorder="1"/>
    <xf numFmtId="0" fontId="97" fillId="0" borderId="165" xfId="0" applyFont="1" applyFill="1" applyBorder="1"/>
    <xf numFmtId="183" fontId="90" fillId="0" borderId="165" xfId="0" applyNumberFormat="1" applyFont="1" applyFill="1" applyBorder="1"/>
    <xf numFmtId="0" fontId="13" fillId="0" borderId="151" xfId="0" applyFont="1" applyFill="1" applyBorder="1"/>
    <xf numFmtId="0" fontId="18" fillId="0" borderId="173" xfId="0" applyFont="1" applyBorder="1"/>
    <xf numFmtId="0" fontId="13" fillId="0" borderId="174" xfId="0" applyFont="1" applyBorder="1" applyAlignment="1">
      <alignment horizontal="center"/>
    </xf>
    <xf numFmtId="3" fontId="0" fillId="0" borderId="131" xfId="0" applyNumberFormat="1" applyBorder="1"/>
    <xf numFmtId="0" fontId="16" fillId="0" borderId="127" xfId="4" applyFont="1" applyBorder="1"/>
    <xf numFmtId="0" fontId="141" fillId="0" borderId="0" xfId="4" applyFont="1"/>
    <xf numFmtId="0" fontId="87" fillId="0" borderId="141" xfId="3258" applyFont="1" applyBorder="1" applyAlignment="1">
      <alignment horizontal="center" vertical="center"/>
    </xf>
    <xf numFmtId="0" fontId="87" fillId="0" borderId="142" xfId="3258" applyFont="1" applyBorder="1" applyAlignment="1">
      <alignment horizontal="center" vertical="center"/>
    </xf>
    <xf numFmtId="0" fontId="54" fillId="0" borderId="173" xfId="3258" applyFont="1" applyFill="1" applyBorder="1"/>
    <xf numFmtId="17" fontId="54" fillId="0" borderId="131" xfId="3258" applyNumberFormat="1" applyFont="1" applyFill="1" applyBorder="1"/>
    <xf numFmtId="179" fontId="54" fillId="0" borderId="165" xfId="1" applyNumberFormat="1" applyFont="1" applyFill="1" applyBorder="1"/>
    <xf numFmtId="172" fontId="54" fillId="0" borderId="165" xfId="3258" applyNumberFormat="1" applyFont="1" applyFill="1" applyBorder="1"/>
    <xf numFmtId="0" fontId="54" fillId="0" borderId="165" xfId="3258" applyFont="1" applyFill="1" applyBorder="1"/>
    <xf numFmtId="178" fontId="54" fillId="0" borderId="165" xfId="1" applyNumberFormat="1" applyFont="1" applyFill="1" applyBorder="1"/>
    <xf numFmtId="0" fontId="54" fillId="0" borderId="141" xfId="3258" applyFont="1" applyBorder="1" applyAlignment="1">
      <alignment horizontal="center" wrapText="1"/>
    </xf>
    <xf numFmtId="0" fontId="54" fillId="0" borderId="141" xfId="3258" applyFont="1" applyBorder="1" applyAlignment="1">
      <alignment horizontal="center"/>
    </xf>
    <xf numFmtId="0" fontId="54" fillId="0" borderId="143" xfId="3258" applyFont="1" applyBorder="1" applyAlignment="1">
      <alignment horizontal="center"/>
    </xf>
    <xf numFmtId="0" fontId="54" fillId="0" borderId="144" xfId="3258" applyFont="1" applyBorder="1" applyAlignment="1">
      <alignment horizontal="center"/>
    </xf>
    <xf numFmtId="0" fontId="54" fillId="0" borderId="143" xfId="3258" applyFont="1" applyBorder="1" applyAlignment="1">
      <alignment horizontal="center" wrapText="1"/>
    </xf>
    <xf numFmtId="178" fontId="54" fillId="0" borderId="59" xfId="1" applyNumberFormat="1" applyFont="1" applyBorder="1" applyAlignment="1">
      <alignment horizontal="center"/>
    </xf>
    <xf numFmtId="0" fontId="54" fillId="0" borderId="60" xfId="3258" applyFont="1" applyBorder="1" applyAlignment="1">
      <alignment horizontal="center"/>
    </xf>
    <xf numFmtId="0" fontId="54" fillId="0" borderId="76" xfId="3258" applyFont="1" applyBorder="1" applyAlignment="1">
      <alignment horizontal="center"/>
    </xf>
    <xf numFmtId="0" fontId="54" fillId="0" borderId="37" xfId="3258" applyFont="1" applyBorder="1"/>
    <xf numFmtId="0" fontId="54" fillId="0" borderId="74" xfId="3258" applyFont="1" applyBorder="1"/>
    <xf numFmtId="0" fontId="54" fillId="0" borderId="0" xfId="3258" applyFont="1" applyFill="1"/>
    <xf numFmtId="2" fontId="54" fillId="0" borderId="0" xfId="3258" applyNumberFormat="1" applyFont="1"/>
    <xf numFmtId="38" fontId="10" fillId="0" borderId="62" xfId="1" applyNumberFormat="1" applyFont="1" applyFill="1" applyBorder="1" applyAlignment="1">
      <alignment horizontal="center"/>
    </xf>
    <xf numFmtId="0" fontId="110" fillId="0" borderId="142" xfId="3258" applyFont="1" applyBorder="1" applyAlignment="1">
      <alignment horizontal="center" wrapText="1"/>
    </xf>
    <xf numFmtId="171" fontId="54" fillId="93" borderId="75" xfId="2" applyNumberFormat="1" applyFont="1" applyFill="1" applyBorder="1"/>
    <xf numFmtId="38" fontId="54" fillId="0" borderId="75" xfId="1" applyNumberFormat="1" applyFont="1" applyFill="1" applyBorder="1"/>
    <xf numFmtId="40" fontId="54" fillId="0" borderId="75" xfId="1" applyNumberFormat="1" applyFont="1" applyFill="1" applyBorder="1"/>
    <xf numFmtId="9" fontId="110" fillId="0" borderId="0" xfId="2" applyFont="1"/>
    <xf numFmtId="9" fontId="110" fillId="0" borderId="0" xfId="3258" applyNumberFormat="1" applyFont="1"/>
    <xf numFmtId="178" fontId="54" fillId="0" borderId="4" xfId="1" applyNumberFormat="1" applyFont="1" applyBorder="1"/>
    <xf numFmtId="178" fontId="238" fillId="0" borderId="0" xfId="3258" applyNumberFormat="1" applyFont="1" applyBorder="1"/>
    <xf numFmtId="181" fontId="13" fillId="94" borderId="12" xfId="0" applyNumberFormat="1" applyFont="1" applyFill="1" applyBorder="1"/>
    <xf numFmtId="178" fontId="10" fillId="0" borderId="0" xfId="1" applyNumberFormat="1" applyFont="1"/>
    <xf numFmtId="217" fontId="0" fillId="0" borderId="0" xfId="0" applyNumberFormat="1"/>
    <xf numFmtId="181" fontId="0" fillId="0" borderId="0" xfId="0" applyNumberFormat="1"/>
    <xf numFmtId="178" fontId="0" fillId="3" borderId="0" xfId="0" applyNumberFormat="1" applyFill="1"/>
    <xf numFmtId="178" fontId="13" fillId="3" borderId="0" xfId="0" applyNumberFormat="1" applyFont="1" applyFill="1"/>
    <xf numFmtId="0" fontId="10" fillId="0" borderId="0" xfId="0" applyFont="1" applyAlignment="1">
      <alignment wrapText="1"/>
    </xf>
    <xf numFmtId="1" fontId="10" fillId="40" borderId="0" xfId="13" applyNumberFormat="1" applyFont="1" applyFill="1" applyBorder="1" applyAlignment="1" applyProtection="1">
      <protection locked="0"/>
    </xf>
    <xf numFmtId="178" fontId="10" fillId="40" borderId="165" xfId="1" applyNumberFormat="1" applyFont="1" applyFill="1" applyBorder="1" applyAlignment="1" applyProtection="1">
      <alignment horizontal="center" wrapText="1"/>
      <protection locked="0"/>
    </xf>
    <xf numFmtId="0" fontId="10" fillId="0" borderId="0" xfId="12" applyFont="1" applyBorder="1" applyAlignment="1"/>
    <xf numFmtId="0" fontId="10" fillId="0" borderId="0" xfId="12" applyFont="1" applyBorder="1" applyAlignment="1" applyProtection="1">
      <protection locked="0"/>
    </xf>
    <xf numFmtId="0" fontId="13" fillId="0" borderId="177" xfId="6067" applyFont="1" applyBorder="1"/>
    <xf numFmtId="178" fontId="13" fillId="40" borderId="165" xfId="1" applyNumberFormat="1" applyFont="1" applyFill="1" applyBorder="1" applyAlignment="1" applyProtection="1">
      <alignment horizontal="center" wrapText="1"/>
      <protection locked="0"/>
    </xf>
    <xf numFmtId="2" fontId="13" fillId="0" borderId="176" xfId="13" applyNumberFormat="1" applyFont="1" applyFill="1" applyBorder="1" applyAlignment="1" applyProtection="1">
      <alignment horizontal="center" wrapText="1"/>
      <protection locked="0"/>
    </xf>
    <xf numFmtId="2" fontId="13" fillId="0" borderId="46" xfId="13" applyNumberFormat="1" applyFont="1" applyFill="1" applyBorder="1" applyAlignment="1" applyProtection="1">
      <alignment horizontal="center" wrapText="1"/>
      <protection locked="0"/>
    </xf>
    <xf numFmtId="0" fontId="13" fillId="0" borderId="46" xfId="12" applyFont="1" applyFill="1" applyBorder="1" applyAlignment="1" applyProtection="1">
      <alignment horizontal="center" wrapText="1"/>
      <protection locked="0"/>
    </xf>
    <xf numFmtId="0" fontId="10" fillId="0" borderId="0" xfId="12" applyFont="1" applyFill="1" applyAlignment="1" applyProtection="1">
      <protection locked="0"/>
    </xf>
    <xf numFmtId="37" fontId="10" fillId="0" borderId="176" xfId="1509" applyNumberFormat="1" applyFont="1" applyFill="1" applyBorder="1" applyAlignment="1">
      <alignment horizontal="center"/>
    </xf>
    <xf numFmtId="1" fontId="10" fillId="0" borderId="16" xfId="13" applyNumberFormat="1" applyFont="1" applyFill="1" applyBorder="1" applyAlignment="1" applyProtection="1">
      <protection locked="0"/>
    </xf>
    <xf numFmtId="304" fontId="239" fillId="0" borderId="165" xfId="1509" applyNumberFormat="1" applyFont="1" applyFill="1" applyBorder="1" applyAlignment="1">
      <alignment horizontal="center"/>
    </xf>
    <xf numFmtId="181" fontId="10" fillId="0" borderId="46" xfId="13" applyNumberFormat="1" applyFont="1" applyFill="1" applyBorder="1" applyAlignment="1" applyProtection="1">
      <protection locked="0"/>
    </xf>
    <xf numFmtId="178" fontId="10" fillId="40" borderId="46" xfId="1" applyNumberFormat="1" applyFont="1" applyFill="1" applyBorder="1" applyAlignment="1" applyProtection="1">
      <alignment horizontal="center" wrapText="1"/>
      <protection locked="0"/>
    </xf>
    <xf numFmtId="178" fontId="13" fillId="40" borderId="46" xfId="1" applyNumberFormat="1" applyFont="1" applyFill="1" applyBorder="1" applyAlignment="1" applyProtection="1">
      <alignment horizontal="center" wrapText="1"/>
      <protection locked="0"/>
    </xf>
    <xf numFmtId="181" fontId="10" fillId="0" borderId="165" xfId="2283" applyNumberFormat="1" applyFont="1" applyFill="1" applyBorder="1" applyAlignment="1"/>
    <xf numFmtId="1" fontId="10" fillId="0" borderId="0" xfId="13" applyNumberFormat="1" applyFont="1" applyFill="1" applyBorder="1" applyAlignment="1" applyProtection="1">
      <protection locked="0"/>
    </xf>
    <xf numFmtId="217" fontId="10" fillId="0" borderId="0" xfId="13" applyNumberFormat="1" applyFont="1" applyFill="1" applyBorder="1" applyAlignment="1" applyProtection="1">
      <protection locked="0"/>
    </xf>
    <xf numFmtId="0" fontId="0" fillId="3" borderId="0" xfId="0" applyFill="1" applyBorder="1" applyAlignment="1"/>
    <xf numFmtId="0" fontId="0" fillId="96" borderId="0" xfId="0" applyFill="1" applyBorder="1" applyAlignment="1"/>
    <xf numFmtId="0" fontId="13" fillId="0" borderId="0" xfId="6067" applyFont="1" applyBorder="1"/>
    <xf numFmtId="178" fontId="10" fillId="95" borderId="165" xfId="1" applyNumberFormat="1" applyFont="1" applyFill="1" applyBorder="1" applyAlignment="1" applyProtection="1">
      <alignment horizontal="center" wrapText="1"/>
      <protection locked="0"/>
    </xf>
    <xf numFmtId="178" fontId="10" fillId="95" borderId="46" xfId="1" applyNumberFormat="1" applyFont="1" applyFill="1" applyBorder="1" applyAlignment="1" applyProtection="1">
      <alignment horizontal="center" wrapText="1"/>
      <protection locked="0"/>
    </xf>
    <xf numFmtId="43" fontId="0" fillId="0" borderId="0" xfId="0" applyNumberFormat="1"/>
    <xf numFmtId="0" fontId="10" fillId="0" borderId="173" xfId="0" applyFont="1" applyFill="1" applyBorder="1"/>
    <xf numFmtId="0" fontId="0" fillId="0" borderId="131" xfId="0" applyFill="1" applyBorder="1"/>
    <xf numFmtId="0" fontId="10" fillId="0" borderId="131" xfId="0" applyFont="1" applyFill="1" applyBorder="1"/>
    <xf numFmtId="0" fontId="10" fillId="0" borderId="174" xfId="0" applyFont="1" applyFill="1" applyBorder="1" applyAlignment="1">
      <alignment horizontal="center"/>
    </xf>
    <xf numFmtId="0" fontId="10" fillId="0" borderId="136" xfId="0" applyFont="1" applyBorder="1"/>
    <xf numFmtId="0" fontId="13" fillId="0" borderId="178" xfId="0" applyFont="1" applyBorder="1" applyAlignment="1">
      <alignment horizontal="center"/>
    </xf>
    <xf numFmtId="0" fontId="10" fillId="0" borderId="178" xfId="0" applyFont="1" applyBorder="1"/>
    <xf numFmtId="0" fontId="10" fillId="0" borderId="179" xfId="0" applyFont="1" applyBorder="1"/>
    <xf numFmtId="0" fontId="10" fillId="0" borderId="135" xfId="0" applyFont="1" applyBorder="1"/>
    <xf numFmtId="0" fontId="15" fillId="0" borderId="0" xfId="0" applyFont="1" applyBorder="1" applyAlignment="1">
      <alignment horizontal="center"/>
    </xf>
    <xf numFmtId="0" fontId="10" fillId="0" borderId="5" xfId="0" applyFont="1" applyBorder="1"/>
    <xf numFmtId="0" fontId="10" fillId="0" borderId="151" xfId="0" applyFont="1" applyBorder="1"/>
    <xf numFmtId="0" fontId="10" fillId="0" borderId="152" xfId="0" applyFont="1" applyBorder="1"/>
    <xf numFmtId="8" fontId="10" fillId="0" borderId="153" xfId="0" applyNumberFormat="1" applyFont="1" applyBorder="1"/>
    <xf numFmtId="8" fontId="10" fillId="0" borderId="5" xfId="0" applyNumberFormat="1" applyFont="1" applyBorder="1"/>
    <xf numFmtId="0" fontId="10" fillId="0" borderId="0" xfId="0" applyFont="1" applyBorder="1" applyAlignment="1">
      <alignment horizontal="center"/>
    </xf>
    <xf numFmtId="0" fontId="10" fillId="0" borderId="159" xfId="0" applyFont="1" applyBorder="1"/>
    <xf numFmtId="0" fontId="10" fillId="0" borderId="83" xfId="0" applyFont="1" applyBorder="1"/>
    <xf numFmtId="0" fontId="10" fillId="0" borderId="83" xfId="0" applyFont="1" applyBorder="1" applyAlignment="1">
      <alignment horizontal="center"/>
    </xf>
    <xf numFmtId="8" fontId="13" fillId="0" borderId="126" xfId="0" applyNumberFormat="1" applyFont="1" applyBorder="1"/>
    <xf numFmtId="8" fontId="10" fillId="0" borderId="0" xfId="0" applyNumberFormat="1" applyFont="1"/>
    <xf numFmtId="0" fontId="13" fillId="0" borderId="0" xfId="0" applyFont="1" applyBorder="1" applyAlignment="1">
      <alignment horizontal="center"/>
    </xf>
    <xf numFmtId="0" fontId="10" fillId="0" borderId="139" xfId="0" applyFont="1" applyBorder="1"/>
    <xf numFmtId="0" fontId="10" fillId="0" borderId="127" xfId="0" applyFont="1" applyBorder="1"/>
    <xf numFmtId="0" fontId="10" fillId="0" borderId="128" xfId="0" applyFont="1" applyBorder="1"/>
    <xf numFmtId="43" fontId="10" fillId="0" borderId="0" xfId="0" applyNumberFormat="1" applyFont="1"/>
    <xf numFmtId="0" fontId="91" fillId="0" borderId="0" xfId="0" applyFont="1" applyAlignment="1">
      <alignment horizontal="center"/>
    </xf>
    <xf numFmtId="15" fontId="10" fillId="0" borderId="0" xfId="0" applyNumberFormat="1" applyFont="1"/>
    <xf numFmtId="0" fontId="10" fillId="0" borderId="0" xfId="0" applyFont="1" applyAlignment="1">
      <alignment horizontal="center"/>
    </xf>
    <xf numFmtId="15" fontId="10" fillId="0" borderId="0" xfId="0" applyNumberFormat="1" applyFont="1" applyAlignment="1">
      <alignment horizontal="center"/>
    </xf>
    <xf numFmtId="15" fontId="13" fillId="0" borderId="0" xfId="0" applyNumberFormat="1" applyFont="1" applyAlignment="1">
      <alignment horizontal="center"/>
    </xf>
    <xf numFmtId="8" fontId="10" fillId="0" borderId="126" xfId="0" applyNumberFormat="1" applyFont="1" applyBorder="1"/>
    <xf numFmtId="0" fontId="54" fillId="0" borderId="131" xfId="3258" applyFont="1" applyBorder="1" applyAlignment="1">
      <alignment horizontal="left" vertical="center"/>
    </xf>
    <xf numFmtId="3" fontId="10" fillId="0" borderId="165" xfId="1216" applyNumberFormat="1" applyFont="1" applyBorder="1" applyAlignment="1">
      <alignment horizontal="center" vertical="center" wrapText="1"/>
    </xf>
    <xf numFmtId="0" fontId="110" fillId="0" borderId="151" xfId="3258" applyFont="1" applyBorder="1"/>
    <xf numFmtId="0" fontId="235" fillId="0" borderId="152" xfId="6031" applyFont="1" applyBorder="1" applyAlignment="1"/>
    <xf numFmtId="0" fontId="235" fillId="0" borderId="153" xfId="6031" applyFont="1" applyBorder="1" applyAlignment="1"/>
    <xf numFmtId="0" fontId="235" fillId="0" borderId="151" xfId="6031" applyFont="1" applyBorder="1" applyAlignment="1"/>
    <xf numFmtId="0" fontId="54" fillId="0" borderId="135" xfId="3258" applyFont="1" applyBorder="1" applyAlignment="1">
      <alignment horizontal="center"/>
    </xf>
    <xf numFmtId="0" fontId="235" fillId="0" borderId="152" xfId="6031" applyFont="1" applyBorder="1" applyAlignment="1">
      <alignment horizontal="left"/>
    </xf>
    <xf numFmtId="0" fontId="10" fillId="0" borderId="0" xfId="1500" applyBorder="1" applyAlignment="1">
      <alignment horizontal="center"/>
    </xf>
    <xf numFmtId="2" fontId="16" fillId="0" borderId="127" xfId="4" applyNumberFormat="1" applyFont="1" applyFill="1" applyBorder="1"/>
    <xf numFmtId="2" fontId="16" fillId="0" borderId="128" xfId="4" applyNumberFormat="1" applyFont="1" applyFill="1" applyBorder="1"/>
    <xf numFmtId="185" fontId="10" fillId="40" borderId="127" xfId="1513" applyNumberFormat="1" applyFill="1" applyBorder="1"/>
    <xf numFmtId="0" fontId="10" fillId="40" borderId="128" xfId="1500" applyFill="1" applyBorder="1"/>
    <xf numFmtId="181" fontId="10" fillId="0" borderId="127" xfId="1513" applyNumberFormat="1" applyBorder="1"/>
    <xf numFmtId="17" fontId="10" fillId="0" borderId="0" xfId="1500" applyNumberFormat="1" applyFill="1"/>
    <xf numFmtId="39" fontId="10" fillId="0" borderId="0" xfId="12" applyNumberFormat="1" applyFont="1" applyProtection="1">
      <protection locked="0"/>
    </xf>
    <xf numFmtId="305" fontId="10" fillId="0" borderId="127" xfId="1500" applyNumberFormat="1" applyBorder="1"/>
    <xf numFmtId="178" fontId="10" fillId="0" borderId="0" xfId="1" applyNumberFormat="1" applyFont="1" applyProtection="1">
      <protection locked="0"/>
    </xf>
    <xf numFmtId="3" fontId="10" fillId="3" borderId="0" xfId="1216" applyNumberFormat="1" applyFill="1" applyBorder="1" applyAlignment="1">
      <alignment horizontal="center"/>
    </xf>
    <xf numFmtId="174" fontId="10" fillId="3" borderId="0" xfId="1216" applyNumberFormat="1" applyFill="1" applyBorder="1" applyAlignment="1">
      <alignment horizontal="center"/>
    </xf>
    <xf numFmtId="181" fontId="10" fillId="97" borderId="165" xfId="13" applyNumberFormat="1" applyFont="1" applyFill="1" applyBorder="1" applyAlignment="1" applyProtection="1">
      <alignment horizontal="center"/>
      <protection locked="0"/>
    </xf>
    <xf numFmtId="3" fontId="10" fillId="0" borderId="0" xfId="0" applyNumberFormat="1" applyFont="1" applyFill="1" applyBorder="1" applyAlignment="1">
      <alignment horizontal="center"/>
    </xf>
    <xf numFmtId="3" fontId="10" fillId="40" borderId="37" xfId="0" applyNumberFormat="1" applyFont="1" applyFill="1" applyBorder="1" applyAlignment="1">
      <alignment horizontal="center"/>
    </xf>
    <xf numFmtId="3" fontId="0" fillId="0" borderId="127" xfId="0" applyNumberFormat="1" applyBorder="1" applyAlignment="1">
      <alignment horizontal="center"/>
    </xf>
    <xf numFmtId="0" fontId="0" fillId="0" borderId="0" xfId="0" applyBorder="1" applyAlignment="1">
      <alignment horizontal="right"/>
    </xf>
    <xf numFmtId="174" fontId="0" fillId="0" borderId="0" xfId="0" applyNumberFormat="1" applyBorder="1" applyAlignment="1">
      <alignment horizontal="center"/>
    </xf>
    <xf numFmtId="3" fontId="10" fillId="0" borderId="127" xfId="1216" applyNumberFormat="1" applyFont="1" applyFill="1" applyBorder="1" applyAlignment="1">
      <alignment horizontal="center"/>
    </xf>
    <xf numFmtId="173" fontId="50" fillId="0" borderId="0" xfId="1216" applyNumberFormat="1" applyFont="1" applyBorder="1" applyAlignment="1">
      <alignment horizontal="center"/>
    </xf>
    <xf numFmtId="173" fontId="50" fillId="0" borderId="0" xfId="1216" applyNumberFormat="1" applyFont="1" applyAlignment="1">
      <alignment horizontal="center"/>
    </xf>
    <xf numFmtId="3" fontId="50" fillId="0" borderId="0" xfId="1216" applyNumberFormat="1" applyFont="1" applyAlignment="1">
      <alignment horizontal="center"/>
    </xf>
    <xf numFmtId="0" fontId="10" fillId="0" borderId="0" xfId="1216" applyAlignment="1">
      <alignment horizontal="right"/>
    </xf>
    <xf numFmtId="3" fontId="11" fillId="40" borderId="165" xfId="0" applyNumberFormat="1" applyFont="1" applyFill="1" applyBorder="1" applyAlignment="1">
      <alignment horizontal="center"/>
    </xf>
    <xf numFmtId="3" fontId="10" fillId="0" borderId="5" xfId="0" applyNumberFormat="1" applyFont="1" applyFill="1" applyBorder="1" applyAlignment="1">
      <alignment horizontal="center"/>
    </xf>
    <xf numFmtId="17" fontId="10" fillId="98" borderId="1" xfId="12" applyNumberFormat="1" applyFont="1" applyFill="1" applyBorder="1" applyAlignment="1" applyProtection="1">
      <alignment horizontal="center"/>
      <protection locked="0"/>
    </xf>
    <xf numFmtId="181" fontId="10" fillId="98" borderId="16" xfId="13" applyNumberFormat="1" applyFont="1" applyFill="1" applyBorder="1" applyAlignment="1" applyProtection="1">
      <alignment horizontal="center"/>
      <protection locked="0"/>
    </xf>
    <xf numFmtId="1" fontId="10" fillId="98" borderId="16" xfId="13" applyNumberFormat="1" applyFont="1" applyFill="1" applyBorder="1" applyAlignment="1" applyProtection="1">
      <alignment horizontal="center"/>
      <protection locked="0"/>
    </xf>
    <xf numFmtId="17" fontId="10" fillId="98" borderId="0" xfId="12" applyNumberFormat="1" applyFont="1" applyFill="1" applyBorder="1" applyProtection="1">
      <protection locked="0"/>
    </xf>
    <xf numFmtId="0" fontId="10" fillId="98" borderId="0" xfId="12" applyFont="1" applyFill="1" applyBorder="1" applyAlignment="1" applyProtection="1">
      <alignment horizontal="center"/>
      <protection locked="0"/>
    </xf>
    <xf numFmtId="172" fontId="10" fillId="98" borderId="46" xfId="13" applyNumberFormat="1" applyFont="1" applyFill="1" applyBorder="1" applyAlignment="1" applyProtection="1">
      <protection locked="0"/>
    </xf>
    <xf numFmtId="37" fontId="10" fillId="98" borderId="46" xfId="1509" applyNumberFormat="1" applyFont="1" applyFill="1" applyBorder="1" applyAlignment="1">
      <alignment horizontal="center"/>
    </xf>
    <xf numFmtId="0" fontId="10" fillId="98" borderId="46" xfId="13" applyNumberFormat="1" applyFont="1" applyFill="1" applyBorder="1" applyAlignment="1" applyProtection="1">
      <protection locked="0"/>
    </xf>
    <xf numFmtId="181" fontId="10" fillId="98" borderId="46" xfId="13" applyNumberFormat="1" applyFont="1" applyFill="1" applyBorder="1" applyAlignment="1" applyProtection="1">
      <protection locked="0"/>
    </xf>
    <xf numFmtId="0" fontId="10" fillId="98" borderId="1" xfId="13" applyNumberFormat="1" applyFont="1" applyFill="1" applyBorder="1" applyAlignment="1" applyProtection="1">
      <protection locked="0"/>
    </xf>
    <xf numFmtId="1" fontId="10" fillId="98" borderId="1" xfId="13" applyNumberFormat="1" applyFont="1" applyFill="1" applyBorder="1" applyAlignment="1" applyProtection="1">
      <protection locked="0"/>
    </xf>
    <xf numFmtId="0" fontId="10" fillId="98" borderId="0" xfId="12" applyFont="1" applyFill="1" applyProtection="1">
      <protection locked="0"/>
    </xf>
    <xf numFmtId="181" fontId="10" fillId="98" borderId="1" xfId="13" applyNumberFormat="1" applyFont="1" applyFill="1" applyBorder="1" applyAlignment="1" applyProtection="1">
      <alignment horizontal="center"/>
      <protection locked="0"/>
    </xf>
    <xf numFmtId="171" fontId="10" fillId="98" borderId="1" xfId="2" applyNumberFormat="1" applyFont="1" applyFill="1" applyBorder="1" applyProtection="1">
      <protection locked="0"/>
    </xf>
    <xf numFmtId="0" fontId="10" fillId="0" borderId="0" xfId="12" applyFont="1" applyAlignment="1">
      <alignment horizontal="left"/>
    </xf>
    <xf numFmtId="306" fontId="0" fillId="0" borderId="0" xfId="1" applyNumberFormat="1" applyFont="1"/>
    <xf numFmtId="0" fontId="91" fillId="0" borderId="165" xfId="0" applyFont="1" applyBorder="1" applyAlignment="1">
      <alignment horizontal="center"/>
    </xf>
    <xf numFmtId="0" fontId="44" fillId="0" borderId="165" xfId="0" applyFont="1" applyBorder="1"/>
    <xf numFmtId="178" fontId="44" fillId="0" borderId="165" xfId="1" applyNumberFormat="1" applyFont="1" applyBorder="1"/>
    <xf numFmtId="3" fontId="44" fillId="0" borderId="165" xfId="0" applyNumberFormat="1" applyFont="1" applyBorder="1"/>
    <xf numFmtId="0" fontId="91" fillId="0" borderId="131" xfId="0" applyFont="1" applyBorder="1"/>
    <xf numFmtId="0" fontId="44" fillId="0" borderId="131" xfId="0" applyFont="1" applyBorder="1"/>
    <xf numFmtId="181" fontId="44" fillId="0" borderId="0" xfId="13" applyNumberFormat="1" applyFont="1" applyBorder="1"/>
    <xf numFmtId="181" fontId="0" fillId="0" borderId="164" xfId="2283" applyNumberFormat="1" applyFont="1" applyBorder="1" applyAlignment="1" applyProtection="1">
      <alignment horizontal="right" vertical="center"/>
      <protection locked="0"/>
    </xf>
    <xf numFmtId="181" fontId="0" fillId="0" borderId="164" xfId="2283" applyNumberFormat="1" applyFont="1" applyFill="1" applyBorder="1" applyAlignment="1" applyProtection="1">
      <alignment horizontal="right" vertical="center"/>
      <protection locked="0"/>
    </xf>
    <xf numFmtId="174" fontId="0" fillId="0" borderId="164" xfId="0" applyNumberFormat="1" applyFill="1" applyBorder="1" applyAlignment="1" applyProtection="1">
      <alignment horizontal="right" vertical="center"/>
      <protection locked="0"/>
    </xf>
    <xf numFmtId="0" fontId="54" fillId="0" borderId="141" xfId="3258" applyFont="1" applyBorder="1" applyAlignment="1">
      <alignment horizontal="center"/>
    </xf>
    <xf numFmtId="0" fontId="54" fillId="0" borderId="142" xfId="3258" applyFont="1" applyBorder="1" applyAlignment="1">
      <alignment horizontal="center"/>
    </xf>
    <xf numFmtId="0" fontId="110" fillId="0" borderId="4" xfId="3258" applyFont="1" applyBorder="1" applyAlignment="1">
      <alignment horizontal="center" wrapText="1"/>
    </xf>
    <xf numFmtId="0" fontId="110" fillId="0" borderId="0" xfId="3258" applyFont="1" applyAlignment="1">
      <alignment horizontal="center" wrapText="1"/>
    </xf>
    <xf numFmtId="0" fontId="225" fillId="0" borderId="132" xfId="3258" applyFont="1" applyBorder="1" applyAlignment="1">
      <alignment horizontal="center"/>
    </xf>
    <xf numFmtId="0" fontId="225" fillId="0" borderId="133" xfId="3258" applyFont="1" applyBorder="1" applyAlignment="1">
      <alignment horizontal="center"/>
    </xf>
    <xf numFmtId="0" fontId="225" fillId="0" borderId="134" xfId="3258" applyFont="1" applyBorder="1" applyAlignment="1">
      <alignment horizontal="center"/>
    </xf>
    <xf numFmtId="0" fontId="235" fillId="0" borderId="131" xfId="6031" applyFont="1" applyBorder="1" applyAlignment="1">
      <alignment horizontal="center"/>
    </xf>
    <xf numFmtId="0" fontId="235" fillId="0" borderId="114" xfId="6031" applyFont="1" applyBorder="1" applyAlignment="1">
      <alignment horizontal="center"/>
    </xf>
    <xf numFmtId="0" fontId="235" fillId="0" borderId="131" xfId="6035" applyFont="1" applyBorder="1" applyAlignment="1">
      <alignment horizontal="center"/>
    </xf>
    <xf numFmtId="0" fontId="235" fillId="0" borderId="165" xfId="6035" applyFont="1" applyBorder="1" applyAlignment="1">
      <alignment horizontal="center"/>
    </xf>
    <xf numFmtId="0" fontId="87" fillId="0" borderId="141" xfId="3258" applyFont="1" applyBorder="1" applyAlignment="1">
      <alignment horizontal="center" vertical="center"/>
    </xf>
    <xf numFmtId="0" fontId="87" fillId="0" borderId="142" xfId="3258" applyFont="1" applyBorder="1" applyAlignment="1">
      <alignment horizontal="center" vertical="center"/>
    </xf>
    <xf numFmtId="0" fontId="10" fillId="0" borderId="131" xfId="0" applyFont="1" applyFill="1" applyBorder="1" applyAlignment="1" applyProtection="1">
      <alignment horizontal="left"/>
      <protection locked="0"/>
    </xf>
    <xf numFmtId="0" fontId="10" fillId="0" borderId="165" xfId="0" applyFont="1" applyFill="1" applyBorder="1" applyAlignment="1" applyProtection="1">
      <alignment horizontal="left"/>
      <protection locked="0"/>
    </xf>
    <xf numFmtId="0" fontId="10" fillId="0" borderId="154" xfId="0" applyFont="1" applyFill="1" applyBorder="1" applyAlignment="1" applyProtection="1">
      <alignment horizontal="left"/>
      <protection locked="0"/>
    </xf>
    <xf numFmtId="0" fontId="10" fillId="0" borderId="123" xfId="0" applyFont="1" applyFill="1" applyBorder="1" applyAlignment="1" applyProtection="1">
      <alignment horizontal="left"/>
      <protection locked="0"/>
    </xf>
    <xf numFmtId="0" fontId="10" fillId="0" borderId="159" xfId="0" applyFont="1" applyFill="1" applyBorder="1" applyAlignment="1" applyProtection="1">
      <alignment horizontal="left"/>
      <protection locked="0"/>
    </xf>
    <xf numFmtId="0" fontId="10" fillId="0" borderId="126" xfId="0" applyFont="1" applyFill="1" applyBorder="1" applyAlignment="1" applyProtection="1">
      <alignment horizontal="left"/>
      <protection locked="0"/>
    </xf>
    <xf numFmtId="0" fontId="10" fillId="0" borderId="155" xfId="0" applyFont="1" applyFill="1" applyBorder="1" applyAlignment="1" applyProtection="1">
      <alignment horizontal="left"/>
      <protection locked="0"/>
    </xf>
    <xf numFmtId="0" fontId="10" fillId="0" borderId="124" xfId="0" applyFont="1" applyFill="1" applyBorder="1" applyAlignment="1" applyProtection="1">
      <alignment horizontal="left"/>
      <protection locked="0"/>
    </xf>
    <xf numFmtId="0" fontId="10" fillId="0" borderId="151" xfId="0" applyFont="1" applyFill="1" applyBorder="1" applyAlignment="1" applyProtection="1">
      <alignment horizontal="left"/>
      <protection locked="0"/>
    </xf>
    <xf numFmtId="0" fontId="10" fillId="0" borderId="153" xfId="0" applyFont="1" applyFill="1" applyBorder="1" applyAlignment="1" applyProtection="1">
      <alignment horizontal="left"/>
      <protection locked="0"/>
    </xf>
    <xf numFmtId="0" fontId="10" fillId="0" borderId="166" xfId="0" applyFont="1" applyFill="1" applyBorder="1" applyAlignment="1" applyProtection="1">
      <alignment horizontal="left"/>
      <protection locked="0"/>
    </xf>
    <xf numFmtId="0" fontId="10" fillId="0" borderId="66" xfId="0" applyFont="1" applyFill="1" applyBorder="1" applyAlignment="1" applyProtection="1">
      <alignment horizontal="left"/>
      <protection locked="0"/>
    </xf>
    <xf numFmtId="0" fontId="10" fillId="0" borderId="161" xfId="0" applyFont="1" applyFill="1" applyBorder="1" applyAlignment="1" applyProtection="1">
      <alignment horizontal="left"/>
      <protection locked="0"/>
    </xf>
    <xf numFmtId="0" fontId="10" fillId="0" borderId="125" xfId="0" applyFont="1" applyFill="1" applyBorder="1" applyAlignment="1" applyProtection="1">
      <alignment horizontal="left"/>
      <protection locked="0"/>
    </xf>
    <xf numFmtId="0" fontId="10" fillId="0" borderId="117" xfId="0" applyFont="1" applyFill="1" applyBorder="1" applyAlignment="1" applyProtection="1">
      <alignment horizontal="left"/>
      <protection locked="0"/>
    </xf>
    <xf numFmtId="173" fontId="13" fillId="0" borderId="51" xfId="1216" applyNumberFormat="1" applyFont="1" applyBorder="1" applyAlignment="1">
      <alignment horizontal="center"/>
    </xf>
    <xf numFmtId="173" fontId="13" fillId="0" borderId="53" xfId="1216" applyNumberFormat="1" applyFont="1" applyBorder="1" applyAlignment="1">
      <alignment horizontal="center"/>
    </xf>
    <xf numFmtId="0" fontId="10" fillId="0" borderId="46" xfId="1500" applyBorder="1" applyAlignment="1">
      <alignment horizontal="center"/>
    </xf>
    <xf numFmtId="0" fontId="10" fillId="0" borderId="49" xfId="1500" applyBorder="1" applyAlignment="1">
      <alignment horizontal="center"/>
    </xf>
    <xf numFmtId="0" fontId="10" fillId="0" borderId="26" xfId="1500" applyBorder="1" applyAlignment="1">
      <alignment horizontal="center"/>
    </xf>
    <xf numFmtId="0" fontId="10" fillId="0" borderId="0" xfId="1500" applyBorder="1" applyAlignment="1">
      <alignment horizontal="center"/>
    </xf>
    <xf numFmtId="0" fontId="10" fillId="0" borderId="27" xfId="1500" applyBorder="1" applyAlignment="1">
      <alignment horizontal="center"/>
    </xf>
    <xf numFmtId="0" fontId="13" fillId="0" borderId="172" xfId="0" applyNumberFormat="1" applyFont="1" applyFill="1" applyBorder="1" applyAlignment="1">
      <alignment horizontal="center"/>
    </xf>
    <xf numFmtId="0" fontId="13" fillId="0" borderId="133" xfId="0" applyNumberFormat="1" applyFont="1" applyFill="1" applyBorder="1" applyAlignment="1">
      <alignment horizontal="center"/>
    </xf>
    <xf numFmtId="0" fontId="13" fillId="0" borderId="134" xfId="0" applyNumberFormat="1" applyFont="1" applyFill="1" applyBorder="1" applyAlignment="1">
      <alignment horizontal="center"/>
    </xf>
    <xf numFmtId="0" fontId="13" fillId="0" borderId="0" xfId="0" applyFont="1" applyBorder="1" applyAlignment="1">
      <alignment horizontal="center" wrapText="1"/>
    </xf>
    <xf numFmtId="0" fontId="13" fillId="0" borderId="175" xfId="0" applyNumberFormat="1" applyFont="1" applyFill="1" applyBorder="1" applyAlignment="1">
      <alignment horizontal="center" wrapText="1"/>
    </xf>
    <xf numFmtId="0" fontId="13" fillId="0" borderId="15" xfId="0" applyNumberFormat="1" applyFont="1" applyFill="1" applyBorder="1" applyAlignment="1">
      <alignment horizontal="center" wrapText="1"/>
    </xf>
    <xf numFmtId="0" fontId="13" fillId="0" borderId="175" xfId="0" applyFont="1" applyFill="1" applyBorder="1" applyAlignment="1">
      <alignment horizontal="center" wrapText="1"/>
    </xf>
    <xf numFmtId="0" fontId="13" fillId="0" borderId="150" xfId="0" applyFont="1" applyFill="1" applyBorder="1" applyAlignment="1">
      <alignment horizontal="center" wrapText="1"/>
    </xf>
    <xf numFmtId="0" fontId="13" fillId="7" borderId="4" xfId="0" applyNumberFormat="1" applyFont="1" applyFill="1" applyBorder="1" applyAlignment="1">
      <alignment horizontal="center"/>
    </xf>
    <xf numFmtId="0" fontId="13" fillId="7" borderId="12" xfId="0" applyNumberFormat="1" applyFont="1" applyFill="1" applyBorder="1" applyAlignment="1">
      <alignment horizontal="center"/>
    </xf>
    <xf numFmtId="0" fontId="13" fillId="7" borderId="13" xfId="0" applyNumberFormat="1" applyFont="1" applyFill="1" applyBorder="1" applyAlignment="1">
      <alignment horizontal="center"/>
    </xf>
    <xf numFmtId="0" fontId="13" fillId="7" borderId="6" xfId="0" applyNumberFormat="1" applyFont="1" applyFill="1" applyBorder="1" applyAlignment="1">
      <alignment horizontal="center"/>
    </xf>
    <xf numFmtId="0" fontId="13" fillId="7" borderId="5" xfId="0" applyNumberFormat="1" applyFont="1" applyFill="1" applyBorder="1" applyAlignment="1">
      <alignment horizontal="center"/>
    </xf>
    <xf numFmtId="0" fontId="13" fillId="0" borderId="23" xfId="0" applyFont="1" applyBorder="1" applyAlignment="1">
      <alignment horizontal="center" wrapText="1"/>
    </xf>
    <xf numFmtId="0" fontId="13" fillId="0" borderId="24" xfId="0" applyFont="1" applyBorder="1" applyAlignment="1">
      <alignment horizontal="center" wrapText="1"/>
    </xf>
    <xf numFmtId="0" fontId="13" fillId="0" borderId="25" xfId="0" applyFont="1" applyBorder="1" applyAlignment="1">
      <alignment horizontal="center" wrapText="1"/>
    </xf>
    <xf numFmtId="0" fontId="13" fillId="7" borderId="14" xfId="0" applyNumberFormat="1" applyFont="1" applyFill="1" applyBorder="1" applyAlignment="1">
      <alignment horizontal="center" wrapText="1"/>
    </xf>
    <xf numFmtId="0" fontId="13" fillId="7" borderId="15" xfId="0" applyNumberFormat="1" applyFont="1" applyFill="1" applyBorder="1" applyAlignment="1">
      <alignment horizontal="center" wrapText="1"/>
    </xf>
    <xf numFmtId="0" fontId="13" fillId="7" borderId="14" xfId="0" applyFont="1" applyFill="1" applyBorder="1" applyAlignment="1">
      <alignment horizontal="center" wrapText="1"/>
    </xf>
    <xf numFmtId="0" fontId="13" fillId="7" borderId="16" xfId="0" applyFont="1" applyFill="1" applyBorder="1" applyAlignment="1">
      <alignment horizontal="center" wrapText="1"/>
    </xf>
    <xf numFmtId="0" fontId="13" fillId="7" borderId="9" xfId="0" applyNumberFormat="1" applyFont="1" applyFill="1" applyBorder="1" applyAlignment="1">
      <alignment horizontal="center"/>
    </xf>
    <xf numFmtId="0" fontId="13" fillId="7" borderId="10" xfId="0" applyNumberFormat="1" applyFont="1" applyFill="1" applyBorder="1" applyAlignment="1">
      <alignment horizontal="center"/>
    </xf>
    <xf numFmtId="0" fontId="13" fillId="7" borderId="11" xfId="0" applyNumberFormat="1" applyFont="1" applyFill="1" applyBorder="1" applyAlignment="1">
      <alignment horizontal="center"/>
    </xf>
    <xf numFmtId="0" fontId="10" fillId="0" borderId="0" xfId="1077" applyFont="1" applyAlignment="1">
      <alignment vertical="top" wrapText="1"/>
    </xf>
    <xf numFmtId="0" fontId="93" fillId="0" borderId="0" xfId="1077" applyFont="1" applyAlignment="1">
      <alignment horizontal="center"/>
    </xf>
    <xf numFmtId="0" fontId="94" fillId="0" borderId="0" xfId="1077" applyFont="1" applyAlignment="1">
      <alignment horizontal="center"/>
    </xf>
    <xf numFmtId="0" fontId="10" fillId="0" borderId="17" xfId="1077" applyFill="1" applyBorder="1" applyAlignment="1">
      <alignment horizontal="center"/>
    </xf>
    <xf numFmtId="0" fontId="10" fillId="0" borderId="18" xfId="1077" applyFill="1" applyBorder="1" applyAlignment="1">
      <alignment horizontal="center"/>
    </xf>
    <xf numFmtId="0" fontId="10" fillId="0" borderId="48" xfId="1077" applyFill="1" applyBorder="1" applyAlignment="1">
      <alignment horizontal="center"/>
    </xf>
    <xf numFmtId="0" fontId="10" fillId="0" borderId="46" xfId="1077" applyFill="1" applyBorder="1" applyAlignment="1">
      <alignment horizontal="center"/>
    </xf>
    <xf numFmtId="0" fontId="13" fillId="0" borderId="70" xfId="1077" applyFont="1" applyFill="1" applyBorder="1" applyAlignment="1">
      <alignment horizontal="center"/>
    </xf>
    <xf numFmtId="0" fontId="13" fillId="0" borderId="3" xfId="1077" applyFont="1" applyFill="1" applyBorder="1" applyAlignment="1">
      <alignment horizontal="center"/>
    </xf>
    <xf numFmtId="0" fontId="13" fillId="0" borderId="71" xfId="1077" applyFont="1" applyFill="1" applyBorder="1" applyAlignment="1">
      <alignment horizontal="center"/>
    </xf>
    <xf numFmtId="0" fontId="13" fillId="0" borderId="72" xfId="1077" applyFont="1" applyFill="1" applyBorder="1" applyAlignment="1">
      <alignment horizontal="center" vertical="center" wrapText="1"/>
    </xf>
    <xf numFmtId="0" fontId="10" fillId="0" borderId="68" xfId="1077" applyFill="1" applyBorder="1" applyAlignment="1">
      <alignment horizontal="center" vertical="center" wrapText="1"/>
    </xf>
    <xf numFmtId="0" fontId="95" fillId="63" borderId="7" xfId="1077" applyFont="1" applyFill="1" applyBorder="1" applyAlignment="1">
      <alignment horizontal="left"/>
    </xf>
    <xf numFmtId="0" fontId="95" fillId="63" borderId="51" xfId="1077" applyFont="1" applyFill="1" applyBorder="1" applyAlignment="1">
      <alignment horizontal="left"/>
    </xf>
    <xf numFmtId="0" fontId="95" fillId="63" borderId="52" xfId="1077" applyFont="1" applyFill="1" applyBorder="1" applyAlignment="1">
      <alignment horizontal="left"/>
    </xf>
    <xf numFmtId="0" fontId="95" fillId="63" borderId="7" xfId="1077" applyFont="1" applyFill="1" applyBorder="1" applyAlignment="1">
      <alignment horizontal="left" vertical="top" wrapText="1"/>
    </xf>
    <xf numFmtId="0" fontId="95" fillId="63" borderId="51" xfId="1077" applyFont="1" applyFill="1" applyBorder="1" applyAlignment="1">
      <alignment horizontal="left" vertical="top" wrapText="1"/>
    </xf>
    <xf numFmtId="0" fontId="95" fillId="63" borderId="52" xfId="1077" applyFont="1" applyFill="1" applyBorder="1" applyAlignment="1">
      <alignment horizontal="left" vertical="top" wrapText="1"/>
    </xf>
    <xf numFmtId="0" fontId="10" fillId="0" borderId="0" xfId="1077" applyFont="1" applyAlignment="1">
      <alignment horizontal="left"/>
    </xf>
    <xf numFmtId="0" fontId="15" fillId="0" borderId="0" xfId="1077" applyFont="1" applyAlignment="1">
      <alignment horizontal="left"/>
    </xf>
    <xf numFmtId="0" fontId="19" fillId="0" borderId="0" xfId="1077" applyFont="1" applyAlignment="1">
      <alignment vertical="top" wrapText="1"/>
    </xf>
  </cellXfs>
  <cellStyles count="11947">
    <cellStyle name="-" xfId="1529"/>
    <cellStyle name="$" xfId="20"/>
    <cellStyle name="$ &amp; ¢" xfId="1531"/>
    <cellStyle name="$ 2" xfId="1530"/>
    <cellStyle name="$ 3" xfId="3948"/>
    <cellStyle name="$ 4" xfId="6022"/>
    <cellStyle name="$.00" xfId="21"/>
    <cellStyle name="$_9. Rev2Cost_GDPIPI" xfId="22"/>
    <cellStyle name="$_lists" xfId="23"/>
    <cellStyle name="$_lists_4. Current Monthly Fixed Charge" xfId="24"/>
    <cellStyle name="$_Sheet4" xfId="25"/>
    <cellStyle name="$M" xfId="26"/>
    <cellStyle name="$M.00" xfId="27"/>
    <cellStyle name="$M_9. Rev2Cost_GDPIPI" xfId="28"/>
    <cellStyle name="%" xfId="1532"/>
    <cellStyle name="%.00" xfId="1533"/>
    <cellStyle name="(Heading)" xfId="1534"/>
    <cellStyle name="(Heading) 2" xfId="6021"/>
    <cellStyle name="(Lefting)" xfId="1535"/>
    <cellStyle name="(Lefting) 2" xfId="6020"/>
    <cellStyle name="(z*¯_x000f_°(”,¯?À(¢,¯?Ð(°,¯?à(Â,¯?ð(Ô,¯?" xfId="1536"/>
    <cellStyle name="******************************************" xfId="1537"/>
    <cellStyle name="_CNMD_Valuation Model_20081212_v2" xfId="1538"/>
    <cellStyle name="_Comma" xfId="1539"/>
    <cellStyle name="_Comps 4" xfId="1540"/>
    <cellStyle name="_Cont Analysis" xfId="1541"/>
    <cellStyle name="_Currency" xfId="1542"/>
    <cellStyle name="_Currency_Analysis" xfId="1543"/>
    <cellStyle name="_Currency_Smartportfolio model" xfId="1544"/>
    <cellStyle name="_Currency_Smartportfolio model_DB-merged files" xfId="1545"/>
    <cellStyle name="_CurrencySpace" xfId="1546"/>
    <cellStyle name="_Gamma Valuation - 8" xfId="1547"/>
    <cellStyle name="_ITRN" xfId="1548"/>
    <cellStyle name="-_Merger Model 17 Nov 04" xfId="1549"/>
    <cellStyle name="_Merger Model_KN&amp;Fzio_v2.30 - Street" xfId="1550"/>
    <cellStyle name="_Multiple" xfId="1551"/>
    <cellStyle name="_Multiple_Analysis" xfId="1552"/>
    <cellStyle name="_Multiple_Analysis_DB-merged files" xfId="1553"/>
    <cellStyle name="_Multiple_Smartportfolio model" xfId="1554"/>
    <cellStyle name="_Multiple_Smartportfolio model_DB-merged files" xfId="1555"/>
    <cellStyle name="_MultipleSpace" xfId="1556"/>
    <cellStyle name="_MultipleSpace_Analysis" xfId="1557"/>
    <cellStyle name="_MultipleSpace_csc" xfId="1558"/>
    <cellStyle name="_MultipleSpace_Smartportfolio model" xfId="1559"/>
    <cellStyle name="_MultipleSpace_Smartportfolio model_DB-merged files" xfId="1560"/>
    <cellStyle name="_Percent" xfId="1561"/>
    <cellStyle name="_Percent_Analysis" xfId="1562"/>
    <cellStyle name="_Percent_Smartportfolio model" xfId="1563"/>
    <cellStyle name="_Percent_Smartportfolio model_DB-merged files" xfId="1564"/>
    <cellStyle name="_PercentSpace" xfId="1565"/>
    <cellStyle name="_PercentSpace_Analysis" xfId="1566"/>
    <cellStyle name="_PercentSpace_Smartportfolio model" xfId="1567"/>
    <cellStyle name="_Sepracor Riders_Clean" xfId="1568"/>
    <cellStyle name="_SIAL_Model_5.22.09 v71" xfId="1569"/>
    <cellStyle name="&lt;9#_x000f_¾Èƒé1ƒÃ_x0002_;M_x0014_}$‹E_x0010_‹_x0004_ˆ…Àt_x001b_Pÿ_x0015_ x¦" xfId="1572"/>
    <cellStyle name="=C:\WINNT35\SYSTEM32\COMMAND.COM" xfId="1573"/>
    <cellStyle name="£ BP" xfId="1570"/>
    <cellStyle name="¥ JY" xfId="1571"/>
    <cellStyle name="0752-93035" xfId="1574"/>
    <cellStyle name="1,comma" xfId="1575"/>
    <cellStyle name="10Q" xfId="1576"/>
    <cellStyle name="20% - Accent1 10" xfId="29"/>
    <cellStyle name="20% - Accent1 11" xfId="30"/>
    <cellStyle name="20% - Accent1 12" xfId="31"/>
    <cellStyle name="20% - Accent1 13" xfId="32"/>
    <cellStyle name="20% - Accent1 14" xfId="33"/>
    <cellStyle name="20% - Accent1 15" xfId="34"/>
    <cellStyle name="20% - Accent1 16" xfId="35"/>
    <cellStyle name="20% - Accent1 2" xfId="36"/>
    <cellStyle name="20% - Accent1 2 10" xfId="1578"/>
    <cellStyle name="20% - Accent1 2 11" xfId="1577"/>
    <cellStyle name="20% - Accent1 2 2" xfId="37"/>
    <cellStyle name="20% - Accent1 2 2 2" xfId="1580"/>
    <cellStyle name="20% - Accent1 2 2 2 2" xfId="8322"/>
    <cellStyle name="20% - Accent1 2 2 2 2 2" xfId="11219"/>
    <cellStyle name="20% - Accent1 2 2 2 3" xfId="9779"/>
    <cellStyle name="20% - Accent1 2 2 2 4" xfId="6842"/>
    <cellStyle name="20% - Accent1 2 2 3" xfId="1581"/>
    <cellStyle name="20% - Accent1 2 2 3 2" xfId="10561"/>
    <cellStyle name="20% - Accent1 2 2 3 3" xfId="7661"/>
    <cellStyle name="20% - Accent1 2 2 4" xfId="1579"/>
    <cellStyle name="20% - Accent1 2 2 4 2" xfId="9121"/>
    <cellStyle name="20% - Accent1 2 2 5" xfId="6135"/>
    <cellStyle name="20% - Accent1 2 3" xfId="38"/>
    <cellStyle name="20% - Accent1 2 3 2" xfId="1583"/>
    <cellStyle name="20% - Accent1 2 3 3" xfId="1582"/>
    <cellStyle name="20% - Accent1 2 4" xfId="1584"/>
    <cellStyle name="20% - Accent1 2 5" xfId="1585"/>
    <cellStyle name="20% - Accent1 2 6" xfId="1586"/>
    <cellStyle name="20% - Accent1 2 7" xfId="1587"/>
    <cellStyle name="20% - Accent1 2 8" xfId="1588"/>
    <cellStyle name="20% - Accent1 2 9" xfId="1589"/>
    <cellStyle name="20% - Accent1 3" xfId="39"/>
    <cellStyle name="20% - Accent1 3 2" xfId="1591"/>
    <cellStyle name="20% - Accent1 3 2 2" xfId="1592"/>
    <cellStyle name="20% - Accent1 3 2 2 2" xfId="1593"/>
    <cellStyle name="20% - Accent1 3 2 2 2 2" xfId="1594"/>
    <cellStyle name="20% - Accent1 3 2 2 3" xfId="1595"/>
    <cellStyle name="20% - Accent1 3 2 3" xfId="1596"/>
    <cellStyle name="20% - Accent1 3 2 3 2" xfId="1597"/>
    <cellStyle name="20% - Accent1 3 2 4" xfId="1598"/>
    <cellStyle name="20% - Accent1 3 3" xfId="1599"/>
    <cellStyle name="20% - Accent1 3 3 2" xfId="1600"/>
    <cellStyle name="20% - Accent1 3 3 2 2" xfId="1601"/>
    <cellStyle name="20% - Accent1 3 3 2 2 2" xfId="1602"/>
    <cellStyle name="20% - Accent1 3 3 2 3" xfId="1603"/>
    <cellStyle name="20% - Accent1 3 3 3" xfId="1604"/>
    <cellStyle name="20% - Accent1 3 3 3 2" xfId="1605"/>
    <cellStyle name="20% - Accent1 3 3 4" xfId="1606"/>
    <cellStyle name="20% - Accent1 3 4" xfId="1607"/>
    <cellStyle name="20% - Accent1 3 4 2" xfId="1608"/>
    <cellStyle name="20% - Accent1 3 4 2 2" xfId="1609"/>
    <cellStyle name="20% - Accent1 3 4 3" xfId="1610"/>
    <cellStyle name="20% - Accent1 3 5" xfId="1611"/>
    <cellStyle name="20% - Accent1 3 5 2" xfId="1612"/>
    <cellStyle name="20% - Accent1 3 6" xfId="1613"/>
    <cellStyle name="20% - Accent1 3 7" xfId="1590"/>
    <cellStyle name="20% - Accent1 4" xfId="40"/>
    <cellStyle name="20% - Accent1 4 2" xfId="1614"/>
    <cellStyle name="20% - Accent1 5" xfId="41"/>
    <cellStyle name="20% - Accent1 5 2" xfId="1615"/>
    <cellStyle name="20% - Accent1 6" xfId="42"/>
    <cellStyle name="20% - Accent1 6 2" xfId="1616"/>
    <cellStyle name="20% - Accent1 7" xfId="43"/>
    <cellStyle name="20% - Accent1 7 2" xfId="1617"/>
    <cellStyle name="20% - Accent1 8" xfId="44"/>
    <cellStyle name="20% - Accent1 8 2" xfId="1618"/>
    <cellStyle name="20% - Accent1 9" xfId="45"/>
    <cellStyle name="20% - Accent2 10" xfId="46"/>
    <cellStyle name="20% - Accent2 11" xfId="47"/>
    <cellStyle name="20% - Accent2 12" xfId="48"/>
    <cellStyle name="20% - Accent2 13" xfId="49"/>
    <cellStyle name="20% - Accent2 14" xfId="50"/>
    <cellStyle name="20% - Accent2 15" xfId="51"/>
    <cellStyle name="20% - Accent2 16" xfId="52"/>
    <cellStyle name="20% - Accent2 2" xfId="53"/>
    <cellStyle name="20% - Accent2 2 10" xfId="1620"/>
    <cellStyle name="20% - Accent2 2 11" xfId="1619"/>
    <cellStyle name="20% - Accent2 2 2" xfId="54"/>
    <cellStyle name="20% - Accent2 2 2 2" xfId="1622"/>
    <cellStyle name="20% - Accent2 2 2 2 2" xfId="8324"/>
    <cellStyle name="20% - Accent2 2 2 2 2 2" xfId="11221"/>
    <cellStyle name="20% - Accent2 2 2 2 3" xfId="9781"/>
    <cellStyle name="20% - Accent2 2 2 2 4" xfId="6844"/>
    <cellStyle name="20% - Accent2 2 2 3" xfId="1623"/>
    <cellStyle name="20% - Accent2 2 2 3 2" xfId="10563"/>
    <cellStyle name="20% - Accent2 2 2 3 3" xfId="7663"/>
    <cellStyle name="20% - Accent2 2 2 4" xfId="1621"/>
    <cellStyle name="20% - Accent2 2 2 4 2" xfId="9123"/>
    <cellStyle name="20% - Accent2 2 2 5" xfId="6137"/>
    <cellStyle name="20% - Accent2 2 3" xfId="55"/>
    <cellStyle name="20% - Accent2 2 3 2" xfId="1625"/>
    <cellStyle name="20% - Accent2 2 3 3" xfId="1624"/>
    <cellStyle name="20% - Accent2 2 4" xfId="1626"/>
    <cellStyle name="20% - Accent2 2 5" xfId="1627"/>
    <cellStyle name="20% - Accent2 2 6" xfId="1628"/>
    <cellStyle name="20% - Accent2 2 7" xfId="1629"/>
    <cellStyle name="20% - Accent2 2 8" xfId="1630"/>
    <cellStyle name="20% - Accent2 2 9" xfId="1631"/>
    <cellStyle name="20% - Accent2 3" xfId="56"/>
    <cellStyle name="20% - Accent2 3 2" xfId="1633"/>
    <cellStyle name="20% - Accent2 3 2 2" xfId="1634"/>
    <cellStyle name="20% - Accent2 3 2 2 2" xfId="1635"/>
    <cellStyle name="20% - Accent2 3 2 2 2 2" xfId="1636"/>
    <cellStyle name="20% - Accent2 3 2 2 3" xfId="1637"/>
    <cellStyle name="20% - Accent2 3 2 3" xfId="1638"/>
    <cellStyle name="20% - Accent2 3 2 3 2" xfId="1639"/>
    <cellStyle name="20% - Accent2 3 2 4" xfId="1640"/>
    <cellStyle name="20% - Accent2 3 3" xfId="1641"/>
    <cellStyle name="20% - Accent2 3 3 2" xfId="1642"/>
    <cellStyle name="20% - Accent2 3 3 2 2" xfId="1643"/>
    <cellStyle name="20% - Accent2 3 3 2 2 2" xfId="1644"/>
    <cellStyle name="20% - Accent2 3 3 2 3" xfId="1645"/>
    <cellStyle name="20% - Accent2 3 3 3" xfId="1646"/>
    <cellStyle name="20% - Accent2 3 3 3 2" xfId="1647"/>
    <cellStyle name="20% - Accent2 3 3 4" xfId="1648"/>
    <cellStyle name="20% - Accent2 3 4" xfId="1649"/>
    <cellStyle name="20% - Accent2 3 4 2" xfId="1650"/>
    <cellStyle name="20% - Accent2 3 4 2 2" xfId="1651"/>
    <cellStyle name="20% - Accent2 3 4 3" xfId="1652"/>
    <cellStyle name="20% - Accent2 3 5" xfId="1653"/>
    <cellStyle name="20% - Accent2 3 5 2" xfId="1654"/>
    <cellStyle name="20% - Accent2 3 6" xfId="1655"/>
    <cellStyle name="20% - Accent2 3 7" xfId="1632"/>
    <cellStyle name="20% - Accent2 4" xfId="57"/>
    <cellStyle name="20% - Accent2 4 2" xfId="1656"/>
    <cellStyle name="20% - Accent2 5" xfId="58"/>
    <cellStyle name="20% - Accent2 5 2" xfId="1657"/>
    <cellStyle name="20% - Accent2 6" xfId="59"/>
    <cellStyle name="20% - Accent2 6 2" xfId="1658"/>
    <cellStyle name="20% - Accent2 7" xfId="60"/>
    <cellStyle name="20% - Accent2 7 2" xfId="1659"/>
    <cellStyle name="20% - Accent2 8" xfId="61"/>
    <cellStyle name="20% - Accent2 8 2" xfId="1660"/>
    <cellStyle name="20% - Accent2 9" xfId="62"/>
    <cellStyle name="20% - Accent3 10" xfId="63"/>
    <cellStyle name="20% - Accent3 11" xfId="64"/>
    <cellStyle name="20% - Accent3 12" xfId="65"/>
    <cellStyle name="20% - Accent3 13" xfId="66"/>
    <cellStyle name="20% - Accent3 14" xfId="67"/>
    <cellStyle name="20% - Accent3 15" xfId="68"/>
    <cellStyle name="20% - Accent3 16" xfId="69"/>
    <cellStyle name="20% - Accent3 2" xfId="70"/>
    <cellStyle name="20% - Accent3 2 10" xfId="1662"/>
    <cellStyle name="20% - Accent3 2 11" xfId="1661"/>
    <cellStyle name="20% - Accent3 2 2" xfId="71"/>
    <cellStyle name="20% - Accent3 2 2 2" xfId="1664"/>
    <cellStyle name="20% - Accent3 2 2 2 2" xfId="8326"/>
    <cellStyle name="20% - Accent3 2 2 2 2 2" xfId="11223"/>
    <cellStyle name="20% - Accent3 2 2 2 3" xfId="9783"/>
    <cellStyle name="20% - Accent3 2 2 2 4" xfId="6846"/>
    <cellStyle name="20% - Accent3 2 2 3" xfId="1665"/>
    <cellStyle name="20% - Accent3 2 2 3 2" xfId="10565"/>
    <cellStyle name="20% - Accent3 2 2 3 3" xfId="7665"/>
    <cellStyle name="20% - Accent3 2 2 4" xfId="1663"/>
    <cellStyle name="20% - Accent3 2 2 4 2" xfId="9125"/>
    <cellStyle name="20% - Accent3 2 2 5" xfId="6139"/>
    <cellStyle name="20% - Accent3 2 3" xfId="72"/>
    <cellStyle name="20% - Accent3 2 3 2" xfId="1667"/>
    <cellStyle name="20% - Accent3 2 3 3" xfId="1666"/>
    <cellStyle name="20% - Accent3 2 4" xfId="1668"/>
    <cellStyle name="20% - Accent3 2 5" xfId="1669"/>
    <cellStyle name="20% - Accent3 2 6" xfId="1670"/>
    <cellStyle name="20% - Accent3 2 7" xfId="1671"/>
    <cellStyle name="20% - Accent3 2 8" xfId="1672"/>
    <cellStyle name="20% - Accent3 2 9" xfId="1673"/>
    <cellStyle name="20% - Accent3 3" xfId="73"/>
    <cellStyle name="20% - Accent3 3 2" xfId="1675"/>
    <cellStyle name="20% - Accent3 3 2 2" xfId="1676"/>
    <cellStyle name="20% - Accent3 3 2 2 2" xfId="1677"/>
    <cellStyle name="20% - Accent3 3 2 2 2 2" xfId="1678"/>
    <cellStyle name="20% - Accent3 3 2 2 3" xfId="1679"/>
    <cellStyle name="20% - Accent3 3 2 3" xfId="1680"/>
    <cellStyle name="20% - Accent3 3 2 3 2" xfId="1681"/>
    <cellStyle name="20% - Accent3 3 2 4" xfId="1682"/>
    <cellStyle name="20% - Accent3 3 3" xfId="1683"/>
    <cellStyle name="20% - Accent3 3 3 2" xfId="1684"/>
    <cellStyle name="20% - Accent3 3 3 2 2" xfId="1685"/>
    <cellStyle name="20% - Accent3 3 3 2 2 2" xfId="1686"/>
    <cellStyle name="20% - Accent3 3 3 2 3" xfId="1687"/>
    <cellStyle name="20% - Accent3 3 3 3" xfId="1688"/>
    <cellStyle name="20% - Accent3 3 3 3 2" xfId="1689"/>
    <cellStyle name="20% - Accent3 3 3 4" xfId="1690"/>
    <cellStyle name="20% - Accent3 3 4" xfId="1691"/>
    <cellStyle name="20% - Accent3 3 4 2" xfId="1692"/>
    <cellStyle name="20% - Accent3 3 4 2 2" xfId="1693"/>
    <cellStyle name="20% - Accent3 3 4 3" xfId="1694"/>
    <cellStyle name="20% - Accent3 3 5" xfId="1695"/>
    <cellStyle name="20% - Accent3 3 5 2" xfId="1696"/>
    <cellStyle name="20% - Accent3 3 6" xfId="1697"/>
    <cellStyle name="20% - Accent3 3 7" xfId="1674"/>
    <cellStyle name="20% - Accent3 4" xfId="74"/>
    <cellStyle name="20% - Accent3 4 2" xfId="1698"/>
    <cellStyle name="20% - Accent3 5" xfId="75"/>
    <cellStyle name="20% - Accent3 5 2" xfId="1699"/>
    <cellStyle name="20% - Accent3 6" xfId="76"/>
    <cellStyle name="20% - Accent3 6 2" xfId="1700"/>
    <cellStyle name="20% - Accent3 7" xfId="77"/>
    <cellStyle name="20% - Accent3 7 2" xfId="1701"/>
    <cellStyle name="20% - Accent3 8" xfId="78"/>
    <cellStyle name="20% - Accent3 8 2" xfId="1702"/>
    <cellStyle name="20% - Accent3 9" xfId="79"/>
    <cellStyle name="20% - Accent4 10" xfId="80"/>
    <cellStyle name="20% - Accent4 11" xfId="81"/>
    <cellStyle name="20% - Accent4 12" xfId="82"/>
    <cellStyle name="20% - Accent4 13" xfId="83"/>
    <cellStyle name="20% - Accent4 14" xfId="84"/>
    <cellStyle name="20% - Accent4 15" xfId="85"/>
    <cellStyle name="20% - Accent4 16" xfId="86"/>
    <cellStyle name="20% - Accent4 2" xfId="87"/>
    <cellStyle name="20% - Accent4 2 10" xfId="1704"/>
    <cellStyle name="20% - Accent4 2 11" xfId="1703"/>
    <cellStyle name="20% - Accent4 2 2" xfId="88"/>
    <cellStyle name="20% - Accent4 2 2 2" xfId="1706"/>
    <cellStyle name="20% - Accent4 2 2 2 2" xfId="8328"/>
    <cellStyle name="20% - Accent4 2 2 2 2 2" xfId="11225"/>
    <cellStyle name="20% - Accent4 2 2 2 3" xfId="9785"/>
    <cellStyle name="20% - Accent4 2 2 2 4" xfId="6849"/>
    <cellStyle name="20% - Accent4 2 2 3" xfId="1707"/>
    <cellStyle name="20% - Accent4 2 2 3 2" xfId="10567"/>
    <cellStyle name="20% - Accent4 2 2 3 3" xfId="7667"/>
    <cellStyle name="20% - Accent4 2 2 4" xfId="1705"/>
    <cellStyle name="20% - Accent4 2 2 4 2" xfId="9127"/>
    <cellStyle name="20% - Accent4 2 2 5" xfId="6141"/>
    <cellStyle name="20% - Accent4 2 3" xfId="89"/>
    <cellStyle name="20% - Accent4 2 3 2" xfId="1709"/>
    <cellStyle name="20% - Accent4 2 3 3" xfId="1708"/>
    <cellStyle name="20% - Accent4 2 4" xfId="1710"/>
    <cellStyle name="20% - Accent4 2 5" xfId="1711"/>
    <cellStyle name="20% - Accent4 2 6" xfId="1712"/>
    <cellStyle name="20% - Accent4 2 7" xfId="1713"/>
    <cellStyle name="20% - Accent4 2 8" xfId="1714"/>
    <cellStyle name="20% - Accent4 2 9" xfId="1715"/>
    <cellStyle name="20% - Accent4 3" xfId="90"/>
    <cellStyle name="20% - Accent4 3 2" xfId="1717"/>
    <cellStyle name="20% - Accent4 3 2 2" xfId="1718"/>
    <cellStyle name="20% - Accent4 3 2 2 2" xfId="1719"/>
    <cellStyle name="20% - Accent4 3 2 2 2 2" xfId="1720"/>
    <cellStyle name="20% - Accent4 3 2 2 3" xfId="1721"/>
    <cellStyle name="20% - Accent4 3 2 3" xfId="1722"/>
    <cellStyle name="20% - Accent4 3 2 3 2" xfId="1723"/>
    <cellStyle name="20% - Accent4 3 2 4" xfId="1724"/>
    <cellStyle name="20% - Accent4 3 3" xfId="1725"/>
    <cellStyle name="20% - Accent4 3 3 2" xfId="1726"/>
    <cellStyle name="20% - Accent4 3 3 2 2" xfId="1727"/>
    <cellStyle name="20% - Accent4 3 3 2 2 2" xfId="1728"/>
    <cellStyle name="20% - Accent4 3 3 2 3" xfId="1729"/>
    <cellStyle name="20% - Accent4 3 3 3" xfId="1730"/>
    <cellStyle name="20% - Accent4 3 3 3 2" xfId="1731"/>
    <cellStyle name="20% - Accent4 3 3 4" xfId="1732"/>
    <cellStyle name="20% - Accent4 3 4" xfId="1733"/>
    <cellStyle name="20% - Accent4 3 4 2" xfId="1734"/>
    <cellStyle name="20% - Accent4 3 4 2 2" xfId="1735"/>
    <cellStyle name="20% - Accent4 3 4 3" xfId="1736"/>
    <cellStyle name="20% - Accent4 3 5" xfId="1737"/>
    <cellStyle name="20% - Accent4 3 5 2" xfId="1738"/>
    <cellStyle name="20% - Accent4 3 6" xfId="1739"/>
    <cellStyle name="20% - Accent4 3 7" xfId="1716"/>
    <cellStyle name="20% - Accent4 4" xfId="91"/>
    <cellStyle name="20% - Accent4 4 2" xfId="1740"/>
    <cellStyle name="20% - Accent4 5" xfId="92"/>
    <cellStyle name="20% - Accent4 5 2" xfId="1741"/>
    <cellStyle name="20% - Accent4 6" xfId="93"/>
    <cellStyle name="20% - Accent4 6 2" xfId="1742"/>
    <cellStyle name="20% - Accent4 7" xfId="94"/>
    <cellStyle name="20% - Accent4 7 2" xfId="1743"/>
    <cellStyle name="20% - Accent4 8" xfId="95"/>
    <cellStyle name="20% - Accent4 8 2" xfId="1744"/>
    <cellStyle name="20% - Accent4 9" xfId="96"/>
    <cellStyle name="20% - Accent5 10" xfId="97"/>
    <cellStyle name="20% - Accent5 11" xfId="98"/>
    <cellStyle name="20% - Accent5 12" xfId="99"/>
    <cellStyle name="20% - Accent5 13" xfId="100"/>
    <cellStyle name="20% - Accent5 14" xfId="101"/>
    <cellStyle name="20% - Accent5 15" xfId="102"/>
    <cellStyle name="20% - Accent5 16" xfId="103"/>
    <cellStyle name="20% - Accent5 2" xfId="104"/>
    <cellStyle name="20% - Accent5 2 10" xfId="1746"/>
    <cellStyle name="20% - Accent5 2 11" xfId="1745"/>
    <cellStyle name="20% - Accent5 2 2" xfId="105"/>
    <cellStyle name="20% - Accent5 2 2 2" xfId="1748"/>
    <cellStyle name="20% - Accent5 2 2 2 2" xfId="8330"/>
    <cellStyle name="20% - Accent5 2 2 2 2 2" xfId="11227"/>
    <cellStyle name="20% - Accent5 2 2 2 3" xfId="9787"/>
    <cellStyle name="20% - Accent5 2 2 2 4" xfId="6851"/>
    <cellStyle name="20% - Accent5 2 2 3" xfId="1749"/>
    <cellStyle name="20% - Accent5 2 2 3 2" xfId="10569"/>
    <cellStyle name="20% - Accent5 2 2 3 3" xfId="7669"/>
    <cellStyle name="20% - Accent5 2 2 4" xfId="1747"/>
    <cellStyle name="20% - Accent5 2 2 4 2" xfId="9129"/>
    <cellStyle name="20% - Accent5 2 2 5" xfId="6143"/>
    <cellStyle name="20% - Accent5 2 3" xfId="106"/>
    <cellStyle name="20% - Accent5 2 3 2" xfId="1751"/>
    <cellStyle name="20% - Accent5 2 3 3" xfId="1750"/>
    <cellStyle name="20% - Accent5 2 4" xfId="1752"/>
    <cellStyle name="20% - Accent5 2 5" xfId="1753"/>
    <cellStyle name="20% - Accent5 2 6" xfId="1754"/>
    <cellStyle name="20% - Accent5 2 7" xfId="1755"/>
    <cellStyle name="20% - Accent5 2 8" xfId="1756"/>
    <cellStyle name="20% - Accent5 2 9" xfId="1757"/>
    <cellStyle name="20% - Accent5 3" xfId="107"/>
    <cellStyle name="20% - Accent5 3 2" xfId="1759"/>
    <cellStyle name="20% - Accent5 3 2 2" xfId="1760"/>
    <cellStyle name="20% - Accent5 3 2 2 2" xfId="1761"/>
    <cellStyle name="20% - Accent5 3 2 2 2 2" xfId="1762"/>
    <cellStyle name="20% - Accent5 3 2 2 3" xfId="1763"/>
    <cellStyle name="20% - Accent5 3 2 3" xfId="1764"/>
    <cellStyle name="20% - Accent5 3 2 3 2" xfId="1765"/>
    <cellStyle name="20% - Accent5 3 2 4" xfId="1766"/>
    <cellStyle name="20% - Accent5 3 3" xfId="1767"/>
    <cellStyle name="20% - Accent5 3 3 2" xfId="1768"/>
    <cellStyle name="20% - Accent5 3 3 2 2" xfId="1769"/>
    <cellStyle name="20% - Accent5 3 3 2 2 2" xfId="1770"/>
    <cellStyle name="20% - Accent5 3 3 2 3" xfId="1771"/>
    <cellStyle name="20% - Accent5 3 3 3" xfId="1772"/>
    <cellStyle name="20% - Accent5 3 3 3 2" xfId="1773"/>
    <cellStyle name="20% - Accent5 3 3 4" xfId="1774"/>
    <cellStyle name="20% - Accent5 3 4" xfId="1775"/>
    <cellStyle name="20% - Accent5 3 4 2" xfId="1776"/>
    <cellStyle name="20% - Accent5 3 4 2 2" xfId="1777"/>
    <cellStyle name="20% - Accent5 3 4 3" xfId="1778"/>
    <cellStyle name="20% - Accent5 3 5" xfId="1779"/>
    <cellStyle name="20% - Accent5 3 5 2" xfId="1780"/>
    <cellStyle name="20% - Accent5 3 6" xfId="1781"/>
    <cellStyle name="20% - Accent5 3 7" xfId="1758"/>
    <cellStyle name="20% - Accent5 4" xfId="108"/>
    <cellStyle name="20% - Accent5 4 2" xfId="1782"/>
    <cellStyle name="20% - Accent5 5" xfId="109"/>
    <cellStyle name="20% - Accent5 5 2" xfId="1783"/>
    <cellStyle name="20% - Accent5 6" xfId="110"/>
    <cellStyle name="20% - Accent5 6 2" xfId="1784"/>
    <cellStyle name="20% - Accent5 7" xfId="111"/>
    <cellStyle name="20% - Accent5 7 2" xfId="1785"/>
    <cellStyle name="20% - Accent5 8" xfId="112"/>
    <cellStyle name="20% - Accent5 8 2" xfId="1786"/>
    <cellStyle name="20% - Accent5 9" xfId="113"/>
    <cellStyle name="20% - Accent6 10" xfId="114"/>
    <cellStyle name="20% - Accent6 11" xfId="115"/>
    <cellStyle name="20% - Accent6 12" xfId="116"/>
    <cellStyle name="20% - Accent6 13" xfId="117"/>
    <cellStyle name="20% - Accent6 14" xfId="118"/>
    <cellStyle name="20% - Accent6 15" xfId="119"/>
    <cellStyle name="20% - Accent6 16" xfId="120"/>
    <cellStyle name="20% - Accent6 2" xfId="121"/>
    <cellStyle name="20% - Accent6 2 10" xfId="1788"/>
    <cellStyle name="20% - Accent6 2 11" xfId="1787"/>
    <cellStyle name="20% - Accent6 2 2" xfId="122"/>
    <cellStyle name="20% - Accent6 2 2 2" xfId="1790"/>
    <cellStyle name="20% - Accent6 2 2 2 2" xfId="8332"/>
    <cellStyle name="20% - Accent6 2 2 2 2 2" xfId="11229"/>
    <cellStyle name="20% - Accent6 2 2 2 3" xfId="9789"/>
    <cellStyle name="20% - Accent6 2 2 2 4" xfId="6853"/>
    <cellStyle name="20% - Accent6 2 2 3" xfId="1791"/>
    <cellStyle name="20% - Accent6 2 2 3 2" xfId="10571"/>
    <cellStyle name="20% - Accent6 2 2 3 3" xfId="7671"/>
    <cellStyle name="20% - Accent6 2 2 4" xfId="1789"/>
    <cellStyle name="20% - Accent6 2 2 4 2" xfId="9131"/>
    <cellStyle name="20% - Accent6 2 2 5" xfId="6145"/>
    <cellStyle name="20% - Accent6 2 3" xfId="123"/>
    <cellStyle name="20% - Accent6 2 3 2" xfId="1793"/>
    <cellStyle name="20% - Accent6 2 3 3" xfId="1792"/>
    <cellStyle name="20% - Accent6 2 4" xfId="1794"/>
    <cellStyle name="20% - Accent6 2 5" xfId="1795"/>
    <cellStyle name="20% - Accent6 2 6" xfId="1796"/>
    <cellStyle name="20% - Accent6 2 7" xfId="1797"/>
    <cellStyle name="20% - Accent6 2 8" xfId="1798"/>
    <cellStyle name="20% - Accent6 2 9" xfId="1799"/>
    <cellStyle name="20% - Accent6 3" xfId="124"/>
    <cellStyle name="20% - Accent6 3 2" xfId="1801"/>
    <cellStyle name="20% - Accent6 3 2 2" xfId="1802"/>
    <cellStyle name="20% - Accent6 3 2 2 2" xfId="1803"/>
    <cellStyle name="20% - Accent6 3 2 2 2 2" xfId="1804"/>
    <cellStyle name="20% - Accent6 3 2 2 3" xfId="1805"/>
    <cellStyle name="20% - Accent6 3 2 3" xfId="1806"/>
    <cellStyle name="20% - Accent6 3 2 3 2" xfId="1807"/>
    <cellStyle name="20% - Accent6 3 2 4" xfId="1808"/>
    <cellStyle name="20% - Accent6 3 3" xfId="1809"/>
    <cellStyle name="20% - Accent6 3 3 2" xfId="1810"/>
    <cellStyle name="20% - Accent6 3 3 2 2" xfId="1811"/>
    <cellStyle name="20% - Accent6 3 3 2 2 2" xfId="1812"/>
    <cellStyle name="20% - Accent6 3 3 2 3" xfId="1813"/>
    <cellStyle name="20% - Accent6 3 3 3" xfId="1814"/>
    <cellStyle name="20% - Accent6 3 3 3 2" xfId="1815"/>
    <cellStyle name="20% - Accent6 3 3 4" xfId="1816"/>
    <cellStyle name="20% - Accent6 3 4" xfId="1817"/>
    <cellStyle name="20% - Accent6 3 4 2" xfId="1818"/>
    <cellStyle name="20% - Accent6 3 4 2 2" xfId="1819"/>
    <cellStyle name="20% - Accent6 3 4 3" xfId="1820"/>
    <cellStyle name="20% - Accent6 3 5" xfId="1821"/>
    <cellStyle name="20% - Accent6 3 5 2" xfId="1822"/>
    <cellStyle name="20% - Accent6 3 6" xfId="1823"/>
    <cellStyle name="20% - Accent6 3 7" xfId="1800"/>
    <cellStyle name="20% - Accent6 4" xfId="125"/>
    <cellStyle name="20% - Accent6 4 2" xfId="1824"/>
    <cellStyle name="20% - Accent6 5" xfId="126"/>
    <cellStyle name="20% - Accent6 5 2" xfId="1825"/>
    <cellStyle name="20% - Accent6 6" xfId="127"/>
    <cellStyle name="20% - Accent6 6 2" xfId="1826"/>
    <cellStyle name="20% - Accent6 7" xfId="128"/>
    <cellStyle name="20% - Accent6 7 2" xfId="1827"/>
    <cellStyle name="20% - Accent6 8" xfId="129"/>
    <cellStyle name="20% - Accent6 8 2" xfId="1828"/>
    <cellStyle name="20% - Accent6 9" xfId="130"/>
    <cellStyle name="40% - Accent1 10" xfId="131"/>
    <cellStyle name="40% - Accent1 11" xfId="132"/>
    <cellStyle name="40% - Accent1 12" xfId="133"/>
    <cellStyle name="40% - Accent1 13" xfId="134"/>
    <cellStyle name="40% - Accent1 14" xfId="135"/>
    <cellStyle name="40% - Accent1 15" xfId="136"/>
    <cellStyle name="40% - Accent1 16" xfId="137"/>
    <cellStyle name="40% - Accent1 2" xfId="138"/>
    <cellStyle name="40% - Accent1 2 10" xfId="1830"/>
    <cellStyle name="40% - Accent1 2 11" xfId="1829"/>
    <cellStyle name="40% - Accent1 2 2" xfId="139"/>
    <cellStyle name="40% - Accent1 2 2 2" xfId="1832"/>
    <cellStyle name="40% - Accent1 2 2 2 2" xfId="8323"/>
    <cellStyle name="40% - Accent1 2 2 2 2 2" xfId="11220"/>
    <cellStyle name="40% - Accent1 2 2 2 3" xfId="9780"/>
    <cellStyle name="40% - Accent1 2 2 2 4" xfId="6843"/>
    <cellStyle name="40% - Accent1 2 2 3" xfId="1833"/>
    <cellStyle name="40% - Accent1 2 2 3 2" xfId="10562"/>
    <cellStyle name="40% - Accent1 2 2 3 3" xfId="7662"/>
    <cellStyle name="40% - Accent1 2 2 4" xfId="1831"/>
    <cellStyle name="40% - Accent1 2 2 4 2" xfId="9122"/>
    <cellStyle name="40% - Accent1 2 2 5" xfId="6136"/>
    <cellStyle name="40% - Accent1 2 3" xfId="140"/>
    <cellStyle name="40% - Accent1 2 3 2" xfId="1835"/>
    <cellStyle name="40% - Accent1 2 3 3" xfId="1834"/>
    <cellStyle name="40% - Accent1 2 4" xfId="1836"/>
    <cellStyle name="40% - Accent1 2 5" xfId="1837"/>
    <cellStyle name="40% - Accent1 2 6" xfId="1838"/>
    <cellStyle name="40% - Accent1 2 7" xfId="1839"/>
    <cellStyle name="40% - Accent1 2 8" xfId="1840"/>
    <cellStyle name="40% - Accent1 2 9" xfId="1841"/>
    <cellStyle name="40% - Accent1 3" xfId="141"/>
    <cellStyle name="40% - Accent1 3 2" xfId="1843"/>
    <cellStyle name="40% - Accent1 3 2 2" xfId="1844"/>
    <cellStyle name="40% - Accent1 3 2 2 2" xfId="1845"/>
    <cellStyle name="40% - Accent1 3 2 2 2 2" xfId="1846"/>
    <cellStyle name="40% - Accent1 3 2 2 3" xfId="1847"/>
    <cellStyle name="40% - Accent1 3 2 3" xfId="1848"/>
    <cellStyle name="40% - Accent1 3 2 3 2" xfId="1849"/>
    <cellStyle name="40% - Accent1 3 2 4" xfId="1850"/>
    <cellStyle name="40% - Accent1 3 3" xfId="1851"/>
    <cellStyle name="40% - Accent1 3 3 2" xfId="1852"/>
    <cellStyle name="40% - Accent1 3 3 2 2" xfId="1853"/>
    <cellStyle name="40% - Accent1 3 3 2 2 2" xfId="1854"/>
    <cellStyle name="40% - Accent1 3 3 2 3" xfId="1855"/>
    <cellStyle name="40% - Accent1 3 3 3" xfId="1856"/>
    <cellStyle name="40% - Accent1 3 3 3 2" xfId="1857"/>
    <cellStyle name="40% - Accent1 3 3 4" xfId="1858"/>
    <cellStyle name="40% - Accent1 3 4" xfId="1859"/>
    <cellStyle name="40% - Accent1 3 4 2" xfId="1860"/>
    <cellStyle name="40% - Accent1 3 4 2 2" xfId="1861"/>
    <cellStyle name="40% - Accent1 3 4 3" xfId="1862"/>
    <cellStyle name="40% - Accent1 3 5" xfId="1863"/>
    <cellStyle name="40% - Accent1 3 5 2" xfId="1864"/>
    <cellStyle name="40% - Accent1 3 6" xfId="1865"/>
    <cellStyle name="40% - Accent1 3 7" xfId="1842"/>
    <cellStyle name="40% - Accent1 4" xfId="142"/>
    <cellStyle name="40% - Accent1 4 2" xfId="1866"/>
    <cellStyle name="40% - Accent1 5" xfId="143"/>
    <cellStyle name="40% - Accent1 5 2" xfId="1867"/>
    <cellStyle name="40% - Accent1 6" xfId="144"/>
    <cellStyle name="40% - Accent1 6 2" xfId="1868"/>
    <cellStyle name="40% - Accent1 7" xfId="145"/>
    <cellStyle name="40% - Accent1 7 2" xfId="1869"/>
    <cellStyle name="40% - Accent1 8" xfId="146"/>
    <cellStyle name="40% - Accent1 8 2" xfId="1870"/>
    <cellStyle name="40% - Accent1 9" xfId="147"/>
    <cellStyle name="40% - Accent2 10" xfId="148"/>
    <cellStyle name="40% - Accent2 11" xfId="149"/>
    <cellStyle name="40% - Accent2 12" xfId="150"/>
    <cellStyle name="40% - Accent2 13" xfId="151"/>
    <cellStyle name="40% - Accent2 14" xfId="152"/>
    <cellStyle name="40% - Accent2 15" xfId="153"/>
    <cellStyle name="40% - Accent2 16" xfId="154"/>
    <cellStyle name="40% - Accent2 2" xfId="155"/>
    <cellStyle name="40% - Accent2 2 10" xfId="1872"/>
    <cellStyle name="40% - Accent2 2 11" xfId="1871"/>
    <cellStyle name="40% - Accent2 2 2" xfId="156"/>
    <cellStyle name="40% - Accent2 2 2 2" xfId="1874"/>
    <cellStyle name="40% - Accent2 2 2 2 2" xfId="8325"/>
    <cellStyle name="40% - Accent2 2 2 2 2 2" xfId="11222"/>
    <cellStyle name="40% - Accent2 2 2 2 3" xfId="9782"/>
    <cellStyle name="40% - Accent2 2 2 2 4" xfId="6845"/>
    <cellStyle name="40% - Accent2 2 2 3" xfId="1875"/>
    <cellStyle name="40% - Accent2 2 2 3 2" xfId="10564"/>
    <cellStyle name="40% - Accent2 2 2 3 3" xfId="7664"/>
    <cellStyle name="40% - Accent2 2 2 4" xfId="1873"/>
    <cellStyle name="40% - Accent2 2 2 4 2" xfId="9124"/>
    <cellStyle name="40% - Accent2 2 2 5" xfId="6138"/>
    <cellStyle name="40% - Accent2 2 3" xfId="157"/>
    <cellStyle name="40% - Accent2 2 3 2" xfId="1877"/>
    <cellStyle name="40% - Accent2 2 3 3" xfId="1876"/>
    <cellStyle name="40% - Accent2 2 4" xfId="1878"/>
    <cellStyle name="40% - Accent2 2 5" xfId="1879"/>
    <cellStyle name="40% - Accent2 2 6" xfId="1880"/>
    <cellStyle name="40% - Accent2 2 7" xfId="1881"/>
    <cellStyle name="40% - Accent2 2 8" xfId="1882"/>
    <cellStyle name="40% - Accent2 2 9" xfId="1883"/>
    <cellStyle name="40% - Accent2 3" xfId="158"/>
    <cellStyle name="40% - Accent2 3 2" xfId="1885"/>
    <cellStyle name="40% - Accent2 3 2 2" xfId="1886"/>
    <cellStyle name="40% - Accent2 3 2 2 2" xfId="1887"/>
    <cellStyle name="40% - Accent2 3 2 2 2 2" xfId="1888"/>
    <cellStyle name="40% - Accent2 3 2 2 3" xfId="1889"/>
    <cellStyle name="40% - Accent2 3 2 3" xfId="1890"/>
    <cellStyle name="40% - Accent2 3 2 3 2" xfId="1891"/>
    <cellStyle name="40% - Accent2 3 2 4" xfId="1892"/>
    <cellStyle name="40% - Accent2 3 3" xfId="1893"/>
    <cellStyle name="40% - Accent2 3 3 2" xfId="1894"/>
    <cellStyle name="40% - Accent2 3 3 2 2" xfId="1895"/>
    <cellStyle name="40% - Accent2 3 3 2 2 2" xfId="1896"/>
    <cellStyle name="40% - Accent2 3 3 2 3" xfId="1897"/>
    <cellStyle name="40% - Accent2 3 3 3" xfId="1898"/>
    <cellStyle name="40% - Accent2 3 3 3 2" xfId="1899"/>
    <cellStyle name="40% - Accent2 3 3 4" xfId="1900"/>
    <cellStyle name="40% - Accent2 3 4" xfId="1901"/>
    <cellStyle name="40% - Accent2 3 4 2" xfId="1902"/>
    <cellStyle name="40% - Accent2 3 4 2 2" xfId="1903"/>
    <cellStyle name="40% - Accent2 3 4 3" xfId="1904"/>
    <cellStyle name="40% - Accent2 3 5" xfId="1905"/>
    <cellStyle name="40% - Accent2 3 5 2" xfId="1906"/>
    <cellStyle name="40% - Accent2 3 6" xfId="1907"/>
    <cellStyle name="40% - Accent2 3 7" xfId="1884"/>
    <cellStyle name="40% - Accent2 4" xfId="159"/>
    <cellStyle name="40% - Accent2 4 2" xfId="1908"/>
    <cellStyle name="40% - Accent2 5" xfId="160"/>
    <cellStyle name="40% - Accent2 5 2" xfId="1909"/>
    <cellStyle name="40% - Accent2 6" xfId="161"/>
    <cellStyle name="40% - Accent2 6 2" xfId="1910"/>
    <cellStyle name="40% - Accent2 7" xfId="162"/>
    <cellStyle name="40% - Accent2 7 2" xfId="1911"/>
    <cellStyle name="40% - Accent2 8" xfId="163"/>
    <cellStyle name="40% - Accent2 8 2" xfId="1912"/>
    <cellStyle name="40% - Accent2 9" xfId="164"/>
    <cellStyle name="40% - Accent3 10" xfId="165"/>
    <cellStyle name="40% - Accent3 11" xfId="166"/>
    <cellStyle name="40% - Accent3 12" xfId="167"/>
    <cellStyle name="40% - Accent3 13" xfId="168"/>
    <cellStyle name="40% - Accent3 14" xfId="169"/>
    <cellStyle name="40% - Accent3 15" xfId="170"/>
    <cellStyle name="40% - Accent3 16" xfId="171"/>
    <cellStyle name="40% - Accent3 2" xfId="172"/>
    <cellStyle name="40% - Accent3 2 10" xfId="1914"/>
    <cellStyle name="40% - Accent3 2 11" xfId="1913"/>
    <cellStyle name="40% - Accent3 2 2" xfId="173"/>
    <cellStyle name="40% - Accent3 2 2 2" xfId="1916"/>
    <cellStyle name="40% - Accent3 2 2 2 2" xfId="8327"/>
    <cellStyle name="40% - Accent3 2 2 2 2 2" xfId="11224"/>
    <cellStyle name="40% - Accent3 2 2 2 3" xfId="9784"/>
    <cellStyle name="40% - Accent3 2 2 2 4" xfId="6847"/>
    <cellStyle name="40% - Accent3 2 2 3" xfId="1917"/>
    <cellStyle name="40% - Accent3 2 2 3 2" xfId="10566"/>
    <cellStyle name="40% - Accent3 2 2 3 3" xfId="7666"/>
    <cellStyle name="40% - Accent3 2 2 4" xfId="1915"/>
    <cellStyle name="40% - Accent3 2 2 4 2" xfId="9126"/>
    <cellStyle name="40% - Accent3 2 2 5" xfId="6140"/>
    <cellStyle name="40% - Accent3 2 3" xfId="174"/>
    <cellStyle name="40% - Accent3 2 3 2" xfId="1919"/>
    <cellStyle name="40% - Accent3 2 3 3" xfId="1918"/>
    <cellStyle name="40% - Accent3 2 4" xfId="1920"/>
    <cellStyle name="40% - Accent3 2 5" xfId="1921"/>
    <cellStyle name="40% - Accent3 2 6" xfId="1922"/>
    <cellStyle name="40% - Accent3 2 7" xfId="1923"/>
    <cellStyle name="40% - Accent3 2 8" xfId="1924"/>
    <cellStyle name="40% - Accent3 2 9" xfId="1925"/>
    <cellStyle name="40% - Accent3 3" xfId="175"/>
    <cellStyle name="40% - Accent3 3 2" xfId="1927"/>
    <cellStyle name="40% - Accent3 3 2 2" xfId="1928"/>
    <cellStyle name="40% - Accent3 3 2 2 2" xfId="1929"/>
    <cellStyle name="40% - Accent3 3 2 2 2 2" xfId="1930"/>
    <cellStyle name="40% - Accent3 3 2 2 3" xfId="1931"/>
    <cellStyle name="40% - Accent3 3 2 3" xfId="1932"/>
    <cellStyle name="40% - Accent3 3 2 3 2" xfId="1933"/>
    <cellStyle name="40% - Accent3 3 2 4" xfId="1934"/>
    <cellStyle name="40% - Accent3 3 3" xfId="1935"/>
    <cellStyle name="40% - Accent3 3 3 2" xfId="1936"/>
    <cellStyle name="40% - Accent3 3 3 2 2" xfId="1937"/>
    <cellStyle name="40% - Accent3 3 3 2 2 2" xfId="1938"/>
    <cellStyle name="40% - Accent3 3 3 2 3" xfId="1939"/>
    <cellStyle name="40% - Accent3 3 3 3" xfId="1940"/>
    <cellStyle name="40% - Accent3 3 3 3 2" xfId="1941"/>
    <cellStyle name="40% - Accent3 3 3 4" xfId="1942"/>
    <cellStyle name="40% - Accent3 3 4" xfId="1943"/>
    <cellStyle name="40% - Accent3 3 4 2" xfId="1944"/>
    <cellStyle name="40% - Accent3 3 4 2 2" xfId="1945"/>
    <cellStyle name="40% - Accent3 3 4 3" xfId="1946"/>
    <cellStyle name="40% - Accent3 3 5" xfId="1947"/>
    <cellStyle name="40% - Accent3 3 5 2" xfId="1948"/>
    <cellStyle name="40% - Accent3 3 6" xfId="1949"/>
    <cellStyle name="40% - Accent3 3 7" xfId="1926"/>
    <cellStyle name="40% - Accent3 4" xfId="176"/>
    <cellStyle name="40% - Accent3 4 2" xfId="1950"/>
    <cellStyle name="40% - Accent3 5" xfId="177"/>
    <cellStyle name="40% - Accent3 5 2" xfId="1951"/>
    <cellStyle name="40% - Accent3 6" xfId="178"/>
    <cellStyle name="40% - Accent3 6 2" xfId="1952"/>
    <cellStyle name="40% - Accent3 7" xfId="179"/>
    <cellStyle name="40% - Accent3 7 2" xfId="1953"/>
    <cellStyle name="40% - Accent3 8" xfId="180"/>
    <cellStyle name="40% - Accent3 8 2" xfId="1954"/>
    <cellStyle name="40% - Accent3 9" xfId="181"/>
    <cellStyle name="40% - Accent4 10" xfId="182"/>
    <cellStyle name="40% - Accent4 11" xfId="183"/>
    <cellStyle name="40% - Accent4 12" xfId="184"/>
    <cellStyle name="40% - Accent4 13" xfId="185"/>
    <cellStyle name="40% - Accent4 14" xfId="186"/>
    <cellStyle name="40% - Accent4 15" xfId="187"/>
    <cellStyle name="40% - Accent4 16" xfId="188"/>
    <cellStyle name="40% - Accent4 2" xfId="189"/>
    <cellStyle name="40% - Accent4 2 10" xfId="1956"/>
    <cellStyle name="40% - Accent4 2 11" xfId="1955"/>
    <cellStyle name="40% - Accent4 2 2" xfId="190"/>
    <cellStyle name="40% - Accent4 2 2 2" xfId="1958"/>
    <cellStyle name="40% - Accent4 2 2 2 2" xfId="8329"/>
    <cellStyle name="40% - Accent4 2 2 2 2 2" xfId="11226"/>
    <cellStyle name="40% - Accent4 2 2 2 3" xfId="9786"/>
    <cellStyle name="40% - Accent4 2 2 2 4" xfId="6850"/>
    <cellStyle name="40% - Accent4 2 2 3" xfId="1959"/>
    <cellStyle name="40% - Accent4 2 2 3 2" xfId="10568"/>
    <cellStyle name="40% - Accent4 2 2 3 3" xfId="7668"/>
    <cellStyle name="40% - Accent4 2 2 4" xfId="1957"/>
    <cellStyle name="40% - Accent4 2 2 4 2" xfId="9128"/>
    <cellStyle name="40% - Accent4 2 2 5" xfId="6142"/>
    <cellStyle name="40% - Accent4 2 3" xfId="191"/>
    <cellStyle name="40% - Accent4 2 3 2" xfId="1961"/>
    <cellStyle name="40% - Accent4 2 3 3" xfId="1960"/>
    <cellStyle name="40% - Accent4 2 4" xfId="1962"/>
    <cellStyle name="40% - Accent4 2 5" xfId="1963"/>
    <cellStyle name="40% - Accent4 2 6" xfId="1964"/>
    <cellStyle name="40% - Accent4 2 7" xfId="1965"/>
    <cellStyle name="40% - Accent4 2 8" xfId="1966"/>
    <cellStyle name="40% - Accent4 2 9" xfId="1967"/>
    <cellStyle name="40% - Accent4 3" xfId="192"/>
    <cellStyle name="40% - Accent4 3 2" xfId="1969"/>
    <cellStyle name="40% - Accent4 3 2 2" xfId="1970"/>
    <cellStyle name="40% - Accent4 3 2 2 2" xfId="1971"/>
    <cellStyle name="40% - Accent4 3 2 2 2 2" xfId="1972"/>
    <cellStyle name="40% - Accent4 3 2 2 3" xfId="1973"/>
    <cellStyle name="40% - Accent4 3 2 3" xfId="1974"/>
    <cellStyle name="40% - Accent4 3 2 3 2" xfId="1975"/>
    <cellStyle name="40% - Accent4 3 2 4" xfId="1976"/>
    <cellStyle name="40% - Accent4 3 3" xfId="1977"/>
    <cellStyle name="40% - Accent4 3 3 2" xfId="1978"/>
    <cellStyle name="40% - Accent4 3 3 2 2" xfId="1979"/>
    <cellStyle name="40% - Accent4 3 3 2 2 2" xfId="1980"/>
    <cellStyle name="40% - Accent4 3 3 2 3" xfId="1981"/>
    <cellStyle name="40% - Accent4 3 3 3" xfId="1982"/>
    <cellStyle name="40% - Accent4 3 3 3 2" xfId="1983"/>
    <cellStyle name="40% - Accent4 3 3 4" xfId="1984"/>
    <cellStyle name="40% - Accent4 3 4" xfId="1985"/>
    <cellStyle name="40% - Accent4 3 4 2" xfId="1986"/>
    <cellStyle name="40% - Accent4 3 4 2 2" xfId="1987"/>
    <cellStyle name="40% - Accent4 3 4 3" xfId="1988"/>
    <cellStyle name="40% - Accent4 3 5" xfId="1989"/>
    <cellStyle name="40% - Accent4 3 5 2" xfId="1990"/>
    <cellStyle name="40% - Accent4 3 6" xfId="1991"/>
    <cellStyle name="40% - Accent4 3 7" xfId="1968"/>
    <cellStyle name="40% - Accent4 4" xfId="193"/>
    <cellStyle name="40% - Accent4 4 2" xfId="1992"/>
    <cellStyle name="40% - Accent4 5" xfId="194"/>
    <cellStyle name="40% - Accent4 5 2" xfId="1993"/>
    <cellStyle name="40% - Accent4 6" xfId="195"/>
    <cellStyle name="40% - Accent4 6 2" xfId="1994"/>
    <cellStyle name="40% - Accent4 7" xfId="196"/>
    <cellStyle name="40% - Accent4 7 2" xfId="1995"/>
    <cellStyle name="40% - Accent4 8" xfId="197"/>
    <cellStyle name="40% - Accent4 8 2" xfId="1996"/>
    <cellStyle name="40% - Accent4 9" xfId="198"/>
    <cellStyle name="40% - Accent5 10" xfId="199"/>
    <cellStyle name="40% - Accent5 11" xfId="200"/>
    <cellStyle name="40% - Accent5 12" xfId="201"/>
    <cellStyle name="40% - Accent5 13" xfId="202"/>
    <cellStyle name="40% - Accent5 14" xfId="203"/>
    <cellStyle name="40% - Accent5 15" xfId="204"/>
    <cellStyle name="40% - Accent5 16" xfId="205"/>
    <cellStyle name="40% - Accent5 2" xfId="206"/>
    <cellStyle name="40% - Accent5 2 10" xfId="1998"/>
    <cellStyle name="40% - Accent5 2 11" xfId="1997"/>
    <cellStyle name="40% - Accent5 2 2" xfId="207"/>
    <cellStyle name="40% - Accent5 2 2 2" xfId="2000"/>
    <cellStyle name="40% - Accent5 2 2 2 2" xfId="8331"/>
    <cellStyle name="40% - Accent5 2 2 2 2 2" xfId="11228"/>
    <cellStyle name="40% - Accent5 2 2 2 3" xfId="9788"/>
    <cellStyle name="40% - Accent5 2 2 2 4" xfId="6852"/>
    <cellStyle name="40% - Accent5 2 2 3" xfId="2001"/>
    <cellStyle name="40% - Accent5 2 2 3 2" xfId="10570"/>
    <cellStyle name="40% - Accent5 2 2 3 3" xfId="7670"/>
    <cellStyle name="40% - Accent5 2 2 4" xfId="1999"/>
    <cellStyle name="40% - Accent5 2 2 4 2" xfId="9130"/>
    <cellStyle name="40% - Accent5 2 2 5" xfId="6144"/>
    <cellStyle name="40% - Accent5 2 3" xfId="208"/>
    <cellStyle name="40% - Accent5 2 3 2" xfId="2003"/>
    <cellStyle name="40% - Accent5 2 3 3" xfId="2002"/>
    <cellStyle name="40% - Accent5 2 4" xfId="2004"/>
    <cellStyle name="40% - Accent5 2 5" xfId="2005"/>
    <cellStyle name="40% - Accent5 2 6" xfId="2006"/>
    <cellStyle name="40% - Accent5 2 7" xfId="2007"/>
    <cellStyle name="40% - Accent5 2 8" xfId="2008"/>
    <cellStyle name="40% - Accent5 2 9" xfId="2009"/>
    <cellStyle name="40% - Accent5 3" xfId="209"/>
    <cellStyle name="40% - Accent5 3 2" xfId="2011"/>
    <cellStyle name="40% - Accent5 3 2 2" xfId="2012"/>
    <cellStyle name="40% - Accent5 3 2 2 2" xfId="2013"/>
    <cellStyle name="40% - Accent5 3 2 2 2 2" xfId="2014"/>
    <cellStyle name="40% - Accent5 3 2 2 3" xfId="2015"/>
    <cellStyle name="40% - Accent5 3 2 3" xfId="2016"/>
    <cellStyle name="40% - Accent5 3 2 3 2" xfId="2017"/>
    <cellStyle name="40% - Accent5 3 2 4" xfId="2018"/>
    <cellStyle name="40% - Accent5 3 3" xfId="2019"/>
    <cellStyle name="40% - Accent5 3 3 2" xfId="2020"/>
    <cellStyle name="40% - Accent5 3 3 2 2" xfId="2021"/>
    <cellStyle name="40% - Accent5 3 3 2 2 2" xfId="2022"/>
    <cellStyle name="40% - Accent5 3 3 2 3" xfId="2023"/>
    <cellStyle name="40% - Accent5 3 3 3" xfId="2024"/>
    <cellStyle name="40% - Accent5 3 3 3 2" xfId="2025"/>
    <cellStyle name="40% - Accent5 3 3 4" xfId="2026"/>
    <cellStyle name="40% - Accent5 3 4" xfId="2027"/>
    <cellStyle name="40% - Accent5 3 4 2" xfId="2028"/>
    <cellStyle name="40% - Accent5 3 4 2 2" xfId="2029"/>
    <cellStyle name="40% - Accent5 3 4 3" xfId="2030"/>
    <cellStyle name="40% - Accent5 3 5" xfId="2031"/>
    <cellStyle name="40% - Accent5 3 5 2" xfId="2032"/>
    <cellStyle name="40% - Accent5 3 6" xfId="2033"/>
    <cellStyle name="40% - Accent5 3 7" xfId="2010"/>
    <cellStyle name="40% - Accent5 4" xfId="210"/>
    <cellStyle name="40% - Accent5 4 2" xfId="2034"/>
    <cellStyle name="40% - Accent5 5" xfId="211"/>
    <cellStyle name="40% - Accent5 5 2" xfId="2035"/>
    <cellStyle name="40% - Accent5 6" xfId="212"/>
    <cellStyle name="40% - Accent5 6 2" xfId="2036"/>
    <cellStyle name="40% - Accent5 7" xfId="213"/>
    <cellStyle name="40% - Accent5 7 2" xfId="2037"/>
    <cellStyle name="40% - Accent5 8" xfId="214"/>
    <cellStyle name="40% - Accent5 8 2" xfId="2038"/>
    <cellStyle name="40% - Accent5 9" xfId="215"/>
    <cellStyle name="40% - Accent6 10" xfId="216"/>
    <cellStyle name="40% - Accent6 11" xfId="217"/>
    <cellStyle name="40% - Accent6 12" xfId="218"/>
    <cellStyle name="40% - Accent6 13" xfId="219"/>
    <cellStyle name="40% - Accent6 14" xfId="220"/>
    <cellStyle name="40% - Accent6 15" xfId="221"/>
    <cellStyle name="40% - Accent6 16" xfId="222"/>
    <cellStyle name="40% - Accent6 2" xfId="223"/>
    <cellStyle name="40% - Accent6 2 10" xfId="2040"/>
    <cellStyle name="40% - Accent6 2 11" xfId="2039"/>
    <cellStyle name="40% - Accent6 2 2" xfId="224"/>
    <cellStyle name="40% - Accent6 2 2 2" xfId="2042"/>
    <cellStyle name="40% - Accent6 2 2 2 2" xfId="8333"/>
    <cellStyle name="40% - Accent6 2 2 2 2 2" xfId="11230"/>
    <cellStyle name="40% - Accent6 2 2 2 3" xfId="9790"/>
    <cellStyle name="40% - Accent6 2 2 2 4" xfId="6854"/>
    <cellStyle name="40% - Accent6 2 2 3" xfId="2043"/>
    <cellStyle name="40% - Accent6 2 2 3 2" xfId="10572"/>
    <cellStyle name="40% - Accent6 2 2 3 3" xfId="7672"/>
    <cellStyle name="40% - Accent6 2 2 4" xfId="2041"/>
    <cellStyle name="40% - Accent6 2 2 4 2" xfId="9132"/>
    <cellStyle name="40% - Accent6 2 2 5" xfId="6146"/>
    <cellStyle name="40% - Accent6 2 3" xfId="225"/>
    <cellStyle name="40% - Accent6 2 3 2" xfId="2045"/>
    <cellStyle name="40% - Accent6 2 3 3" xfId="2044"/>
    <cellStyle name="40% - Accent6 2 4" xfId="2046"/>
    <cellStyle name="40% - Accent6 2 5" xfId="2047"/>
    <cellStyle name="40% - Accent6 2 6" xfId="2048"/>
    <cellStyle name="40% - Accent6 2 7" xfId="2049"/>
    <cellStyle name="40% - Accent6 2 8" xfId="2050"/>
    <cellStyle name="40% - Accent6 2 9" xfId="2051"/>
    <cellStyle name="40% - Accent6 3" xfId="226"/>
    <cellStyle name="40% - Accent6 3 2" xfId="2053"/>
    <cellStyle name="40% - Accent6 3 2 2" xfId="2054"/>
    <cellStyle name="40% - Accent6 3 2 2 2" xfId="2055"/>
    <cellStyle name="40% - Accent6 3 2 2 2 2" xfId="2056"/>
    <cellStyle name="40% - Accent6 3 2 2 3" xfId="2057"/>
    <cellStyle name="40% - Accent6 3 2 3" xfId="2058"/>
    <cellStyle name="40% - Accent6 3 2 3 2" xfId="2059"/>
    <cellStyle name="40% - Accent6 3 2 4" xfId="2060"/>
    <cellStyle name="40% - Accent6 3 3" xfId="2061"/>
    <cellStyle name="40% - Accent6 3 3 2" xfId="2062"/>
    <cellStyle name="40% - Accent6 3 3 2 2" xfId="2063"/>
    <cellStyle name="40% - Accent6 3 3 2 2 2" xfId="2064"/>
    <cellStyle name="40% - Accent6 3 3 2 3" xfId="2065"/>
    <cellStyle name="40% - Accent6 3 3 3" xfId="2066"/>
    <cellStyle name="40% - Accent6 3 3 3 2" xfId="2067"/>
    <cellStyle name="40% - Accent6 3 3 4" xfId="2068"/>
    <cellStyle name="40% - Accent6 3 4" xfId="2069"/>
    <cellStyle name="40% - Accent6 3 4 2" xfId="2070"/>
    <cellStyle name="40% - Accent6 3 4 2 2" xfId="2071"/>
    <cellStyle name="40% - Accent6 3 4 3" xfId="2072"/>
    <cellStyle name="40% - Accent6 3 5" xfId="2073"/>
    <cellStyle name="40% - Accent6 3 5 2" xfId="2074"/>
    <cellStyle name="40% - Accent6 3 6" xfId="2075"/>
    <cellStyle name="40% - Accent6 3 7" xfId="2052"/>
    <cellStyle name="40% - Accent6 4" xfId="227"/>
    <cellStyle name="40% - Accent6 4 2" xfId="2076"/>
    <cellStyle name="40% - Accent6 5" xfId="228"/>
    <cellStyle name="40% - Accent6 5 2" xfId="2077"/>
    <cellStyle name="40% - Accent6 6" xfId="229"/>
    <cellStyle name="40% - Accent6 6 2" xfId="2078"/>
    <cellStyle name="40% - Accent6 7" xfId="230"/>
    <cellStyle name="40% - Accent6 7 2" xfId="2079"/>
    <cellStyle name="40% - Accent6 8" xfId="231"/>
    <cellStyle name="40% - Accent6 8 2" xfId="2080"/>
    <cellStyle name="40% - Accent6 9" xfId="232"/>
    <cellStyle name="60% - Accent1 10" xfId="233"/>
    <cellStyle name="60% - Accent1 11" xfId="234"/>
    <cellStyle name="60% - Accent1 12" xfId="235"/>
    <cellStyle name="60% - Accent1 13" xfId="236"/>
    <cellStyle name="60% - Accent1 14" xfId="237"/>
    <cellStyle name="60% - Accent1 15" xfId="238"/>
    <cellStyle name="60% - Accent1 16" xfId="239"/>
    <cellStyle name="60% - Accent1 2" xfId="240"/>
    <cellStyle name="60% - Accent1 2 10" xfId="2081"/>
    <cellStyle name="60% - Accent1 2 2" xfId="241"/>
    <cellStyle name="60% - Accent1 2 2 2" xfId="2082"/>
    <cellStyle name="60% - Accent1 2 3" xfId="2083"/>
    <cellStyle name="60% - Accent1 2 4" xfId="2084"/>
    <cellStyle name="60% - Accent1 2 5" xfId="2085"/>
    <cellStyle name="60% - Accent1 2 6" xfId="2086"/>
    <cellStyle name="60% - Accent1 2 7" xfId="2087"/>
    <cellStyle name="60% - Accent1 2 8" xfId="2088"/>
    <cellStyle name="60% - Accent1 2 9" xfId="2089"/>
    <cellStyle name="60% - Accent1 3" xfId="242"/>
    <cellStyle name="60% - Accent1 4" xfId="243"/>
    <cellStyle name="60% - Accent1 5" xfId="244"/>
    <cellStyle name="60% - Accent1 6" xfId="245"/>
    <cellStyle name="60% - Accent1 7" xfId="246"/>
    <cellStyle name="60% - Accent1 8" xfId="247"/>
    <cellStyle name="60% - Accent1 9" xfId="248"/>
    <cellStyle name="60% - Accent2 10" xfId="249"/>
    <cellStyle name="60% - Accent2 11" xfId="250"/>
    <cellStyle name="60% - Accent2 12" xfId="251"/>
    <cellStyle name="60% - Accent2 13" xfId="252"/>
    <cellStyle name="60% - Accent2 14" xfId="253"/>
    <cellStyle name="60% - Accent2 15" xfId="254"/>
    <cellStyle name="60% - Accent2 16" xfId="255"/>
    <cellStyle name="60% - Accent2 2" xfId="256"/>
    <cellStyle name="60% - Accent2 2 10" xfId="2090"/>
    <cellStyle name="60% - Accent2 2 2" xfId="257"/>
    <cellStyle name="60% - Accent2 2 2 2" xfId="2091"/>
    <cellStyle name="60% - Accent2 2 3" xfId="2092"/>
    <cellStyle name="60% - Accent2 2 4" xfId="2093"/>
    <cellStyle name="60% - Accent2 2 5" xfId="2094"/>
    <cellStyle name="60% - Accent2 2 6" xfId="2095"/>
    <cellStyle name="60% - Accent2 2 7" xfId="2096"/>
    <cellStyle name="60% - Accent2 2 8" xfId="2097"/>
    <cellStyle name="60% - Accent2 2 9" xfId="2098"/>
    <cellStyle name="60% - Accent2 3" xfId="258"/>
    <cellStyle name="60% - Accent2 4" xfId="259"/>
    <cellStyle name="60% - Accent2 5" xfId="260"/>
    <cellStyle name="60% - Accent2 6" xfId="261"/>
    <cellStyle name="60% - Accent2 7" xfId="262"/>
    <cellStyle name="60% - Accent2 8" xfId="263"/>
    <cellStyle name="60% - Accent2 9" xfId="264"/>
    <cellStyle name="60% - Accent3 10" xfId="265"/>
    <cellStyle name="60% - Accent3 11" xfId="266"/>
    <cellStyle name="60% - Accent3 12" xfId="267"/>
    <cellStyle name="60% - Accent3 13" xfId="268"/>
    <cellStyle name="60% - Accent3 14" xfId="269"/>
    <cellStyle name="60% - Accent3 15" xfId="270"/>
    <cellStyle name="60% - Accent3 16" xfId="271"/>
    <cellStyle name="60% - Accent3 2" xfId="272"/>
    <cellStyle name="60% - Accent3 2 10" xfId="2099"/>
    <cellStyle name="60% - Accent3 2 2" xfId="273"/>
    <cellStyle name="60% - Accent3 2 2 2" xfId="2100"/>
    <cellStyle name="60% - Accent3 2 3" xfId="2101"/>
    <cellStyle name="60% - Accent3 2 4" xfId="2102"/>
    <cellStyle name="60% - Accent3 2 5" xfId="2103"/>
    <cellStyle name="60% - Accent3 2 6" xfId="2104"/>
    <cellStyle name="60% - Accent3 2 7" xfId="2105"/>
    <cellStyle name="60% - Accent3 2 8" xfId="2106"/>
    <cellStyle name="60% - Accent3 2 9" xfId="2107"/>
    <cellStyle name="60% - Accent3 3" xfId="274"/>
    <cellStyle name="60% - Accent3 4" xfId="275"/>
    <cellStyle name="60% - Accent3 5" xfId="276"/>
    <cellStyle name="60% - Accent3 6" xfId="277"/>
    <cellStyle name="60% - Accent3 7" xfId="278"/>
    <cellStyle name="60% - Accent3 8" xfId="279"/>
    <cellStyle name="60% - Accent3 9" xfId="280"/>
    <cellStyle name="60% - Accent4 10" xfId="281"/>
    <cellStyle name="60% - Accent4 11" xfId="282"/>
    <cellStyle name="60% - Accent4 12" xfId="283"/>
    <cellStyle name="60% - Accent4 13" xfId="284"/>
    <cellStyle name="60% - Accent4 14" xfId="285"/>
    <cellStyle name="60% - Accent4 15" xfId="286"/>
    <cellStyle name="60% - Accent4 16" xfId="287"/>
    <cellStyle name="60% - Accent4 2" xfId="288"/>
    <cellStyle name="60% - Accent4 2 10" xfId="2108"/>
    <cellStyle name="60% - Accent4 2 2" xfId="289"/>
    <cellStyle name="60% - Accent4 2 2 2" xfId="2109"/>
    <cellStyle name="60% - Accent4 2 3" xfId="2110"/>
    <cellStyle name="60% - Accent4 2 4" xfId="2111"/>
    <cellStyle name="60% - Accent4 2 5" xfId="2112"/>
    <cellStyle name="60% - Accent4 2 6" xfId="2113"/>
    <cellStyle name="60% - Accent4 2 7" xfId="2114"/>
    <cellStyle name="60% - Accent4 2 8" xfId="2115"/>
    <cellStyle name="60% - Accent4 2 9" xfId="2116"/>
    <cellStyle name="60% - Accent4 3" xfId="290"/>
    <cellStyle name="60% - Accent4 4" xfId="291"/>
    <cellStyle name="60% - Accent4 5" xfId="292"/>
    <cellStyle name="60% - Accent4 6" xfId="293"/>
    <cellStyle name="60% - Accent4 7" xfId="294"/>
    <cellStyle name="60% - Accent4 8" xfId="295"/>
    <cellStyle name="60% - Accent4 9" xfId="296"/>
    <cellStyle name="60% - Accent5 10" xfId="297"/>
    <cellStyle name="60% - Accent5 11" xfId="298"/>
    <cellStyle name="60% - Accent5 12" xfId="299"/>
    <cellStyle name="60% - Accent5 13" xfId="300"/>
    <cellStyle name="60% - Accent5 14" xfId="301"/>
    <cellStyle name="60% - Accent5 15" xfId="302"/>
    <cellStyle name="60% - Accent5 16" xfId="303"/>
    <cellStyle name="60% - Accent5 2" xfId="304"/>
    <cellStyle name="60% - Accent5 2 10" xfId="2117"/>
    <cellStyle name="60% - Accent5 2 2" xfId="305"/>
    <cellStyle name="60% - Accent5 2 2 2" xfId="2118"/>
    <cellStyle name="60% - Accent5 2 3" xfId="2119"/>
    <cellStyle name="60% - Accent5 2 4" xfId="2120"/>
    <cellStyle name="60% - Accent5 2 5" xfId="2121"/>
    <cellStyle name="60% - Accent5 2 6" xfId="2122"/>
    <cellStyle name="60% - Accent5 2 7" xfId="2123"/>
    <cellStyle name="60% - Accent5 2 8" xfId="2124"/>
    <cellStyle name="60% - Accent5 2 9" xfId="2125"/>
    <cellStyle name="60% - Accent5 3" xfId="306"/>
    <cellStyle name="60% - Accent5 4" xfId="307"/>
    <cellStyle name="60% - Accent5 5" xfId="308"/>
    <cellStyle name="60% - Accent5 6" xfId="309"/>
    <cellStyle name="60% - Accent5 7" xfId="310"/>
    <cellStyle name="60% - Accent5 8" xfId="311"/>
    <cellStyle name="60% - Accent5 9" xfId="312"/>
    <cellStyle name="60% - Accent6 10" xfId="313"/>
    <cellStyle name="60% - Accent6 11" xfId="314"/>
    <cellStyle name="60% - Accent6 12" xfId="315"/>
    <cellStyle name="60% - Accent6 13" xfId="316"/>
    <cellStyle name="60% - Accent6 14" xfId="317"/>
    <cellStyle name="60% - Accent6 15" xfId="318"/>
    <cellStyle name="60% - Accent6 16" xfId="319"/>
    <cellStyle name="60% - Accent6 2" xfId="320"/>
    <cellStyle name="60% - Accent6 2 10" xfId="2126"/>
    <cellStyle name="60% - Accent6 2 2" xfId="321"/>
    <cellStyle name="60% - Accent6 2 2 2" xfId="2127"/>
    <cellStyle name="60% - Accent6 2 3" xfId="2128"/>
    <cellStyle name="60% - Accent6 2 4" xfId="2129"/>
    <cellStyle name="60% - Accent6 2 5" xfId="2130"/>
    <cellStyle name="60% - Accent6 2 6" xfId="2131"/>
    <cellStyle name="60% - Accent6 2 7" xfId="2132"/>
    <cellStyle name="60% - Accent6 2 8" xfId="2133"/>
    <cellStyle name="60% - Accent6 2 9" xfId="2134"/>
    <cellStyle name="60% - Accent6 3" xfId="322"/>
    <cellStyle name="60% - Accent6 4" xfId="323"/>
    <cellStyle name="60% - Accent6 5" xfId="324"/>
    <cellStyle name="60% - Accent6 6" xfId="325"/>
    <cellStyle name="60% - Accent6 7" xfId="326"/>
    <cellStyle name="60% - Accent6 8" xfId="327"/>
    <cellStyle name="60% - Accent6 9" xfId="328"/>
    <cellStyle name="A%" xfId="2135"/>
    <cellStyle name="Accent1 10" xfId="329"/>
    <cellStyle name="Accent1 11" xfId="330"/>
    <cellStyle name="Accent1 12" xfId="331"/>
    <cellStyle name="Accent1 13" xfId="332"/>
    <cellStyle name="Accent1 14" xfId="333"/>
    <cellStyle name="Accent1 15" xfId="334"/>
    <cellStyle name="Accent1 16" xfId="335"/>
    <cellStyle name="Accent1 2" xfId="336"/>
    <cellStyle name="Accent1 2 10" xfId="2136"/>
    <cellStyle name="Accent1 2 2" xfId="337"/>
    <cellStyle name="Accent1 2 2 2" xfId="2137"/>
    <cellStyle name="Accent1 2 3" xfId="2138"/>
    <cellStyle name="Accent1 2 4" xfId="2139"/>
    <cellStyle name="Accent1 2 5" xfId="2140"/>
    <cellStyle name="Accent1 2 6" xfId="2141"/>
    <cellStyle name="Accent1 2 7" xfId="2142"/>
    <cellStyle name="Accent1 2 8" xfId="2143"/>
    <cellStyle name="Accent1 2 9" xfId="2144"/>
    <cellStyle name="Accent1 3" xfId="338"/>
    <cellStyle name="Accent1 4" xfId="339"/>
    <cellStyle name="Accent1 5" xfId="340"/>
    <cellStyle name="Accent1 6" xfId="341"/>
    <cellStyle name="Accent1 7" xfId="342"/>
    <cellStyle name="Accent1 8" xfId="343"/>
    <cellStyle name="Accent1 9" xfId="344"/>
    <cellStyle name="Accent2 10" xfId="345"/>
    <cellStyle name="Accent2 11" xfId="346"/>
    <cellStyle name="Accent2 12" xfId="347"/>
    <cellStyle name="Accent2 13" xfId="348"/>
    <cellStyle name="Accent2 14" xfId="349"/>
    <cellStyle name="Accent2 15" xfId="350"/>
    <cellStyle name="Accent2 16" xfId="351"/>
    <cellStyle name="Accent2 2" xfId="352"/>
    <cellStyle name="Accent2 2 10" xfId="2145"/>
    <cellStyle name="Accent2 2 2" xfId="353"/>
    <cellStyle name="Accent2 2 2 2" xfId="2146"/>
    <cellStyle name="Accent2 2 3" xfId="2147"/>
    <cellStyle name="Accent2 2 4" xfId="2148"/>
    <cellStyle name="Accent2 2 5" xfId="2149"/>
    <cellStyle name="Accent2 2 6" xfId="2150"/>
    <cellStyle name="Accent2 2 7" xfId="2151"/>
    <cellStyle name="Accent2 2 8" xfId="2152"/>
    <cellStyle name="Accent2 2 9" xfId="2153"/>
    <cellStyle name="Accent2 3" xfId="354"/>
    <cellStyle name="Accent2 4" xfId="355"/>
    <cellStyle name="Accent2 5" xfId="356"/>
    <cellStyle name="Accent2 6" xfId="357"/>
    <cellStyle name="Accent2 7" xfId="358"/>
    <cellStyle name="Accent2 8" xfId="359"/>
    <cellStyle name="Accent2 9" xfId="360"/>
    <cellStyle name="Accent3 10" xfId="361"/>
    <cellStyle name="Accent3 11" xfId="362"/>
    <cellStyle name="Accent3 12" xfId="363"/>
    <cellStyle name="Accent3 13" xfId="364"/>
    <cellStyle name="Accent3 14" xfId="365"/>
    <cellStyle name="Accent3 15" xfId="366"/>
    <cellStyle name="Accent3 16" xfId="367"/>
    <cellStyle name="Accent3 2" xfId="368"/>
    <cellStyle name="Accent3 2 10" xfId="2154"/>
    <cellStyle name="Accent3 2 2" xfId="369"/>
    <cellStyle name="Accent3 2 2 2" xfId="2155"/>
    <cellStyle name="Accent3 2 3" xfId="2156"/>
    <cellStyle name="Accent3 2 4" xfId="2157"/>
    <cellStyle name="Accent3 2 5" xfId="2158"/>
    <cellStyle name="Accent3 2 6" xfId="2159"/>
    <cellStyle name="Accent3 2 7" xfId="2160"/>
    <cellStyle name="Accent3 2 8" xfId="2161"/>
    <cellStyle name="Accent3 2 9" xfId="2162"/>
    <cellStyle name="Accent3 3" xfId="370"/>
    <cellStyle name="Accent3 4" xfId="371"/>
    <cellStyle name="Accent3 5" xfId="372"/>
    <cellStyle name="Accent3 6" xfId="373"/>
    <cellStyle name="Accent3 7" xfId="374"/>
    <cellStyle name="Accent3 8" xfId="375"/>
    <cellStyle name="Accent3 9" xfId="376"/>
    <cellStyle name="Accent4 10" xfId="377"/>
    <cellStyle name="Accent4 11" xfId="378"/>
    <cellStyle name="Accent4 12" xfId="379"/>
    <cellStyle name="Accent4 13" xfId="380"/>
    <cellStyle name="Accent4 14" xfId="381"/>
    <cellStyle name="Accent4 15" xfId="382"/>
    <cellStyle name="Accent4 16" xfId="383"/>
    <cellStyle name="Accent4 2" xfId="384"/>
    <cellStyle name="Accent4 2 10" xfId="2163"/>
    <cellStyle name="Accent4 2 2" xfId="385"/>
    <cellStyle name="Accent4 2 2 2" xfId="2164"/>
    <cellStyle name="Accent4 2 3" xfId="2165"/>
    <cellStyle name="Accent4 2 4" xfId="2166"/>
    <cellStyle name="Accent4 2 5" xfId="2167"/>
    <cellStyle name="Accent4 2 6" xfId="2168"/>
    <cellStyle name="Accent4 2 7" xfId="2169"/>
    <cellStyle name="Accent4 2 8" xfId="2170"/>
    <cellStyle name="Accent4 2 9" xfId="2171"/>
    <cellStyle name="Accent4 3" xfId="386"/>
    <cellStyle name="Accent4 4" xfId="387"/>
    <cellStyle name="Accent4 5" xfId="388"/>
    <cellStyle name="Accent4 6" xfId="389"/>
    <cellStyle name="Accent4 7" xfId="390"/>
    <cellStyle name="Accent4 8" xfId="391"/>
    <cellStyle name="Accent4 9" xfId="392"/>
    <cellStyle name="Accent5 10" xfId="393"/>
    <cellStyle name="Accent5 11" xfId="394"/>
    <cellStyle name="Accent5 12" xfId="395"/>
    <cellStyle name="Accent5 13" xfId="396"/>
    <cellStyle name="Accent5 14" xfId="397"/>
    <cellStyle name="Accent5 15" xfId="398"/>
    <cellStyle name="Accent5 16" xfId="399"/>
    <cellStyle name="Accent5 2" xfId="400"/>
    <cellStyle name="Accent5 2 10" xfId="2172"/>
    <cellStyle name="Accent5 2 2" xfId="401"/>
    <cellStyle name="Accent5 2 2 2" xfId="2173"/>
    <cellStyle name="Accent5 2 3" xfId="2174"/>
    <cellStyle name="Accent5 2 4" xfId="2175"/>
    <cellStyle name="Accent5 2 5" xfId="2176"/>
    <cellStyle name="Accent5 2 6" xfId="2177"/>
    <cellStyle name="Accent5 2 7" xfId="2178"/>
    <cellStyle name="Accent5 2 8" xfId="2179"/>
    <cellStyle name="Accent5 2 9" xfId="2180"/>
    <cellStyle name="Accent5 3" xfId="402"/>
    <cellStyle name="Accent5 4" xfId="403"/>
    <cellStyle name="Accent5 5" xfId="404"/>
    <cellStyle name="Accent5 6" xfId="405"/>
    <cellStyle name="Accent5 7" xfId="406"/>
    <cellStyle name="Accent5 8" xfId="407"/>
    <cellStyle name="Accent5 9" xfId="408"/>
    <cellStyle name="Accent6 10" xfId="409"/>
    <cellStyle name="Accent6 11" xfId="410"/>
    <cellStyle name="Accent6 12" xfId="411"/>
    <cellStyle name="Accent6 13" xfId="412"/>
    <cellStyle name="Accent6 14" xfId="413"/>
    <cellStyle name="Accent6 15" xfId="414"/>
    <cellStyle name="Accent6 16" xfId="415"/>
    <cellStyle name="Accent6 2" xfId="416"/>
    <cellStyle name="Accent6 2 10" xfId="2181"/>
    <cellStyle name="Accent6 2 2" xfId="417"/>
    <cellStyle name="Accent6 2 2 2" xfId="2182"/>
    <cellStyle name="Accent6 2 3" xfId="2183"/>
    <cellStyle name="Accent6 2 4" xfId="2184"/>
    <cellStyle name="Accent6 2 5" xfId="2185"/>
    <cellStyle name="Accent6 2 6" xfId="2186"/>
    <cellStyle name="Accent6 2 7" xfId="2187"/>
    <cellStyle name="Accent6 2 8" xfId="2188"/>
    <cellStyle name="Accent6 2 9" xfId="2189"/>
    <cellStyle name="Accent6 3" xfId="418"/>
    <cellStyle name="Accent6 4" xfId="419"/>
    <cellStyle name="Accent6 5" xfId="420"/>
    <cellStyle name="Accent6 6" xfId="421"/>
    <cellStyle name="Accent6 7" xfId="422"/>
    <cellStyle name="Accent6 8" xfId="423"/>
    <cellStyle name="Accent6 9" xfId="424"/>
    <cellStyle name="Accounting w/$" xfId="2190"/>
    <cellStyle name="Accounting w/$ Total" xfId="2191"/>
    <cellStyle name="Accounting w/o $" xfId="2192"/>
    <cellStyle name="Acinput" xfId="2193"/>
    <cellStyle name="Acinput,," xfId="2194"/>
    <cellStyle name="Acinput_Merger Model_KN&amp;Fzio_v2.30 - Street" xfId="2195"/>
    <cellStyle name="Acoutput" xfId="2196"/>
    <cellStyle name="Acoutput,," xfId="2197"/>
    <cellStyle name="Acoutput_CAScomps02" xfId="2198"/>
    <cellStyle name="Actual Date" xfId="2199"/>
    <cellStyle name="AFE" xfId="2200"/>
    <cellStyle name="al" xfId="2201"/>
    <cellStyle name="Amount_EQU_RIGH.XLS_Equity market_Preferred Securities " xfId="2202"/>
    <cellStyle name="Apershare" xfId="2203"/>
    <cellStyle name="Aprice" xfId="2204"/>
    <cellStyle name="ar" xfId="2205"/>
    <cellStyle name="ar 2" xfId="6018"/>
    <cellStyle name="Arial 10" xfId="2206"/>
    <cellStyle name="Arial 12" xfId="2207"/>
    <cellStyle name="Availability" xfId="2208"/>
    <cellStyle name="Bad 10" xfId="425"/>
    <cellStyle name="Bad 11" xfId="426"/>
    <cellStyle name="Bad 12" xfId="427"/>
    <cellStyle name="Bad 13" xfId="428"/>
    <cellStyle name="Bad 14" xfId="429"/>
    <cellStyle name="Bad 15" xfId="430"/>
    <cellStyle name="Bad 16" xfId="431"/>
    <cellStyle name="Bad 2" xfId="432"/>
    <cellStyle name="Bad 2 10" xfId="2209"/>
    <cellStyle name="Bad 2 2" xfId="433"/>
    <cellStyle name="Bad 2 2 2" xfId="2210"/>
    <cellStyle name="Bad 2 3" xfId="2211"/>
    <cellStyle name="Bad 2 4" xfId="2212"/>
    <cellStyle name="Bad 2 5" xfId="2213"/>
    <cellStyle name="Bad 2 6" xfId="2214"/>
    <cellStyle name="Bad 2 7" xfId="2215"/>
    <cellStyle name="Bad 2 8" xfId="2216"/>
    <cellStyle name="Bad 2 9" xfId="2217"/>
    <cellStyle name="Bad 3" xfId="434"/>
    <cellStyle name="Bad 4" xfId="435"/>
    <cellStyle name="Bad 5" xfId="436"/>
    <cellStyle name="Bad 6" xfId="437"/>
    <cellStyle name="Bad 7" xfId="438"/>
    <cellStyle name="Bad 8" xfId="439"/>
    <cellStyle name="Bad 9" xfId="440"/>
    <cellStyle name="Band 2" xfId="2218"/>
    <cellStyle name="Blank" xfId="2219"/>
    <cellStyle name="Blue" xfId="2220"/>
    <cellStyle name="Bold/Border" xfId="2221"/>
    <cellStyle name="Border Heavy" xfId="2222"/>
    <cellStyle name="Border Thin" xfId="2223"/>
    <cellStyle name="Border, Bottom" xfId="2224"/>
    <cellStyle name="Border, Left" xfId="2225"/>
    <cellStyle name="Border, Right" xfId="2226"/>
    <cellStyle name="Border, Top" xfId="2227"/>
    <cellStyle name="Border, Top 2" xfId="5996"/>
    <cellStyle name="British Pound" xfId="2228"/>
    <cellStyle name="BritPound" xfId="2229"/>
    <cellStyle name="Bullet" xfId="2230"/>
    <cellStyle name="Calc Currency (0)" xfId="2231"/>
    <cellStyle name="Calc Currency (2)" xfId="2232"/>
    <cellStyle name="Calc Percent (0)" xfId="2233"/>
    <cellStyle name="Calc Percent (1)" xfId="2234"/>
    <cellStyle name="Calc Percent (2)" xfId="2235"/>
    <cellStyle name="Calc Units (0)" xfId="2236"/>
    <cellStyle name="Calc Units (1)" xfId="2237"/>
    <cellStyle name="Calc Units (2)" xfId="2238"/>
    <cellStyle name="Calculation 10" xfId="441"/>
    <cellStyle name="Calculation 11" xfId="442"/>
    <cellStyle name="Calculation 12" xfId="443"/>
    <cellStyle name="Calculation 13" xfId="444"/>
    <cellStyle name="Calculation 14" xfId="445"/>
    <cellStyle name="Calculation 15" xfId="446"/>
    <cellStyle name="Calculation 16" xfId="447"/>
    <cellStyle name="Calculation 16 2" xfId="6131"/>
    <cellStyle name="Calculation 2" xfId="448"/>
    <cellStyle name="Calculation 2 10" xfId="2239"/>
    <cellStyle name="Calculation 2 11" xfId="6017"/>
    <cellStyle name="Calculation 2 2" xfId="449"/>
    <cellStyle name="Calculation 2 2 2" xfId="2241"/>
    <cellStyle name="Calculation 2 2 3" xfId="2240"/>
    <cellStyle name="Calculation 2 2 4" xfId="6016"/>
    <cellStyle name="Calculation 2 3" xfId="2242"/>
    <cellStyle name="Calculation 2 4" xfId="2243"/>
    <cellStyle name="Calculation 2 5" xfId="2244"/>
    <cellStyle name="Calculation 2 6" xfId="2245"/>
    <cellStyle name="Calculation 2 7" xfId="2246"/>
    <cellStyle name="Calculation 2 8" xfId="2247"/>
    <cellStyle name="Calculation 2 9" xfId="2248"/>
    <cellStyle name="Calculation 3" xfId="450"/>
    <cellStyle name="Calculation 4" xfId="451"/>
    <cellStyle name="Calculation 5" xfId="452"/>
    <cellStyle name="Calculation 6" xfId="453"/>
    <cellStyle name="Calculation 7" xfId="454"/>
    <cellStyle name="Calculation 8" xfId="455"/>
    <cellStyle name="Calculation 9" xfId="456"/>
    <cellStyle name="Case" xfId="2249"/>
    <cellStyle name="Check" xfId="2250"/>
    <cellStyle name="Check Cell 10" xfId="457"/>
    <cellStyle name="Check Cell 11" xfId="458"/>
    <cellStyle name="Check Cell 12" xfId="459"/>
    <cellStyle name="Check Cell 13" xfId="460"/>
    <cellStyle name="Check Cell 14" xfId="461"/>
    <cellStyle name="Check Cell 15" xfId="462"/>
    <cellStyle name="Check Cell 16" xfId="463"/>
    <cellStyle name="Check Cell 2" xfId="464"/>
    <cellStyle name="Check Cell 2 10" xfId="2251"/>
    <cellStyle name="Check Cell 2 2" xfId="465"/>
    <cellStyle name="Check Cell 2 2 2" xfId="2252"/>
    <cellStyle name="Check Cell 2 3" xfId="2253"/>
    <cellStyle name="Check Cell 2 4" xfId="2254"/>
    <cellStyle name="Check Cell 2 5" xfId="2255"/>
    <cellStyle name="Check Cell 2 6" xfId="2256"/>
    <cellStyle name="Check Cell 2 7" xfId="2257"/>
    <cellStyle name="Check Cell 2 8" xfId="2258"/>
    <cellStyle name="Check Cell 2 9" xfId="2259"/>
    <cellStyle name="Check Cell 3" xfId="466"/>
    <cellStyle name="Check Cell 4" xfId="467"/>
    <cellStyle name="Check Cell 5" xfId="468"/>
    <cellStyle name="Check Cell 6" xfId="469"/>
    <cellStyle name="Check Cell 7" xfId="470"/>
    <cellStyle name="Check Cell 8" xfId="471"/>
    <cellStyle name="Check Cell 9" xfId="472"/>
    <cellStyle name="Chiffre" xfId="2260"/>
    <cellStyle name="Colhead_left" xfId="2261"/>
    <cellStyle name="ColHeading" xfId="2262"/>
    <cellStyle name="Column Title" xfId="2263"/>
    <cellStyle name="ColumnHeadings" xfId="2264"/>
    <cellStyle name="ColumnHeadings2" xfId="2265"/>
    <cellStyle name="Comma" xfId="1" builtinId="3"/>
    <cellStyle name="Comma  - Style1" xfId="2266"/>
    <cellStyle name="Comma  - Style2" xfId="2267"/>
    <cellStyle name="Comma  - Style3" xfId="2268"/>
    <cellStyle name="Comma  - Style4" xfId="2269"/>
    <cellStyle name="Comma  - Style5" xfId="2270"/>
    <cellStyle name="Comma  - Style6" xfId="2271"/>
    <cellStyle name="Comma  - Style7" xfId="2272"/>
    <cellStyle name="Comma  - Style8" xfId="2273"/>
    <cellStyle name="Comma ," xfId="2274"/>
    <cellStyle name="Comma [00]" xfId="2275"/>
    <cellStyle name="Comma [1]" xfId="2276"/>
    <cellStyle name="Comma [2]" xfId="2277"/>
    <cellStyle name="Comma [3]" xfId="2278"/>
    <cellStyle name="Comma 0" xfId="2279"/>
    <cellStyle name="Comma 0*" xfId="2280"/>
    <cellStyle name="Comma 0_Merger Model_KN&amp;Fzio_v2.30 - Street" xfId="2281"/>
    <cellStyle name="Comma 10" xfId="473"/>
    <cellStyle name="Comma 10 2" xfId="2283"/>
    <cellStyle name="Comma 10 3" xfId="2284"/>
    <cellStyle name="Comma 10 4" xfId="2285"/>
    <cellStyle name="Comma 10 5" xfId="2286"/>
    <cellStyle name="Comma 10 6" xfId="2282"/>
    <cellStyle name="Comma 10 7" xfId="6056"/>
    <cellStyle name="Comma 11" xfId="474"/>
    <cellStyle name="Comma 11 2" xfId="2287"/>
    <cellStyle name="Comma 12" xfId="1514"/>
    <cellStyle name="Comma 12 2" xfId="2288"/>
    <cellStyle name="Comma 13" xfId="1527"/>
    <cellStyle name="Comma 14" xfId="5503"/>
    <cellStyle name="Comma 15" xfId="6024"/>
    <cellStyle name="Comma 16" xfId="5987"/>
    <cellStyle name="Comma 2" xfId="5"/>
    <cellStyle name="Comma 2 10" xfId="2290"/>
    <cellStyle name="Comma 2 11" xfId="2291"/>
    <cellStyle name="Comma 2 11 2" xfId="2292"/>
    <cellStyle name="Comma 2 11 2 2" xfId="2293"/>
    <cellStyle name="Comma 2 11 3" xfId="2294"/>
    <cellStyle name="Comma 2 12" xfId="2295"/>
    <cellStyle name="Comma 2 12 2" xfId="2296"/>
    <cellStyle name="Comma 2 13" xfId="2297"/>
    <cellStyle name="Comma 2 14" xfId="2298"/>
    <cellStyle name="Comma 2 15" xfId="2299"/>
    <cellStyle name="Comma 2 16" xfId="2300"/>
    <cellStyle name="Comma 2 17" xfId="2301"/>
    <cellStyle name="Comma 2 18" xfId="2302"/>
    <cellStyle name="Comma 2 19" xfId="2303"/>
    <cellStyle name="Comma 2 2" xfId="475"/>
    <cellStyle name="Comma 2 2 10" xfId="2305"/>
    <cellStyle name="Comma 2 2 11" xfId="2306"/>
    <cellStyle name="Comma 2 2 12" xfId="2304"/>
    <cellStyle name="Comma 2 2 13" xfId="6052"/>
    <cellStyle name="Comma 2 2 2" xfId="476"/>
    <cellStyle name="Comma 2 2 2 2" xfId="2308"/>
    <cellStyle name="Comma 2 2 2 3" xfId="2307"/>
    <cellStyle name="Comma 2 2 3" xfId="2309"/>
    <cellStyle name="Comma 2 2 3 2" xfId="6070"/>
    <cellStyle name="Comma 2 2 4" xfId="2310"/>
    <cellStyle name="Comma 2 2 5" xfId="2311"/>
    <cellStyle name="Comma 2 2 6" xfId="2312"/>
    <cellStyle name="Comma 2 2 7" xfId="2313"/>
    <cellStyle name="Comma 2 2 8" xfId="2314"/>
    <cellStyle name="Comma 2 2 9" xfId="2315"/>
    <cellStyle name="Comma 2 20" xfId="2289"/>
    <cellStyle name="Comma 2 3" xfId="477"/>
    <cellStyle name="Comma 2 3 10" xfId="6096"/>
    <cellStyle name="Comma 2 3 2" xfId="2317"/>
    <cellStyle name="Comma 2 3 3" xfId="2318"/>
    <cellStyle name="Comma 2 3 4" xfId="2319"/>
    <cellStyle name="Comma 2 3 5" xfId="2320"/>
    <cellStyle name="Comma 2 3 6" xfId="2321"/>
    <cellStyle name="Comma 2 3 7" xfId="2322"/>
    <cellStyle name="Comma 2 3 8" xfId="2323"/>
    <cellStyle name="Comma 2 3 9" xfId="2316"/>
    <cellStyle name="Comma 2 4" xfId="478"/>
    <cellStyle name="Comma 2 4 2" xfId="2325"/>
    <cellStyle name="Comma 2 4 2 2" xfId="8335"/>
    <cellStyle name="Comma 2 4 2 2 2" xfId="11232"/>
    <cellStyle name="Comma 2 4 2 3" xfId="9792"/>
    <cellStyle name="Comma 2 4 2 4" xfId="6856"/>
    <cellStyle name="Comma 2 4 3" xfId="2326"/>
    <cellStyle name="Comma 2 4 3 2" xfId="10574"/>
    <cellStyle name="Comma 2 4 3 3" xfId="7674"/>
    <cellStyle name="Comma 2 4 4" xfId="2324"/>
    <cellStyle name="Comma 2 4 4 2" xfId="9134"/>
    <cellStyle name="Comma 2 4 5" xfId="6148"/>
    <cellStyle name="Comma 2 5" xfId="479"/>
    <cellStyle name="Comma 2 5 2" xfId="2328"/>
    <cellStyle name="Comma 2 5 2 2" xfId="2329"/>
    <cellStyle name="Comma 2 5 2 2 2" xfId="2330"/>
    <cellStyle name="Comma 2 5 2 2 2 2" xfId="2331"/>
    <cellStyle name="Comma 2 5 2 2 3" xfId="2332"/>
    <cellStyle name="Comma 2 5 2 3" xfId="2333"/>
    <cellStyle name="Comma 2 5 2 3 2" xfId="2334"/>
    <cellStyle name="Comma 2 5 2 4" xfId="2335"/>
    <cellStyle name="Comma 2 5 3" xfId="2336"/>
    <cellStyle name="Comma 2 5 3 2" xfId="2337"/>
    <cellStyle name="Comma 2 5 3 2 2" xfId="2338"/>
    <cellStyle name="Comma 2 5 3 2 2 2" xfId="2339"/>
    <cellStyle name="Comma 2 5 3 2 3" xfId="2340"/>
    <cellStyle name="Comma 2 5 3 3" xfId="2341"/>
    <cellStyle name="Comma 2 5 3 3 2" xfId="2342"/>
    <cellStyle name="Comma 2 5 3 4" xfId="2343"/>
    <cellStyle name="Comma 2 5 4" xfId="2344"/>
    <cellStyle name="Comma 2 5 4 2" xfId="2345"/>
    <cellStyle name="Comma 2 5 4 2 2" xfId="2346"/>
    <cellStyle name="Comma 2 5 4 3" xfId="2347"/>
    <cellStyle name="Comma 2 5 5" xfId="2348"/>
    <cellStyle name="Comma 2 5 5 2" xfId="2349"/>
    <cellStyle name="Comma 2 5 6" xfId="2350"/>
    <cellStyle name="Comma 2 5 7" xfId="2327"/>
    <cellStyle name="Comma 2 6" xfId="2351"/>
    <cellStyle name="Comma 2 6 2" xfId="2352"/>
    <cellStyle name="Comma 2 6 2 2" xfId="2353"/>
    <cellStyle name="Comma 2 6 2 2 2" xfId="2354"/>
    <cellStyle name="Comma 2 6 2 3" xfId="2355"/>
    <cellStyle name="Comma 2 6 3" xfId="2356"/>
    <cellStyle name="Comma 2 6 3 2" xfId="2357"/>
    <cellStyle name="Comma 2 6 4" xfId="2358"/>
    <cellStyle name="Comma 2 7" xfId="2359"/>
    <cellStyle name="Comma 2 7 2" xfId="2360"/>
    <cellStyle name="Comma 2 7 2 2" xfId="2361"/>
    <cellStyle name="Comma 2 7 2 2 2" xfId="2362"/>
    <cellStyle name="Comma 2 7 2 3" xfId="2363"/>
    <cellStyle name="Comma 2 7 3" xfId="2364"/>
    <cellStyle name="Comma 2 7 3 2" xfId="2365"/>
    <cellStyle name="Comma 2 7 4" xfId="2366"/>
    <cellStyle name="Comma 2 8" xfId="2367"/>
    <cellStyle name="Comma 2 9" xfId="2368"/>
    <cellStyle name="Comma 2 9 2" xfId="2369"/>
    <cellStyle name="Comma 2 9 2 2" xfId="2370"/>
    <cellStyle name="Comma 2 9 3" xfId="2371"/>
    <cellStyle name="Comma 2*" xfId="2372"/>
    <cellStyle name="Comma 3" xfId="6"/>
    <cellStyle name="Comma 3 10" xfId="2373"/>
    <cellStyle name="Comma 3 2" xfId="480"/>
    <cellStyle name="Comma 3 2 2" xfId="481"/>
    <cellStyle name="Comma 3 2 2 2" xfId="2375"/>
    <cellStyle name="Comma 3 2 2 2 2" xfId="6863"/>
    <cellStyle name="Comma 3 2 2 2 2 2" xfId="8341"/>
    <cellStyle name="Comma 3 2 2 2 2 2 2" xfId="11238"/>
    <cellStyle name="Comma 3 2 2 2 2 3" xfId="9798"/>
    <cellStyle name="Comma 3 2 2 2 3" xfId="7582"/>
    <cellStyle name="Comma 3 2 2 2 3 2" xfId="9040"/>
    <cellStyle name="Comma 3 2 2 2 3 2 2" xfId="11937"/>
    <cellStyle name="Comma 3 2 2 2 3 3" xfId="10497"/>
    <cellStyle name="Comma 3 2 2 2 4" xfId="7589"/>
    <cellStyle name="Comma 3 2 2 2 4 2" xfId="10501"/>
    <cellStyle name="Comma 3 2 2 2 5" xfId="9054"/>
    <cellStyle name="Comma 3 2 2 2 5 2" xfId="11941"/>
    <cellStyle name="Comma 3 2 2 2 6" xfId="9059"/>
    <cellStyle name="Comma 3 2 2 2 7" xfId="6049"/>
    <cellStyle name="Comma 3 2 2 3" xfId="7680"/>
    <cellStyle name="Comma 3 2 2 3 2" xfId="10580"/>
    <cellStyle name="Comma 3 2 2 4" xfId="9140"/>
    <cellStyle name="Comma 3 2 2 5" xfId="6155"/>
    <cellStyle name="Comma 3 2 3" xfId="482"/>
    <cellStyle name="Comma 3 2 3 2" xfId="7580"/>
    <cellStyle name="Comma 3 2 3 2 2" xfId="9038"/>
    <cellStyle name="Comma 3 2 3 2 2 2" xfId="11935"/>
    <cellStyle name="Comma 3 2 3 2 3" xfId="10495"/>
    <cellStyle name="Comma 3 2 3 3" xfId="7587"/>
    <cellStyle name="Comma 3 2 3 3 2" xfId="10499"/>
    <cellStyle name="Comma 3 2 3 4" xfId="9052"/>
    <cellStyle name="Comma 3 2 3 4 2" xfId="11939"/>
    <cellStyle name="Comma 3 2 3 5" xfId="9057"/>
    <cellStyle name="Comma 3 2 3 6" xfId="6047"/>
    <cellStyle name="Comma 3 2 4" xfId="1502"/>
    <cellStyle name="Comma 3 2 5" xfId="2374"/>
    <cellStyle name="Comma 3 3" xfId="483"/>
    <cellStyle name="Comma 3 3 2" xfId="2377"/>
    <cellStyle name="Comma 3 3 2 2" xfId="2378"/>
    <cellStyle name="Comma 3 3 2 2 2" xfId="11234"/>
    <cellStyle name="Comma 3 3 2 2 3" xfId="8337"/>
    <cellStyle name="Comma 3 3 2 3" xfId="9794"/>
    <cellStyle name="Comma 3 3 2 4" xfId="6858"/>
    <cellStyle name="Comma 3 3 3" xfId="2379"/>
    <cellStyle name="Comma 3 3 3 2" xfId="10576"/>
    <cellStyle name="Comma 3 3 3 3" xfId="7676"/>
    <cellStyle name="Comma 3 3 4" xfId="2380"/>
    <cellStyle name="Comma 3 3 4 2" xfId="9136"/>
    <cellStyle name="Comma 3 3 5" xfId="2376"/>
    <cellStyle name="Comma 3 3 6" xfId="6150"/>
    <cellStyle name="Comma 3 4" xfId="484"/>
    <cellStyle name="Comma 3 4 2" xfId="2382"/>
    <cellStyle name="Comma 3 4 2 2" xfId="8458"/>
    <cellStyle name="Comma 3 4 2 2 2" xfId="11355"/>
    <cellStyle name="Comma 3 4 2 3" xfId="9915"/>
    <cellStyle name="Comma 3 4 2 4" xfId="6981"/>
    <cellStyle name="Comma 3 4 3" xfId="2383"/>
    <cellStyle name="Comma 3 4 3 2" xfId="10697"/>
    <cellStyle name="Comma 3 4 3 3" xfId="7799"/>
    <cellStyle name="Comma 3 4 4" xfId="2381"/>
    <cellStyle name="Comma 3 4 4 2" xfId="9257"/>
    <cellStyle name="Comma 3 4 5" xfId="6296"/>
    <cellStyle name="Comma 3 5" xfId="485"/>
    <cellStyle name="Comma 3 5 2" xfId="2384"/>
    <cellStyle name="Comma 3 5 3" xfId="6057"/>
    <cellStyle name="Comma 3 6" xfId="1516"/>
    <cellStyle name="Comma 3 6 2" xfId="2385"/>
    <cellStyle name="Comma 3 7" xfId="2386"/>
    <cellStyle name="Comma 3 8" xfId="2387"/>
    <cellStyle name="Comma 3 9" xfId="2388"/>
    <cellStyle name="Comma 4" xfId="13"/>
    <cellStyle name="Comma 4 10" xfId="1503"/>
    <cellStyle name="Comma 4 10 2" xfId="2390"/>
    <cellStyle name="Comma 4 10 2 2" xfId="11885"/>
    <cellStyle name="Comma 4 10 2 3" xfId="8988"/>
    <cellStyle name="Comma 4 10 3" xfId="10445"/>
    <cellStyle name="Comma 4 10 4" xfId="7516"/>
    <cellStyle name="Comma 4 11" xfId="2391"/>
    <cellStyle name="Comma 4 11 2" xfId="8268"/>
    <cellStyle name="Comma 4 11 2 2" xfId="11165"/>
    <cellStyle name="Comma 4 11 3" xfId="9725"/>
    <cellStyle name="Comma 4 11 4" xfId="6787"/>
    <cellStyle name="Comma 4 12" xfId="2392"/>
    <cellStyle name="Comma 4 12 2" xfId="10508"/>
    <cellStyle name="Comma 4 12 3" xfId="7608"/>
    <cellStyle name="Comma 4 13" xfId="2393"/>
    <cellStyle name="Comma 4 13 2" xfId="9068"/>
    <cellStyle name="Comma 4 14" xfId="2394"/>
    <cellStyle name="Comma 4 15" xfId="2389"/>
    <cellStyle name="Comma 4 16" xfId="6071"/>
    <cellStyle name="Comma 4 2" xfId="486"/>
    <cellStyle name="Comma 4 2 10" xfId="7615"/>
    <cellStyle name="Comma 4 2 10 2" xfId="10515"/>
    <cellStyle name="Comma 4 2 11" xfId="9075"/>
    <cellStyle name="Comma 4 2 12" xfId="6080"/>
    <cellStyle name="Comma 4 2 2" xfId="487"/>
    <cellStyle name="Comma 4 2 2 10" xfId="9105"/>
    <cellStyle name="Comma 4 2 2 11" xfId="6117"/>
    <cellStyle name="Comma 4 2 2 2" xfId="488"/>
    <cellStyle name="Comma 4 2 2 2 2" xfId="489"/>
    <cellStyle name="Comma 4 2 2 2 2 2" xfId="490"/>
    <cellStyle name="Comma 4 2 2 2 2 2 2" xfId="7430"/>
    <cellStyle name="Comma 4 2 2 2 2 2 2 2" xfId="8907"/>
    <cellStyle name="Comma 4 2 2 2 2 2 2 2 2" xfId="11804"/>
    <cellStyle name="Comma 4 2 2 2 2 2 2 3" xfId="10364"/>
    <cellStyle name="Comma 4 2 2 2 2 2 3" xfId="8249"/>
    <cellStyle name="Comma 4 2 2 2 2 2 3 2" xfId="11146"/>
    <cellStyle name="Comma 4 2 2 2 2 2 4" xfId="9706"/>
    <cellStyle name="Comma 4 2 2 2 2 2 5" xfId="6754"/>
    <cellStyle name="Comma 4 2 2 2 2 3" xfId="2398"/>
    <cellStyle name="Comma 4 2 2 2 2 3 2" xfId="8674"/>
    <cellStyle name="Comma 4 2 2 2 2 3 2 2" xfId="11571"/>
    <cellStyle name="Comma 4 2 2 2 2 3 3" xfId="10131"/>
    <cellStyle name="Comma 4 2 2 2 2 3 4" xfId="7197"/>
    <cellStyle name="Comma 4 2 2 2 2 4" xfId="8016"/>
    <cellStyle name="Comma 4 2 2 2 2 4 2" xfId="10913"/>
    <cellStyle name="Comma 4 2 2 2 2 5" xfId="9473"/>
    <cellStyle name="Comma 4 2 2 2 2 6" xfId="6521"/>
    <cellStyle name="Comma 4 2 2 2 3" xfId="491"/>
    <cellStyle name="Comma 4 2 2 2 3 2" xfId="7314"/>
    <cellStyle name="Comma 4 2 2 2 3 2 2" xfId="8791"/>
    <cellStyle name="Comma 4 2 2 2 3 2 2 2" xfId="11688"/>
    <cellStyle name="Comma 4 2 2 2 3 2 3" xfId="10248"/>
    <cellStyle name="Comma 4 2 2 2 3 3" xfId="8133"/>
    <cellStyle name="Comma 4 2 2 2 3 3 2" xfId="11030"/>
    <cellStyle name="Comma 4 2 2 2 3 4" xfId="9590"/>
    <cellStyle name="Comma 4 2 2 2 3 5" xfId="6638"/>
    <cellStyle name="Comma 4 2 2 2 4" xfId="492"/>
    <cellStyle name="Comma 4 2 2 2 4 2" xfId="7081"/>
    <cellStyle name="Comma 4 2 2 2 4 2 2" xfId="8558"/>
    <cellStyle name="Comma 4 2 2 2 4 2 2 2" xfId="11455"/>
    <cellStyle name="Comma 4 2 2 2 4 2 3" xfId="10015"/>
    <cellStyle name="Comma 4 2 2 2 4 3" xfId="7899"/>
    <cellStyle name="Comma 4 2 2 2 4 3 2" xfId="10797"/>
    <cellStyle name="Comma 4 2 2 2 4 4" xfId="9357"/>
    <cellStyle name="Comma 4 2 2 2 4 5" xfId="6402"/>
    <cellStyle name="Comma 4 2 2 2 5" xfId="2397"/>
    <cellStyle name="Comma 4 2 2 2 5 2" xfId="8387"/>
    <cellStyle name="Comma 4 2 2 2 5 2 2" xfId="11284"/>
    <cellStyle name="Comma 4 2 2 2 5 3" xfId="9844"/>
    <cellStyle name="Comma 4 2 2 2 5 4" xfId="6909"/>
    <cellStyle name="Comma 4 2 2 2 6" xfId="7726"/>
    <cellStyle name="Comma 4 2 2 2 6 2" xfId="10626"/>
    <cellStyle name="Comma 4 2 2 2 7" xfId="9186"/>
    <cellStyle name="Comma 4 2 2 2 8" xfId="6205"/>
    <cellStyle name="Comma 4 2 2 3" xfId="493"/>
    <cellStyle name="Comma 4 2 2 3 2" xfId="494"/>
    <cellStyle name="Comma 4 2 2 3 2 2" xfId="7374"/>
    <cellStyle name="Comma 4 2 2 3 2 2 2" xfId="8851"/>
    <cellStyle name="Comma 4 2 2 3 2 2 2 2" xfId="11748"/>
    <cellStyle name="Comma 4 2 2 3 2 2 3" xfId="10308"/>
    <cellStyle name="Comma 4 2 2 3 2 3" xfId="8193"/>
    <cellStyle name="Comma 4 2 2 3 2 3 2" xfId="11090"/>
    <cellStyle name="Comma 4 2 2 3 2 4" xfId="9650"/>
    <cellStyle name="Comma 4 2 2 3 2 5" xfId="6698"/>
    <cellStyle name="Comma 4 2 2 3 3" xfId="495"/>
    <cellStyle name="Comma 4 2 2 3 3 2" xfId="7141"/>
    <cellStyle name="Comma 4 2 2 3 3 2 2" xfId="8618"/>
    <cellStyle name="Comma 4 2 2 3 3 2 2 2" xfId="11515"/>
    <cellStyle name="Comma 4 2 2 3 3 2 3" xfId="10075"/>
    <cellStyle name="Comma 4 2 2 3 3 3" xfId="7960"/>
    <cellStyle name="Comma 4 2 2 3 3 3 2" xfId="10857"/>
    <cellStyle name="Comma 4 2 2 3 3 4" xfId="9417"/>
    <cellStyle name="Comma 4 2 2 3 3 5" xfId="6465"/>
    <cellStyle name="Comma 4 2 2 3 4" xfId="2399"/>
    <cellStyle name="Comma 4 2 2 3 4 2" xfId="8443"/>
    <cellStyle name="Comma 4 2 2 3 4 2 2" xfId="11340"/>
    <cellStyle name="Comma 4 2 2 3 4 3" xfId="9900"/>
    <cellStyle name="Comma 4 2 2 3 4 4" xfId="6966"/>
    <cellStyle name="Comma 4 2 2 3 5" xfId="7783"/>
    <cellStyle name="Comma 4 2 2 3 5 2" xfId="10682"/>
    <cellStyle name="Comma 4 2 2 3 6" xfId="9242"/>
    <cellStyle name="Comma 4 2 2 3 7" xfId="6267"/>
    <cellStyle name="Comma 4 2 2 4" xfId="496"/>
    <cellStyle name="Comma 4 2 2 4 2" xfId="7258"/>
    <cellStyle name="Comma 4 2 2 4 2 2" xfId="8735"/>
    <cellStyle name="Comma 4 2 2 4 2 2 2" xfId="11632"/>
    <cellStyle name="Comma 4 2 2 4 2 3" xfId="10192"/>
    <cellStyle name="Comma 4 2 2 4 3" xfId="8077"/>
    <cellStyle name="Comma 4 2 2 4 3 2" xfId="10974"/>
    <cellStyle name="Comma 4 2 2 4 4" xfId="9534"/>
    <cellStyle name="Comma 4 2 2 4 5" xfId="6582"/>
    <cellStyle name="Comma 4 2 2 5" xfId="497"/>
    <cellStyle name="Comma 4 2 2 5 2" xfId="7025"/>
    <cellStyle name="Comma 4 2 2 5 2 2" xfId="8502"/>
    <cellStyle name="Comma 4 2 2 5 2 2 2" xfId="11399"/>
    <cellStyle name="Comma 4 2 2 5 2 3" xfId="9959"/>
    <cellStyle name="Comma 4 2 2 5 3" xfId="7843"/>
    <cellStyle name="Comma 4 2 2 5 3 2" xfId="10741"/>
    <cellStyle name="Comma 4 2 2 5 4" xfId="9301"/>
    <cellStyle name="Comma 4 2 2 5 5" xfId="6346"/>
    <cellStyle name="Comma 4 2 2 6" xfId="2396"/>
    <cellStyle name="Comma 4 2 2 6 2" xfId="8965"/>
    <cellStyle name="Comma 4 2 2 6 2 2" xfId="11862"/>
    <cellStyle name="Comma 4 2 2 6 3" xfId="10422"/>
    <cellStyle name="Comma 4 2 2 6 4" xfId="7491"/>
    <cellStyle name="Comma 4 2 2 7" xfId="7550"/>
    <cellStyle name="Comma 4 2 2 7 2" xfId="9022"/>
    <cellStyle name="Comma 4 2 2 7 2 2" xfId="11919"/>
    <cellStyle name="Comma 4 2 2 7 3" xfId="10479"/>
    <cellStyle name="Comma 4 2 2 8" xfId="6826"/>
    <cellStyle name="Comma 4 2 2 8 2" xfId="8306"/>
    <cellStyle name="Comma 4 2 2 8 2 2" xfId="11203"/>
    <cellStyle name="Comma 4 2 2 8 3" xfId="9763"/>
    <cellStyle name="Comma 4 2 2 9" xfId="7645"/>
    <cellStyle name="Comma 4 2 2 9 2" xfId="10545"/>
    <cellStyle name="Comma 4 2 3" xfId="498"/>
    <cellStyle name="Comma 4 2 3 2" xfId="499"/>
    <cellStyle name="Comma 4 2 3 2 2" xfId="500"/>
    <cellStyle name="Comma 4 2 3 2 2 2" xfId="7400"/>
    <cellStyle name="Comma 4 2 3 2 2 2 2" xfId="8877"/>
    <cellStyle name="Comma 4 2 3 2 2 2 2 2" xfId="11774"/>
    <cellStyle name="Comma 4 2 3 2 2 2 3" xfId="10334"/>
    <cellStyle name="Comma 4 2 3 2 2 3" xfId="8219"/>
    <cellStyle name="Comma 4 2 3 2 2 3 2" xfId="11116"/>
    <cellStyle name="Comma 4 2 3 2 2 4" xfId="9676"/>
    <cellStyle name="Comma 4 2 3 2 2 5" xfId="6724"/>
    <cellStyle name="Comma 4 2 3 2 3" xfId="2401"/>
    <cellStyle name="Comma 4 2 3 2 3 2" xfId="8644"/>
    <cellStyle name="Comma 4 2 3 2 3 2 2" xfId="11541"/>
    <cellStyle name="Comma 4 2 3 2 3 3" xfId="10101"/>
    <cellStyle name="Comma 4 2 3 2 3 4" xfId="7167"/>
    <cellStyle name="Comma 4 2 3 2 4" xfId="7986"/>
    <cellStyle name="Comma 4 2 3 2 4 2" xfId="10883"/>
    <cellStyle name="Comma 4 2 3 2 5" xfId="9443"/>
    <cellStyle name="Comma 4 2 3 2 6" xfId="6491"/>
    <cellStyle name="Comma 4 2 3 3" xfId="501"/>
    <cellStyle name="Comma 4 2 3 3 2" xfId="7284"/>
    <cellStyle name="Comma 4 2 3 3 2 2" xfId="8761"/>
    <cellStyle name="Comma 4 2 3 3 2 2 2" xfId="11658"/>
    <cellStyle name="Comma 4 2 3 3 2 3" xfId="10218"/>
    <cellStyle name="Comma 4 2 3 3 3" xfId="8103"/>
    <cellStyle name="Comma 4 2 3 3 3 2" xfId="11000"/>
    <cellStyle name="Comma 4 2 3 3 4" xfId="9560"/>
    <cellStyle name="Comma 4 2 3 3 5" xfId="6608"/>
    <cellStyle name="Comma 4 2 3 4" xfId="502"/>
    <cellStyle name="Comma 4 2 3 4 2" xfId="7051"/>
    <cellStyle name="Comma 4 2 3 4 2 2" xfId="8528"/>
    <cellStyle name="Comma 4 2 3 4 2 2 2" xfId="11425"/>
    <cellStyle name="Comma 4 2 3 4 2 3" xfId="9985"/>
    <cellStyle name="Comma 4 2 3 4 3" xfId="7869"/>
    <cellStyle name="Comma 4 2 3 4 3 2" xfId="10767"/>
    <cellStyle name="Comma 4 2 3 4 4" xfId="9327"/>
    <cellStyle name="Comma 4 2 3 4 5" xfId="6372"/>
    <cellStyle name="Comma 4 2 3 5" xfId="2400"/>
    <cellStyle name="Comma 4 2 3 5 2" xfId="8357"/>
    <cellStyle name="Comma 4 2 3 5 2 2" xfId="11254"/>
    <cellStyle name="Comma 4 2 3 5 3" xfId="9814"/>
    <cellStyle name="Comma 4 2 3 5 4" xfId="6879"/>
    <cellStyle name="Comma 4 2 3 6" xfId="7696"/>
    <cellStyle name="Comma 4 2 3 6 2" xfId="10596"/>
    <cellStyle name="Comma 4 2 3 7" xfId="9156"/>
    <cellStyle name="Comma 4 2 3 8" xfId="6174"/>
    <cellStyle name="Comma 4 2 4" xfId="503"/>
    <cellStyle name="Comma 4 2 4 2" xfId="504"/>
    <cellStyle name="Comma 4 2 4 2 2" xfId="7348"/>
    <cellStyle name="Comma 4 2 4 2 2 2" xfId="8825"/>
    <cellStyle name="Comma 4 2 4 2 2 2 2" xfId="11722"/>
    <cellStyle name="Comma 4 2 4 2 2 3" xfId="10282"/>
    <cellStyle name="Comma 4 2 4 2 3" xfId="8167"/>
    <cellStyle name="Comma 4 2 4 2 3 2" xfId="11064"/>
    <cellStyle name="Comma 4 2 4 2 4" xfId="9624"/>
    <cellStyle name="Comma 4 2 4 2 5" xfId="6672"/>
    <cellStyle name="Comma 4 2 4 3" xfId="505"/>
    <cellStyle name="Comma 4 2 4 3 2" xfId="7115"/>
    <cellStyle name="Comma 4 2 4 3 2 2" xfId="8592"/>
    <cellStyle name="Comma 4 2 4 3 2 2 2" xfId="11489"/>
    <cellStyle name="Comma 4 2 4 3 2 3" xfId="10049"/>
    <cellStyle name="Comma 4 2 4 3 3" xfId="7934"/>
    <cellStyle name="Comma 4 2 4 3 3 2" xfId="10831"/>
    <cellStyle name="Comma 4 2 4 3 4" xfId="9391"/>
    <cellStyle name="Comma 4 2 4 3 5" xfId="6439"/>
    <cellStyle name="Comma 4 2 4 4" xfId="2402"/>
    <cellStyle name="Comma 4 2 4 4 2" xfId="8413"/>
    <cellStyle name="Comma 4 2 4 4 2 2" xfId="11310"/>
    <cellStyle name="Comma 4 2 4 4 3" xfId="9870"/>
    <cellStyle name="Comma 4 2 4 4 4" xfId="6936"/>
    <cellStyle name="Comma 4 2 4 5" xfId="7753"/>
    <cellStyle name="Comma 4 2 4 5 2" xfId="10652"/>
    <cellStyle name="Comma 4 2 4 6" xfId="9212"/>
    <cellStyle name="Comma 4 2 4 7" xfId="6237"/>
    <cellStyle name="Comma 4 2 5" xfId="506"/>
    <cellStyle name="Comma 4 2 5 2" xfId="2403"/>
    <cellStyle name="Comma 4 2 5 2 2" xfId="8709"/>
    <cellStyle name="Comma 4 2 5 2 2 2" xfId="11606"/>
    <cellStyle name="Comma 4 2 5 2 3" xfId="10166"/>
    <cellStyle name="Comma 4 2 5 2 4" xfId="7232"/>
    <cellStyle name="Comma 4 2 5 3" xfId="8051"/>
    <cellStyle name="Comma 4 2 5 3 2" xfId="10948"/>
    <cellStyle name="Comma 4 2 5 4" xfId="9508"/>
    <cellStyle name="Comma 4 2 5 5" xfId="6556"/>
    <cellStyle name="Comma 4 2 6" xfId="507"/>
    <cellStyle name="Comma 4 2 6 2" xfId="6999"/>
    <cellStyle name="Comma 4 2 6 2 2" xfId="8476"/>
    <cellStyle name="Comma 4 2 6 2 2 2" xfId="11373"/>
    <cellStyle name="Comma 4 2 6 2 3" xfId="9933"/>
    <cellStyle name="Comma 4 2 6 3" xfId="7817"/>
    <cellStyle name="Comma 4 2 6 3 2" xfId="10715"/>
    <cellStyle name="Comma 4 2 6 4" xfId="9275"/>
    <cellStyle name="Comma 4 2 6 5" xfId="6320"/>
    <cellStyle name="Comma 4 2 7" xfId="2395"/>
    <cellStyle name="Comma 4 2 7 2" xfId="8939"/>
    <cellStyle name="Comma 4 2 7 2 2" xfId="11836"/>
    <cellStyle name="Comma 4 2 7 3" xfId="10396"/>
    <cellStyle name="Comma 4 2 7 4" xfId="7465"/>
    <cellStyle name="Comma 4 2 8" xfId="7524"/>
    <cellStyle name="Comma 4 2 8 2" xfId="8996"/>
    <cellStyle name="Comma 4 2 8 2 2" xfId="11893"/>
    <cellStyle name="Comma 4 2 8 3" xfId="10453"/>
    <cellStyle name="Comma 4 2 9" xfId="6795"/>
    <cellStyle name="Comma 4 2 9 2" xfId="8276"/>
    <cellStyle name="Comma 4 2 9 2 2" xfId="11173"/>
    <cellStyle name="Comma 4 2 9 3" xfId="9733"/>
    <cellStyle name="Comma 4 3" xfId="508"/>
    <cellStyle name="Comma 4 3 10" xfId="7623"/>
    <cellStyle name="Comma 4 3 10 2" xfId="10523"/>
    <cellStyle name="Comma 4 3 11" xfId="9083"/>
    <cellStyle name="Comma 4 3 12" xfId="6088"/>
    <cellStyle name="Comma 4 3 2" xfId="509"/>
    <cellStyle name="Comma 4 3 2 10" xfId="9113"/>
    <cellStyle name="Comma 4 3 2 11" xfId="6125"/>
    <cellStyle name="Comma 4 3 2 2" xfId="510"/>
    <cellStyle name="Comma 4 3 2 2 2" xfId="511"/>
    <cellStyle name="Comma 4 3 2 2 2 2" xfId="512"/>
    <cellStyle name="Comma 4 3 2 2 2 2 2" xfId="7438"/>
    <cellStyle name="Comma 4 3 2 2 2 2 2 2" xfId="8915"/>
    <cellStyle name="Comma 4 3 2 2 2 2 2 2 2" xfId="11812"/>
    <cellStyle name="Comma 4 3 2 2 2 2 2 3" xfId="10372"/>
    <cellStyle name="Comma 4 3 2 2 2 2 3" xfId="8257"/>
    <cellStyle name="Comma 4 3 2 2 2 2 3 2" xfId="11154"/>
    <cellStyle name="Comma 4 3 2 2 2 2 4" xfId="9714"/>
    <cellStyle name="Comma 4 3 2 2 2 2 5" xfId="6762"/>
    <cellStyle name="Comma 4 3 2 2 2 3" xfId="2407"/>
    <cellStyle name="Comma 4 3 2 2 2 3 2" xfId="8682"/>
    <cellStyle name="Comma 4 3 2 2 2 3 2 2" xfId="11579"/>
    <cellStyle name="Comma 4 3 2 2 2 3 3" xfId="10139"/>
    <cellStyle name="Comma 4 3 2 2 2 3 4" xfId="7205"/>
    <cellStyle name="Comma 4 3 2 2 2 4" xfId="8024"/>
    <cellStyle name="Comma 4 3 2 2 2 4 2" xfId="10921"/>
    <cellStyle name="Comma 4 3 2 2 2 5" xfId="9481"/>
    <cellStyle name="Comma 4 3 2 2 2 6" xfId="6529"/>
    <cellStyle name="Comma 4 3 2 2 3" xfId="513"/>
    <cellStyle name="Comma 4 3 2 2 3 2" xfId="7322"/>
    <cellStyle name="Comma 4 3 2 2 3 2 2" xfId="8799"/>
    <cellStyle name="Comma 4 3 2 2 3 2 2 2" xfId="11696"/>
    <cellStyle name="Comma 4 3 2 2 3 2 3" xfId="10256"/>
    <cellStyle name="Comma 4 3 2 2 3 3" xfId="8141"/>
    <cellStyle name="Comma 4 3 2 2 3 3 2" xfId="11038"/>
    <cellStyle name="Comma 4 3 2 2 3 4" xfId="9598"/>
    <cellStyle name="Comma 4 3 2 2 3 5" xfId="6646"/>
    <cellStyle name="Comma 4 3 2 2 4" xfId="514"/>
    <cellStyle name="Comma 4 3 2 2 4 2" xfId="7089"/>
    <cellStyle name="Comma 4 3 2 2 4 2 2" xfId="8566"/>
    <cellStyle name="Comma 4 3 2 2 4 2 2 2" xfId="11463"/>
    <cellStyle name="Comma 4 3 2 2 4 2 3" xfId="10023"/>
    <cellStyle name="Comma 4 3 2 2 4 3" xfId="7907"/>
    <cellStyle name="Comma 4 3 2 2 4 3 2" xfId="10805"/>
    <cellStyle name="Comma 4 3 2 2 4 4" xfId="9365"/>
    <cellStyle name="Comma 4 3 2 2 4 5" xfId="6410"/>
    <cellStyle name="Comma 4 3 2 2 5" xfId="2406"/>
    <cellStyle name="Comma 4 3 2 2 5 2" xfId="8395"/>
    <cellStyle name="Comma 4 3 2 2 5 2 2" xfId="11292"/>
    <cellStyle name="Comma 4 3 2 2 5 3" xfId="9852"/>
    <cellStyle name="Comma 4 3 2 2 5 4" xfId="6917"/>
    <cellStyle name="Comma 4 3 2 2 6" xfId="7734"/>
    <cellStyle name="Comma 4 3 2 2 6 2" xfId="10634"/>
    <cellStyle name="Comma 4 3 2 2 7" xfId="9194"/>
    <cellStyle name="Comma 4 3 2 2 8" xfId="6213"/>
    <cellStyle name="Comma 4 3 2 3" xfId="515"/>
    <cellStyle name="Comma 4 3 2 3 2" xfId="516"/>
    <cellStyle name="Comma 4 3 2 3 2 2" xfId="7382"/>
    <cellStyle name="Comma 4 3 2 3 2 2 2" xfId="8859"/>
    <cellStyle name="Comma 4 3 2 3 2 2 2 2" xfId="11756"/>
    <cellStyle name="Comma 4 3 2 3 2 2 3" xfId="10316"/>
    <cellStyle name="Comma 4 3 2 3 2 3" xfId="8201"/>
    <cellStyle name="Comma 4 3 2 3 2 3 2" xfId="11098"/>
    <cellStyle name="Comma 4 3 2 3 2 4" xfId="9658"/>
    <cellStyle name="Comma 4 3 2 3 2 5" xfId="6706"/>
    <cellStyle name="Comma 4 3 2 3 3" xfId="517"/>
    <cellStyle name="Comma 4 3 2 3 3 2" xfId="7149"/>
    <cellStyle name="Comma 4 3 2 3 3 2 2" xfId="8626"/>
    <cellStyle name="Comma 4 3 2 3 3 2 2 2" xfId="11523"/>
    <cellStyle name="Comma 4 3 2 3 3 2 3" xfId="10083"/>
    <cellStyle name="Comma 4 3 2 3 3 3" xfId="7968"/>
    <cellStyle name="Comma 4 3 2 3 3 3 2" xfId="10865"/>
    <cellStyle name="Comma 4 3 2 3 3 4" xfId="9425"/>
    <cellStyle name="Comma 4 3 2 3 3 5" xfId="6473"/>
    <cellStyle name="Comma 4 3 2 3 4" xfId="2408"/>
    <cellStyle name="Comma 4 3 2 3 4 2" xfId="8451"/>
    <cellStyle name="Comma 4 3 2 3 4 2 2" xfId="11348"/>
    <cellStyle name="Comma 4 3 2 3 4 3" xfId="9908"/>
    <cellStyle name="Comma 4 3 2 3 4 4" xfId="6974"/>
    <cellStyle name="Comma 4 3 2 3 5" xfId="7791"/>
    <cellStyle name="Comma 4 3 2 3 5 2" xfId="10690"/>
    <cellStyle name="Comma 4 3 2 3 6" xfId="9250"/>
    <cellStyle name="Comma 4 3 2 3 7" xfId="6275"/>
    <cellStyle name="Comma 4 3 2 4" xfId="518"/>
    <cellStyle name="Comma 4 3 2 4 2" xfId="7266"/>
    <cellStyle name="Comma 4 3 2 4 2 2" xfId="8743"/>
    <cellStyle name="Comma 4 3 2 4 2 2 2" xfId="11640"/>
    <cellStyle name="Comma 4 3 2 4 2 3" xfId="10200"/>
    <cellStyle name="Comma 4 3 2 4 3" xfId="8085"/>
    <cellStyle name="Comma 4 3 2 4 3 2" xfId="10982"/>
    <cellStyle name="Comma 4 3 2 4 4" xfId="9542"/>
    <cellStyle name="Comma 4 3 2 4 5" xfId="6590"/>
    <cellStyle name="Comma 4 3 2 5" xfId="519"/>
    <cellStyle name="Comma 4 3 2 5 2" xfId="7033"/>
    <cellStyle name="Comma 4 3 2 5 2 2" xfId="8510"/>
    <cellStyle name="Comma 4 3 2 5 2 2 2" xfId="11407"/>
    <cellStyle name="Comma 4 3 2 5 2 3" xfId="9967"/>
    <cellStyle name="Comma 4 3 2 5 3" xfId="7851"/>
    <cellStyle name="Comma 4 3 2 5 3 2" xfId="10749"/>
    <cellStyle name="Comma 4 3 2 5 4" xfId="9309"/>
    <cellStyle name="Comma 4 3 2 5 5" xfId="6354"/>
    <cellStyle name="Comma 4 3 2 6" xfId="2405"/>
    <cellStyle name="Comma 4 3 2 6 2" xfId="8973"/>
    <cellStyle name="Comma 4 3 2 6 2 2" xfId="11870"/>
    <cellStyle name="Comma 4 3 2 6 3" xfId="10430"/>
    <cellStyle name="Comma 4 3 2 6 4" xfId="7499"/>
    <cellStyle name="Comma 4 3 2 7" xfId="7558"/>
    <cellStyle name="Comma 4 3 2 7 2" xfId="9030"/>
    <cellStyle name="Comma 4 3 2 7 2 2" xfId="11927"/>
    <cellStyle name="Comma 4 3 2 7 3" xfId="10487"/>
    <cellStyle name="Comma 4 3 2 8" xfId="6834"/>
    <cellStyle name="Comma 4 3 2 8 2" xfId="8314"/>
    <cellStyle name="Comma 4 3 2 8 2 2" xfId="11211"/>
    <cellStyle name="Comma 4 3 2 8 3" xfId="9771"/>
    <cellStyle name="Comma 4 3 2 9" xfId="7653"/>
    <cellStyle name="Comma 4 3 2 9 2" xfId="10553"/>
    <cellStyle name="Comma 4 3 3" xfId="520"/>
    <cellStyle name="Comma 4 3 3 2" xfId="521"/>
    <cellStyle name="Comma 4 3 3 2 2" xfId="522"/>
    <cellStyle name="Comma 4 3 3 2 2 2" xfId="7408"/>
    <cellStyle name="Comma 4 3 3 2 2 2 2" xfId="8885"/>
    <cellStyle name="Comma 4 3 3 2 2 2 2 2" xfId="11782"/>
    <cellStyle name="Comma 4 3 3 2 2 2 3" xfId="10342"/>
    <cellStyle name="Comma 4 3 3 2 2 3" xfId="8227"/>
    <cellStyle name="Comma 4 3 3 2 2 3 2" xfId="11124"/>
    <cellStyle name="Comma 4 3 3 2 2 4" xfId="9684"/>
    <cellStyle name="Comma 4 3 3 2 2 5" xfId="6732"/>
    <cellStyle name="Comma 4 3 3 2 3" xfId="2410"/>
    <cellStyle name="Comma 4 3 3 2 3 2" xfId="8652"/>
    <cellStyle name="Comma 4 3 3 2 3 2 2" xfId="11549"/>
    <cellStyle name="Comma 4 3 3 2 3 3" xfId="10109"/>
    <cellStyle name="Comma 4 3 3 2 3 4" xfId="7175"/>
    <cellStyle name="Comma 4 3 3 2 4" xfId="7994"/>
    <cellStyle name="Comma 4 3 3 2 4 2" xfId="10891"/>
    <cellStyle name="Comma 4 3 3 2 5" xfId="9451"/>
    <cellStyle name="Comma 4 3 3 2 6" xfId="6499"/>
    <cellStyle name="Comma 4 3 3 3" xfId="523"/>
    <cellStyle name="Comma 4 3 3 3 2" xfId="7292"/>
    <cellStyle name="Comma 4 3 3 3 2 2" xfId="8769"/>
    <cellStyle name="Comma 4 3 3 3 2 2 2" xfId="11666"/>
    <cellStyle name="Comma 4 3 3 3 2 3" xfId="10226"/>
    <cellStyle name="Comma 4 3 3 3 3" xfId="8111"/>
    <cellStyle name="Comma 4 3 3 3 3 2" xfId="11008"/>
    <cellStyle name="Comma 4 3 3 3 4" xfId="9568"/>
    <cellStyle name="Comma 4 3 3 3 5" xfId="6616"/>
    <cellStyle name="Comma 4 3 3 4" xfId="524"/>
    <cellStyle name="Comma 4 3 3 4 2" xfId="7059"/>
    <cellStyle name="Comma 4 3 3 4 2 2" xfId="8536"/>
    <cellStyle name="Comma 4 3 3 4 2 2 2" xfId="11433"/>
    <cellStyle name="Comma 4 3 3 4 2 3" xfId="9993"/>
    <cellStyle name="Comma 4 3 3 4 3" xfId="7877"/>
    <cellStyle name="Comma 4 3 3 4 3 2" xfId="10775"/>
    <cellStyle name="Comma 4 3 3 4 4" xfId="9335"/>
    <cellStyle name="Comma 4 3 3 4 5" xfId="6380"/>
    <cellStyle name="Comma 4 3 3 5" xfId="2409"/>
    <cellStyle name="Comma 4 3 3 5 2" xfId="8365"/>
    <cellStyle name="Comma 4 3 3 5 2 2" xfId="11262"/>
    <cellStyle name="Comma 4 3 3 5 3" xfId="9822"/>
    <cellStyle name="Comma 4 3 3 5 4" xfId="6887"/>
    <cellStyle name="Comma 4 3 3 6" xfId="7704"/>
    <cellStyle name="Comma 4 3 3 6 2" xfId="10604"/>
    <cellStyle name="Comma 4 3 3 7" xfId="9164"/>
    <cellStyle name="Comma 4 3 3 8" xfId="6182"/>
    <cellStyle name="Comma 4 3 4" xfId="525"/>
    <cellStyle name="Comma 4 3 4 2" xfId="526"/>
    <cellStyle name="Comma 4 3 4 2 2" xfId="7356"/>
    <cellStyle name="Comma 4 3 4 2 2 2" xfId="8833"/>
    <cellStyle name="Comma 4 3 4 2 2 2 2" xfId="11730"/>
    <cellStyle name="Comma 4 3 4 2 2 3" xfId="10290"/>
    <cellStyle name="Comma 4 3 4 2 3" xfId="8175"/>
    <cellStyle name="Comma 4 3 4 2 3 2" xfId="11072"/>
    <cellStyle name="Comma 4 3 4 2 4" xfId="9632"/>
    <cellStyle name="Comma 4 3 4 2 5" xfId="6680"/>
    <cellStyle name="Comma 4 3 4 3" xfId="527"/>
    <cellStyle name="Comma 4 3 4 3 2" xfId="7123"/>
    <cellStyle name="Comma 4 3 4 3 2 2" xfId="8600"/>
    <cellStyle name="Comma 4 3 4 3 2 2 2" xfId="11497"/>
    <cellStyle name="Comma 4 3 4 3 2 3" xfId="10057"/>
    <cellStyle name="Comma 4 3 4 3 3" xfId="7942"/>
    <cellStyle name="Comma 4 3 4 3 3 2" xfId="10839"/>
    <cellStyle name="Comma 4 3 4 3 4" xfId="9399"/>
    <cellStyle name="Comma 4 3 4 3 5" xfId="6447"/>
    <cellStyle name="Comma 4 3 4 4" xfId="2411"/>
    <cellStyle name="Comma 4 3 4 4 2" xfId="8421"/>
    <cellStyle name="Comma 4 3 4 4 2 2" xfId="11318"/>
    <cellStyle name="Comma 4 3 4 4 3" xfId="9878"/>
    <cellStyle name="Comma 4 3 4 4 4" xfId="6944"/>
    <cellStyle name="Comma 4 3 4 5" xfId="7761"/>
    <cellStyle name="Comma 4 3 4 5 2" xfId="10660"/>
    <cellStyle name="Comma 4 3 4 6" xfId="9220"/>
    <cellStyle name="Comma 4 3 4 7" xfId="6245"/>
    <cellStyle name="Comma 4 3 5" xfId="528"/>
    <cellStyle name="Comma 4 3 5 2" xfId="7240"/>
    <cellStyle name="Comma 4 3 5 2 2" xfId="8717"/>
    <cellStyle name="Comma 4 3 5 2 2 2" xfId="11614"/>
    <cellStyle name="Comma 4 3 5 2 3" xfId="10174"/>
    <cellStyle name="Comma 4 3 5 3" xfId="8059"/>
    <cellStyle name="Comma 4 3 5 3 2" xfId="10956"/>
    <cellStyle name="Comma 4 3 5 4" xfId="9516"/>
    <cellStyle name="Comma 4 3 5 5" xfId="6564"/>
    <cellStyle name="Comma 4 3 6" xfId="529"/>
    <cellStyle name="Comma 4 3 6 2" xfId="7007"/>
    <cellStyle name="Comma 4 3 6 2 2" xfId="8484"/>
    <cellStyle name="Comma 4 3 6 2 2 2" xfId="11381"/>
    <cellStyle name="Comma 4 3 6 2 3" xfId="9941"/>
    <cellStyle name="Comma 4 3 6 3" xfId="7825"/>
    <cellStyle name="Comma 4 3 6 3 2" xfId="10723"/>
    <cellStyle name="Comma 4 3 6 4" xfId="9283"/>
    <cellStyle name="Comma 4 3 6 5" xfId="6328"/>
    <cellStyle name="Comma 4 3 7" xfId="2404"/>
    <cellStyle name="Comma 4 3 7 2" xfId="8947"/>
    <cellStyle name="Comma 4 3 7 2 2" xfId="11844"/>
    <cellStyle name="Comma 4 3 7 3" xfId="10404"/>
    <cellStyle name="Comma 4 3 7 4" xfId="7473"/>
    <cellStyle name="Comma 4 3 8" xfId="7532"/>
    <cellStyle name="Comma 4 3 8 2" xfId="9004"/>
    <cellStyle name="Comma 4 3 8 2 2" xfId="11901"/>
    <cellStyle name="Comma 4 3 8 3" xfId="10461"/>
    <cellStyle name="Comma 4 3 9" xfId="6803"/>
    <cellStyle name="Comma 4 3 9 2" xfId="8284"/>
    <cellStyle name="Comma 4 3 9 2 2" xfId="11181"/>
    <cellStyle name="Comma 4 3 9 3" xfId="9741"/>
    <cellStyle name="Comma 4 4" xfId="530"/>
    <cellStyle name="Comma 4 4 10" xfId="9097"/>
    <cellStyle name="Comma 4 4 11" xfId="6109"/>
    <cellStyle name="Comma 4 4 2" xfId="531"/>
    <cellStyle name="Comma 4 4 2 2" xfId="532"/>
    <cellStyle name="Comma 4 4 2 2 2" xfId="533"/>
    <cellStyle name="Comma 4 4 2 2 2 2" xfId="2415"/>
    <cellStyle name="Comma 4 4 2 2 2 2 2" xfId="8899"/>
    <cellStyle name="Comma 4 4 2 2 2 2 2 2" xfId="11796"/>
    <cellStyle name="Comma 4 4 2 2 2 2 3" xfId="10356"/>
    <cellStyle name="Comma 4 4 2 2 2 2 4" xfId="7422"/>
    <cellStyle name="Comma 4 4 2 2 2 3" xfId="8241"/>
    <cellStyle name="Comma 4 4 2 2 2 3 2" xfId="11138"/>
    <cellStyle name="Comma 4 4 2 2 2 4" xfId="9698"/>
    <cellStyle name="Comma 4 4 2 2 2 5" xfId="6746"/>
    <cellStyle name="Comma 4 4 2 2 3" xfId="2414"/>
    <cellStyle name="Comma 4 4 2 2 3 2" xfId="8666"/>
    <cellStyle name="Comma 4 4 2 2 3 2 2" xfId="11563"/>
    <cellStyle name="Comma 4 4 2 2 3 3" xfId="10123"/>
    <cellStyle name="Comma 4 4 2 2 3 4" xfId="7189"/>
    <cellStyle name="Comma 4 4 2 2 4" xfId="8008"/>
    <cellStyle name="Comma 4 4 2 2 4 2" xfId="10905"/>
    <cellStyle name="Comma 4 4 2 2 5" xfId="9465"/>
    <cellStyle name="Comma 4 4 2 2 6" xfId="6513"/>
    <cellStyle name="Comma 4 4 2 3" xfId="534"/>
    <cellStyle name="Comma 4 4 2 3 2" xfId="2416"/>
    <cellStyle name="Comma 4 4 2 3 2 2" xfId="8783"/>
    <cellStyle name="Comma 4 4 2 3 2 2 2" xfId="11680"/>
    <cellStyle name="Comma 4 4 2 3 2 3" xfId="10240"/>
    <cellStyle name="Comma 4 4 2 3 2 4" xfId="7306"/>
    <cellStyle name="Comma 4 4 2 3 3" xfId="8125"/>
    <cellStyle name="Comma 4 4 2 3 3 2" xfId="11022"/>
    <cellStyle name="Comma 4 4 2 3 4" xfId="9582"/>
    <cellStyle name="Comma 4 4 2 3 5" xfId="6630"/>
    <cellStyle name="Comma 4 4 2 4" xfId="535"/>
    <cellStyle name="Comma 4 4 2 4 2" xfId="7073"/>
    <cellStyle name="Comma 4 4 2 4 2 2" xfId="8550"/>
    <cellStyle name="Comma 4 4 2 4 2 2 2" xfId="11447"/>
    <cellStyle name="Comma 4 4 2 4 2 3" xfId="10007"/>
    <cellStyle name="Comma 4 4 2 4 3" xfId="7891"/>
    <cellStyle name="Comma 4 4 2 4 3 2" xfId="10789"/>
    <cellStyle name="Comma 4 4 2 4 4" xfId="9349"/>
    <cellStyle name="Comma 4 4 2 4 5" xfId="6394"/>
    <cellStyle name="Comma 4 4 2 5" xfId="2413"/>
    <cellStyle name="Comma 4 4 2 5 2" xfId="8379"/>
    <cellStyle name="Comma 4 4 2 5 2 2" xfId="11276"/>
    <cellStyle name="Comma 4 4 2 5 3" xfId="9836"/>
    <cellStyle name="Comma 4 4 2 5 4" xfId="6901"/>
    <cellStyle name="Comma 4 4 2 6" xfId="7718"/>
    <cellStyle name="Comma 4 4 2 6 2" xfId="10618"/>
    <cellStyle name="Comma 4 4 2 7" xfId="9178"/>
    <cellStyle name="Comma 4 4 2 8" xfId="6197"/>
    <cellStyle name="Comma 4 4 3" xfId="536"/>
    <cellStyle name="Comma 4 4 3 2" xfId="537"/>
    <cellStyle name="Comma 4 4 3 2 2" xfId="2418"/>
    <cellStyle name="Comma 4 4 3 2 2 2" xfId="8843"/>
    <cellStyle name="Comma 4 4 3 2 2 2 2" xfId="11740"/>
    <cellStyle name="Comma 4 4 3 2 2 3" xfId="10300"/>
    <cellStyle name="Comma 4 4 3 2 2 4" xfId="7366"/>
    <cellStyle name="Comma 4 4 3 2 3" xfId="8185"/>
    <cellStyle name="Comma 4 4 3 2 3 2" xfId="11082"/>
    <cellStyle name="Comma 4 4 3 2 4" xfId="9642"/>
    <cellStyle name="Comma 4 4 3 2 5" xfId="6690"/>
    <cellStyle name="Comma 4 4 3 3" xfId="538"/>
    <cellStyle name="Comma 4 4 3 3 2" xfId="7133"/>
    <cellStyle name="Comma 4 4 3 3 2 2" xfId="8610"/>
    <cellStyle name="Comma 4 4 3 3 2 2 2" xfId="11507"/>
    <cellStyle name="Comma 4 4 3 3 2 3" xfId="10067"/>
    <cellStyle name="Comma 4 4 3 3 3" xfId="7952"/>
    <cellStyle name="Comma 4 4 3 3 3 2" xfId="10849"/>
    <cellStyle name="Comma 4 4 3 3 4" xfId="9409"/>
    <cellStyle name="Comma 4 4 3 3 5" xfId="6457"/>
    <cellStyle name="Comma 4 4 3 4" xfId="2417"/>
    <cellStyle name="Comma 4 4 3 4 2" xfId="8435"/>
    <cellStyle name="Comma 4 4 3 4 2 2" xfId="11332"/>
    <cellStyle name="Comma 4 4 3 4 3" xfId="9892"/>
    <cellStyle name="Comma 4 4 3 4 4" xfId="6958"/>
    <cellStyle name="Comma 4 4 3 5" xfId="7775"/>
    <cellStyle name="Comma 4 4 3 5 2" xfId="10674"/>
    <cellStyle name="Comma 4 4 3 6" xfId="9234"/>
    <cellStyle name="Comma 4 4 3 7" xfId="6259"/>
    <cellStyle name="Comma 4 4 4" xfId="539"/>
    <cellStyle name="Comma 4 4 4 2" xfId="2419"/>
    <cellStyle name="Comma 4 4 4 2 2" xfId="8727"/>
    <cellStyle name="Comma 4 4 4 2 2 2" xfId="11624"/>
    <cellStyle name="Comma 4 4 4 2 3" xfId="10184"/>
    <cellStyle name="Comma 4 4 4 2 4" xfId="7250"/>
    <cellStyle name="Comma 4 4 4 3" xfId="8069"/>
    <cellStyle name="Comma 4 4 4 3 2" xfId="10966"/>
    <cellStyle name="Comma 4 4 4 4" xfId="9526"/>
    <cellStyle name="Comma 4 4 4 5" xfId="6574"/>
    <cellStyle name="Comma 4 4 5" xfId="540"/>
    <cellStyle name="Comma 4 4 5 2" xfId="7017"/>
    <cellStyle name="Comma 4 4 5 2 2" xfId="8494"/>
    <cellStyle name="Comma 4 4 5 2 2 2" xfId="11391"/>
    <cellStyle name="Comma 4 4 5 2 3" xfId="9951"/>
    <cellStyle name="Comma 4 4 5 3" xfId="7835"/>
    <cellStyle name="Comma 4 4 5 3 2" xfId="10733"/>
    <cellStyle name="Comma 4 4 5 4" xfId="9293"/>
    <cellStyle name="Comma 4 4 5 5" xfId="6338"/>
    <cellStyle name="Comma 4 4 6" xfId="2412"/>
    <cellStyle name="Comma 4 4 6 2" xfId="8957"/>
    <cellStyle name="Comma 4 4 6 2 2" xfId="11854"/>
    <cellStyle name="Comma 4 4 6 3" xfId="10414"/>
    <cellStyle name="Comma 4 4 6 4" xfId="7483"/>
    <cellStyle name="Comma 4 4 7" xfId="7542"/>
    <cellStyle name="Comma 4 4 7 2" xfId="9014"/>
    <cellStyle name="Comma 4 4 7 2 2" xfId="11911"/>
    <cellStyle name="Comma 4 4 7 3" xfId="10471"/>
    <cellStyle name="Comma 4 4 8" xfId="6818"/>
    <cellStyle name="Comma 4 4 8 2" xfId="8298"/>
    <cellStyle name="Comma 4 4 8 2 2" xfId="11195"/>
    <cellStyle name="Comma 4 4 8 3" xfId="9755"/>
    <cellStyle name="Comma 4 4 9" xfId="7637"/>
    <cellStyle name="Comma 4 4 9 2" xfId="10537"/>
    <cellStyle name="Comma 4 5" xfId="541"/>
    <cellStyle name="Comma 4 5 2" xfId="542"/>
    <cellStyle name="Comma 4 5 2 2" xfId="543"/>
    <cellStyle name="Comma 4 5 2 2 2" xfId="2422"/>
    <cellStyle name="Comma 4 5 2 2 2 2" xfId="8869"/>
    <cellStyle name="Comma 4 5 2 2 2 2 2" xfId="11766"/>
    <cellStyle name="Comma 4 5 2 2 2 3" xfId="10326"/>
    <cellStyle name="Comma 4 5 2 2 2 4" xfId="7392"/>
    <cellStyle name="Comma 4 5 2 2 3" xfId="8211"/>
    <cellStyle name="Comma 4 5 2 2 3 2" xfId="11108"/>
    <cellStyle name="Comma 4 5 2 2 4" xfId="9668"/>
    <cellStyle name="Comma 4 5 2 2 5" xfId="6716"/>
    <cellStyle name="Comma 4 5 2 3" xfId="2421"/>
    <cellStyle name="Comma 4 5 2 3 2" xfId="8636"/>
    <cellStyle name="Comma 4 5 2 3 2 2" xfId="11533"/>
    <cellStyle name="Comma 4 5 2 3 3" xfId="10093"/>
    <cellStyle name="Comma 4 5 2 3 4" xfId="7159"/>
    <cellStyle name="Comma 4 5 2 4" xfId="7978"/>
    <cellStyle name="Comma 4 5 2 4 2" xfId="10875"/>
    <cellStyle name="Comma 4 5 2 5" xfId="9435"/>
    <cellStyle name="Comma 4 5 2 6" xfId="6483"/>
    <cellStyle name="Comma 4 5 3" xfId="544"/>
    <cellStyle name="Comma 4 5 3 2" xfId="2423"/>
    <cellStyle name="Comma 4 5 3 2 2" xfId="8753"/>
    <cellStyle name="Comma 4 5 3 2 2 2" xfId="11650"/>
    <cellStyle name="Comma 4 5 3 2 3" xfId="10210"/>
    <cellStyle name="Comma 4 5 3 2 4" xfId="7276"/>
    <cellStyle name="Comma 4 5 3 3" xfId="8095"/>
    <cellStyle name="Comma 4 5 3 3 2" xfId="10992"/>
    <cellStyle name="Comma 4 5 3 4" xfId="9552"/>
    <cellStyle name="Comma 4 5 3 5" xfId="6600"/>
    <cellStyle name="Comma 4 5 4" xfId="545"/>
    <cellStyle name="Comma 4 5 4 2" xfId="7043"/>
    <cellStyle name="Comma 4 5 4 2 2" xfId="8520"/>
    <cellStyle name="Comma 4 5 4 2 2 2" xfId="11417"/>
    <cellStyle name="Comma 4 5 4 2 3" xfId="9977"/>
    <cellStyle name="Comma 4 5 4 3" xfId="7861"/>
    <cellStyle name="Comma 4 5 4 3 2" xfId="10759"/>
    <cellStyle name="Comma 4 5 4 4" xfId="9319"/>
    <cellStyle name="Comma 4 5 4 5" xfId="6364"/>
    <cellStyle name="Comma 4 5 5" xfId="2420"/>
    <cellStyle name="Comma 4 5 5 2" xfId="8347"/>
    <cellStyle name="Comma 4 5 5 2 2" xfId="11244"/>
    <cellStyle name="Comma 4 5 5 3" xfId="9804"/>
    <cellStyle name="Comma 4 5 5 4" xfId="6869"/>
    <cellStyle name="Comma 4 5 6" xfId="7686"/>
    <cellStyle name="Comma 4 5 6 2" xfId="10586"/>
    <cellStyle name="Comma 4 5 7" xfId="9146"/>
    <cellStyle name="Comma 4 5 8" xfId="6164"/>
    <cellStyle name="Comma 4 6" xfId="546"/>
    <cellStyle name="Comma 4 6 2" xfId="547"/>
    <cellStyle name="Comma 4 6 2 2" xfId="2426"/>
    <cellStyle name="Comma 4 6 2 2 2" xfId="8817"/>
    <cellStyle name="Comma 4 6 2 2 2 2" xfId="11714"/>
    <cellStyle name="Comma 4 6 2 2 3" xfId="10274"/>
    <cellStyle name="Comma 4 6 2 2 4" xfId="7340"/>
    <cellStyle name="Comma 4 6 2 3" xfId="2425"/>
    <cellStyle name="Comma 4 6 2 3 2" xfId="11056"/>
    <cellStyle name="Comma 4 6 2 3 3" xfId="8159"/>
    <cellStyle name="Comma 4 6 2 4" xfId="9616"/>
    <cellStyle name="Comma 4 6 2 5" xfId="6664"/>
    <cellStyle name="Comma 4 6 3" xfId="548"/>
    <cellStyle name="Comma 4 6 3 2" xfId="2427"/>
    <cellStyle name="Comma 4 6 3 2 2" xfId="8584"/>
    <cellStyle name="Comma 4 6 3 2 2 2" xfId="11481"/>
    <cellStyle name="Comma 4 6 3 2 3" xfId="10041"/>
    <cellStyle name="Comma 4 6 3 2 4" xfId="7107"/>
    <cellStyle name="Comma 4 6 3 3" xfId="7926"/>
    <cellStyle name="Comma 4 6 3 3 2" xfId="10823"/>
    <cellStyle name="Comma 4 6 3 4" xfId="9383"/>
    <cellStyle name="Comma 4 6 3 5" xfId="6431"/>
    <cellStyle name="Comma 4 6 4" xfId="2424"/>
    <cellStyle name="Comma 4 6 4 2" xfId="8405"/>
    <cellStyle name="Comma 4 6 4 2 2" xfId="11302"/>
    <cellStyle name="Comma 4 6 4 3" xfId="9862"/>
    <cellStyle name="Comma 4 6 4 4" xfId="6928"/>
    <cellStyle name="Comma 4 6 5" xfId="7745"/>
    <cellStyle name="Comma 4 6 5 2" xfId="10644"/>
    <cellStyle name="Comma 4 6 6" xfId="9204"/>
    <cellStyle name="Comma 4 6 7" xfId="6229"/>
    <cellStyle name="Comma 4 7" xfId="549"/>
    <cellStyle name="Comma 4 7 2" xfId="2429"/>
    <cellStyle name="Comma 4 7 2 2" xfId="8701"/>
    <cellStyle name="Comma 4 7 2 2 2" xfId="11598"/>
    <cellStyle name="Comma 4 7 2 3" xfId="10158"/>
    <cellStyle name="Comma 4 7 2 4" xfId="7224"/>
    <cellStyle name="Comma 4 7 3" xfId="2428"/>
    <cellStyle name="Comma 4 7 3 2" xfId="10940"/>
    <cellStyle name="Comma 4 7 3 3" xfId="8043"/>
    <cellStyle name="Comma 4 7 4" xfId="9500"/>
    <cellStyle name="Comma 4 7 5" xfId="6548"/>
    <cellStyle name="Comma 4 8" xfId="550"/>
    <cellStyle name="Comma 4 8 2" xfId="2430"/>
    <cellStyle name="Comma 4 8 2 2" xfId="8468"/>
    <cellStyle name="Comma 4 8 2 2 2" xfId="11365"/>
    <cellStyle name="Comma 4 8 2 3" xfId="9925"/>
    <cellStyle name="Comma 4 8 2 4" xfId="6991"/>
    <cellStyle name="Comma 4 8 3" xfId="7809"/>
    <cellStyle name="Comma 4 8 3 2" xfId="10707"/>
    <cellStyle name="Comma 4 8 4" xfId="9267"/>
    <cellStyle name="Comma 4 8 5" xfId="6312"/>
    <cellStyle name="Comma 4 9" xfId="551"/>
    <cellStyle name="Comma 4 9 2" xfId="2431"/>
    <cellStyle name="Comma 4 9 2 2" xfId="11828"/>
    <cellStyle name="Comma 4 9 2 3" xfId="8931"/>
    <cellStyle name="Comma 4 9 3" xfId="10388"/>
    <cellStyle name="Comma 4 9 4" xfId="7457"/>
    <cellStyle name="Comma 5" xfId="552"/>
    <cellStyle name="Comma 5 10" xfId="2433"/>
    <cellStyle name="Comma 5 11" xfId="2434"/>
    <cellStyle name="Comma 5 12" xfId="2435"/>
    <cellStyle name="Comma 5 13" xfId="2432"/>
    <cellStyle name="Comma 5 14" xfId="6103"/>
    <cellStyle name="Comma 5 2" xfId="553"/>
    <cellStyle name="Comma 5 2 2" xfId="2437"/>
    <cellStyle name="Comma 5 2 2 2" xfId="2438"/>
    <cellStyle name="Comma 5 2 2 2 2" xfId="2439"/>
    <cellStyle name="Comma 5 2 2 3" xfId="2440"/>
    <cellStyle name="Comma 5 2 3" xfId="2441"/>
    <cellStyle name="Comma 5 2 3 2" xfId="2442"/>
    <cellStyle name="Comma 5 2 4" xfId="2443"/>
    <cellStyle name="Comma 5 2 5" xfId="2436"/>
    <cellStyle name="Comma 5 3" xfId="1504"/>
    <cellStyle name="Comma 5 3 2" xfId="2445"/>
    <cellStyle name="Comma 5 3 2 2" xfId="2446"/>
    <cellStyle name="Comma 5 3 2 2 2" xfId="2447"/>
    <cellStyle name="Comma 5 3 2 3" xfId="2448"/>
    <cellStyle name="Comma 5 3 3" xfId="2449"/>
    <cellStyle name="Comma 5 3 3 2" xfId="2450"/>
    <cellStyle name="Comma 5 3 4" xfId="2451"/>
    <cellStyle name="Comma 5 3 5" xfId="2444"/>
    <cellStyle name="Comma 5 4" xfId="2452"/>
    <cellStyle name="Comma 5 4 2" xfId="2453"/>
    <cellStyle name="Comma 5 4 2 2" xfId="2454"/>
    <cellStyle name="Comma 5 4 3" xfId="2455"/>
    <cellStyle name="Comma 5 5" xfId="2456"/>
    <cellStyle name="Comma 5 5 2" xfId="2457"/>
    <cellStyle name="Comma 5 5 2 2" xfId="2458"/>
    <cellStyle name="Comma 5 5 3" xfId="2459"/>
    <cellStyle name="Comma 5 6" xfId="2460"/>
    <cellStyle name="Comma 5 6 2" xfId="2461"/>
    <cellStyle name="Comma 5 7" xfId="2462"/>
    <cellStyle name="Comma 5 8" xfId="2463"/>
    <cellStyle name="Comma 5 9" xfId="2464"/>
    <cellStyle name="Comma 6" xfId="554"/>
    <cellStyle name="Comma 6 2" xfId="555"/>
    <cellStyle name="Comma 6 2 2" xfId="556"/>
    <cellStyle name="Comma 6 2 2 2" xfId="557"/>
    <cellStyle name="Comma 6 2 2 2 2" xfId="7444"/>
    <cellStyle name="Comma 6 2 2 2 2 2" xfId="8921"/>
    <cellStyle name="Comma 6 2 2 2 2 2 2" xfId="11818"/>
    <cellStyle name="Comma 6 2 2 2 2 3" xfId="10378"/>
    <cellStyle name="Comma 6 2 2 2 3" xfId="8263"/>
    <cellStyle name="Comma 6 2 2 2 3 2" xfId="11160"/>
    <cellStyle name="Comma 6 2 2 2 4" xfId="9720"/>
    <cellStyle name="Comma 6 2 2 2 5" xfId="6768"/>
    <cellStyle name="Comma 6 2 2 3" xfId="7211"/>
    <cellStyle name="Comma 6 2 2 3 2" xfId="8688"/>
    <cellStyle name="Comma 6 2 2 3 2 2" xfId="11585"/>
    <cellStyle name="Comma 6 2 2 3 3" xfId="10145"/>
    <cellStyle name="Comma 6 2 2 4" xfId="8030"/>
    <cellStyle name="Comma 6 2 2 4 2" xfId="10927"/>
    <cellStyle name="Comma 6 2 2 5" xfId="9487"/>
    <cellStyle name="Comma 6 2 2 6" xfId="6535"/>
    <cellStyle name="Comma 6 2 3" xfId="558"/>
    <cellStyle name="Comma 6 2 3 2" xfId="7328"/>
    <cellStyle name="Comma 6 2 3 2 2" xfId="8805"/>
    <cellStyle name="Comma 6 2 3 2 2 2" xfId="11702"/>
    <cellStyle name="Comma 6 2 3 2 3" xfId="10262"/>
    <cellStyle name="Comma 6 2 3 3" xfId="8147"/>
    <cellStyle name="Comma 6 2 3 3 2" xfId="11044"/>
    <cellStyle name="Comma 6 2 3 4" xfId="9604"/>
    <cellStyle name="Comma 6 2 3 5" xfId="6652"/>
    <cellStyle name="Comma 6 2 4" xfId="559"/>
    <cellStyle name="Comma 6 2 4 2" xfId="7095"/>
    <cellStyle name="Comma 6 2 4 2 2" xfId="8572"/>
    <cellStyle name="Comma 6 2 4 2 2 2" xfId="11469"/>
    <cellStyle name="Comma 6 2 4 2 3" xfId="10029"/>
    <cellStyle name="Comma 6 2 4 3" xfId="7913"/>
    <cellStyle name="Comma 6 2 4 3 2" xfId="10811"/>
    <cellStyle name="Comma 6 2 4 4" xfId="9371"/>
    <cellStyle name="Comma 6 2 4 5" xfId="6416"/>
    <cellStyle name="Comma 6 2 5" xfId="2466"/>
    <cellStyle name="Comma 6 2 5 2" xfId="8373"/>
    <cellStyle name="Comma 6 2 5 2 2" xfId="11270"/>
    <cellStyle name="Comma 6 2 5 3" xfId="9830"/>
    <cellStyle name="Comma 6 2 5 4" xfId="6895"/>
    <cellStyle name="Comma 6 2 6" xfId="7712"/>
    <cellStyle name="Comma 6 2 6 2" xfId="10612"/>
    <cellStyle name="Comma 6 2 7" xfId="9172"/>
    <cellStyle name="Comma 6 2 8" xfId="6191"/>
    <cellStyle name="Comma 6 3" xfId="19"/>
    <cellStyle name="Comma 6 3 2" xfId="560"/>
    <cellStyle name="Comma 6 3 2 2" xfId="7416"/>
    <cellStyle name="Comma 6 3 2 2 2" xfId="8893"/>
    <cellStyle name="Comma 6 3 2 2 2 2" xfId="11790"/>
    <cellStyle name="Comma 6 3 2 2 3" xfId="10350"/>
    <cellStyle name="Comma 6 3 2 3" xfId="8235"/>
    <cellStyle name="Comma 6 3 2 3 2" xfId="11132"/>
    <cellStyle name="Comma 6 3 2 4" xfId="9692"/>
    <cellStyle name="Comma 6 3 2 5" xfId="6740"/>
    <cellStyle name="Comma 6 3 3" xfId="561"/>
    <cellStyle name="Comma 6 3 3 2" xfId="7183"/>
    <cellStyle name="Comma 6 3 3 2 2" xfId="8660"/>
    <cellStyle name="Comma 6 3 3 2 2 2" xfId="11557"/>
    <cellStyle name="Comma 6 3 3 2 3" xfId="10117"/>
    <cellStyle name="Comma 6 3 3 3" xfId="8002"/>
    <cellStyle name="Comma 6 3 3 3 2" xfId="10899"/>
    <cellStyle name="Comma 6 3 3 4" xfId="9459"/>
    <cellStyle name="Comma 6 3 3 5" xfId="6507"/>
    <cellStyle name="Comma 6 3 4" xfId="2467"/>
    <cellStyle name="Comma 6 3 4 2" xfId="8429"/>
    <cellStyle name="Comma 6 3 4 2 2" xfId="11326"/>
    <cellStyle name="Comma 6 3 4 3" xfId="9886"/>
    <cellStyle name="Comma 6 3 4 4" xfId="6952"/>
    <cellStyle name="Comma 6 3 5" xfId="7769"/>
    <cellStyle name="Comma 6 3 5 2" xfId="10668"/>
    <cellStyle name="Comma 6 3 6" xfId="9228"/>
    <cellStyle name="Comma 6 3 7" xfId="6253"/>
    <cellStyle name="Comma 6 4" xfId="562"/>
    <cellStyle name="Comma 6 4 2" xfId="2468"/>
    <cellStyle name="Comma 6 4 2 2" xfId="8777"/>
    <cellStyle name="Comma 6 4 2 2 2" xfId="11674"/>
    <cellStyle name="Comma 6 4 2 3" xfId="10234"/>
    <cellStyle name="Comma 6 4 2 4" xfId="7300"/>
    <cellStyle name="Comma 6 4 3" xfId="8119"/>
    <cellStyle name="Comma 6 4 3 2" xfId="11016"/>
    <cellStyle name="Comma 6 4 4" xfId="9576"/>
    <cellStyle name="Comma 6 4 5" xfId="6624"/>
    <cellStyle name="Comma 6 5" xfId="563"/>
    <cellStyle name="Comma 6 5 2" xfId="2469"/>
    <cellStyle name="Comma 6 5 2 2" xfId="8544"/>
    <cellStyle name="Comma 6 5 2 2 2" xfId="11441"/>
    <cellStyle name="Comma 6 5 2 3" xfId="10001"/>
    <cellStyle name="Comma 6 5 2 4" xfId="7067"/>
    <cellStyle name="Comma 6 5 3" xfId="7885"/>
    <cellStyle name="Comma 6 5 3 2" xfId="10783"/>
    <cellStyle name="Comma 6 5 4" xfId="9343"/>
    <cellStyle name="Comma 6 5 5" xfId="6388"/>
    <cellStyle name="Comma 6 6" xfId="2470"/>
    <cellStyle name="Comma 6 6 2" xfId="8292"/>
    <cellStyle name="Comma 6 6 2 2" xfId="11189"/>
    <cellStyle name="Comma 6 6 3" xfId="9749"/>
    <cellStyle name="Comma 6 6 4" xfId="6811"/>
    <cellStyle name="Comma 6 7" xfId="2465"/>
    <cellStyle name="Comma 6 7 2" xfId="10531"/>
    <cellStyle name="Comma 6 7 3" xfId="7631"/>
    <cellStyle name="Comma 6 8" xfId="9091"/>
    <cellStyle name="Comma 6 9" xfId="6100"/>
    <cellStyle name="Comma 7" xfId="564"/>
    <cellStyle name="Comma 7 2" xfId="565"/>
    <cellStyle name="Comma 7 2 2" xfId="2473"/>
    <cellStyle name="Comma 7 2 2 2" xfId="2474"/>
    <cellStyle name="Comma 7 2 3" xfId="2475"/>
    <cellStyle name="Comma 7 2 4" xfId="2472"/>
    <cellStyle name="Comma 7 2 5" xfId="6419"/>
    <cellStyle name="Comma 7 3" xfId="2476"/>
    <cellStyle name="Comma 7 3 2" xfId="2477"/>
    <cellStyle name="Comma 7 4" xfId="2478"/>
    <cellStyle name="Comma 7 5" xfId="2479"/>
    <cellStyle name="Comma 7 6" xfId="2480"/>
    <cellStyle name="Comma 7 7" xfId="2481"/>
    <cellStyle name="Comma 7 8" xfId="2482"/>
    <cellStyle name="Comma 7 9" xfId="2471"/>
    <cellStyle name="Comma 8" xfId="566"/>
    <cellStyle name="Comma 8 2" xfId="567"/>
    <cellStyle name="Comma 8 2 2" xfId="2485"/>
    <cellStyle name="Comma 8 2 2 2" xfId="8806"/>
    <cellStyle name="Comma 8 2 2 2 2" xfId="11703"/>
    <cellStyle name="Comma 8 2 2 3" xfId="10263"/>
    <cellStyle name="Comma 8 2 2 4" xfId="7329"/>
    <cellStyle name="Comma 8 2 3" xfId="2484"/>
    <cellStyle name="Comma 8 2 3 2" xfId="11045"/>
    <cellStyle name="Comma 8 2 3 3" xfId="8148"/>
    <cellStyle name="Comma 8 2 4" xfId="9605"/>
    <cellStyle name="Comma 8 2 5" xfId="6653"/>
    <cellStyle name="Comma 8 3" xfId="2486"/>
    <cellStyle name="Comma 8 3 2" xfId="8576"/>
    <cellStyle name="Comma 8 3 2 2" xfId="11473"/>
    <cellStyle name="Comma 8 3 3" xfId="10033"/>
    <cellStyle name="Comma 8 3 4" xfId="7099"/>
    <cellStyle name="Comma 8 4" xfId="2487"/>
    <cellStyle name="Comma 8 4 2" xfId="10815"/>
    <cellStyle name="Comma 8 4 3" xfId="7918"/>
    <cellStyle name="Comma 8 5" xfId="2488"/>
    <cellStyle name="Comma 8 5 2" xfId="9375"/>
    <cellStyle name="Comma 8 6" xfId="2489"/>
    <cellStyle name="Comma 8 7" xfId="2490"/>
    <cellStyle name="Comma 8 8" xfId="2483"/>
    <cellStyle name="Comma 8 9" xfId="6423"/>
    <cellStyle name="Comma 9" xfId="568"/>
    <cellStyle name="Comma 9 2" xfId="2492"/>
    <cellStyle name="Comma 9 2 2" xfId="8690"/>
    <cellStyle name="Comma 9 2 2 2" xfId="11587"/>
    <cellStyle name="Comma 9 2 3" xfId="10147"/>
    <cellStyle name="Comma 9 2 4" xfId="7213"/>
    <cellStyle name="Comma 9 3" xfId="2493"/>
    <cellStyle name="Comma 9 3 2" xfId="10929"/>
    <cellStyle name="Comma 9 3 3" xfId="8032"/>
    <cellStyle name="Comma 9 4" xfId="2494"/>
    <cellStyle name="Comma 9 4 2" xfId="9489"/>
    <cellStyle name="Comma 9 5" xfId="2495"/>
    <cellStyle name="Comma 9 6" xfId="2491"/>
    <cellStyle name="Comma 9 7" xfId="6537"/>
    <cellStyle name="Comma_CDM monthly amounts 2" xfId="1513"/>
    <cellStyle name="Comma_Horizon 2011 Load Forecast Model  June 25, 2010" xfId="11"/>
    <cellStyle name="Comma0" xfId="7"/>
    <cellStyle name="Comma0 2" xfId="2496"/>
    <cellStyle name="Comma2 (0)" xfId="2497"/>
    <cellStyle name="Comment" xfId="2498"/>
    <cellStyle name="Company" xfId="2499"/>
    <cellStyle name="CurRatio" xfId="2500"/>
    <cellStyle name="Currency" xfId="1525" builtinId="4"/>
    <cellStyle name="Currency--" xfId="2501"/>
    <cellStyle name="Currency [00]" xfId="2502"/>
    <cellStyle name="Currency [1]" xfId="2503"/>
    <cellStyle name="Currency [2]" xfId="2504"/>
    <cellStyle name="Currency [2] 2" xfId="6013"/>
    <cellStyle name="Currency [3]" xfId="2505"/>
    <cellStyle name="Currency 0" xfId="2506"/>
    <cellStyle name="Currency 10" xfId="2507"/>
    <cellStyle name="Currency 10 2" xfId="2508"/>
    <cellStyle name="Currency 10 2 2" xfId="2509"/>
    <cellStyle name="Currency 10 2 2 2" xfId="2510"/>
    <cellStyle name="Currency 10 2 2 2 2" xfId="2511"/>
    <cellStyle name="Currency 10 2 2 3" xfId="2512"/>
    <cellStyle name="Currency 10 2 3" xfId="2513"/>
    <cellStyle name="Currency 10 2 3 2" xfId="2514"/>
    <cellStyle name="Currency 10 2 4" xfId="2515"/>
    <cellStyle name="Currency 10 3" xfId="2516"/>
    <cellStyle name="Currency 10 3 2" xfId="2517"/>
    <cellStyle name="Currency 10 3 2 2" xfId="2518"/>
    <cellStyle name="Currency 10 3 2 2 2" xfId="2519"/>
    <cellStyle name="Currency 10 3 2 3" xfId="2520"/>
    <cellStyle name="Currency 10 3 3" xfId="2521"/>
    <cellStyle name="Currency 10 3 3 2" xfId="2522"/>
    <cellStyle name="Currency 10 3 4" xfId="2523"/>
    <cellStyle name="Currency 10 4" xfId="2524"/>
    <cellStyle name="Currency 10 4 2" xfId="2525"/>
    <cellStyle name="Currency 10 4 2 2" xfId="2526"/>
    <cellStyle name="Currency 10 4 3" xfId="2527"/>
    <cellStyle name="Currency 10 5" xfId="2528"/>
    <cellStyle name="Currency 10 5 2" xfId="2529"/>
    <cellStyle name="Currency 10 6" xfId="2530"/>
    <cellStyle name="Currency 11" xfId="2531"/>
    <cellStyle name="Currency 11 2" xfId="2532"/>
    <cellStyle name="Currency 11 2 2" xfId="2533"/>
    <cellStyle name="Currency 11 2 2 2" xfId="2534"/>
    <cellStyle name="Currency 11 2 2 2 2" xfId="2535"/>
    <cellStyle name="Currency 11 2 2 3" xfId="2536"/>
    <cellStyle name="Currency 11 2 3" xfId="2537"/>
    <cellStyle name="Currency 11 2 3 2" xfId="2538"/>
    <cellStyle name="Currency 11 2 4" xfId="2539"/>
    <cellStyle name="Currency 11 3" xfId="2540"/>
    <cellStyle name="Currency 11 3 2" xfId="2541"/>
    <cellStyle name="Currency 11 3 2 2" xfId="2542"/>
    <cellStyle name="Currency 11 3 2 2 2" xfId="2543"/>
    <cellStyle name="Currency 11 3 2 3" xfId="2544"/>
    <cellStyle name="Currency 11 3 3" xfId="2545"/>
    <cellStyle name="Currency 11 3 3 2" xfId="2546"/>
    <cellStyle name="Currency 11 3 4" xfId="2547"/>
    <cellStyle name="Currency 11 4" xfId="2548"/>
    <cellStyle name="Currency 11 4 2" xfId="2549"/>
    <cellStyle name="Currency 11 4 2 2" xfId="2550"/>
    <cellStyle name="Currency 11 4 3" xfId="2551"/>
    <cellStyle name="Currency 11 5" xfId="2552"/>
    <cellStyle name="Currency 11 5 2" xfId="2553"/>
    <cellStyle name="Currency 11 6" xfId="2554"/>
    <cellStyle name="Currency 12" xfId="2555"/>
    <cellStyle name="Currency 13" xfId="2556"/>
    <cellStyle name="Currency 14" xfId="2557"/>
    <cellStyle name="Currency 14 2" xfId="2558"/>
    <cellStyle name="Currency 14 2 2" xfId="2559"/>
    <cellStyle name="Currency 14 2 2 2" xfId="2560"/>
    <cellStyle name="Currency 14 2 2 2 2" xfId="2561"/>
    <cellStyle name="Currency 14 2 2 3" xfId="2562"/>
    <cellStyle name="Currency 14 2 3" xfId="2563"/>
    <cellStyle name="Currency 14 2 3 2" xfId="2564"/>
    <cellStyle name="Currency 14 2 4" xfId="2565"/>
    <cellStyle name="Currency 14 3" xfId="2566"/>
    <cellStyle name="Currency 14 3 2" xfId="2567"/>
    <cellStyle name="Currency 14 3 2 2" xfId="2568"/>
    <cellStyle name="Currency 14 3 2 2 2" xfId="2569"/>
    <cellStyle name="Currency 14 3 2 3" xfId="2570"/>
    <cellStyle name="Currency 14 3 3" xfId="2571"/>
    <cellStyle name="Currency 14 3 3 2" xfId="2572"/>
    <cellStyle name="Currency 14 3 4" xfId="2573"/>
    <cellStyle name="Currency 14 4" xfId="2574"/>
    <cellStyle name="Currency 14 4 2" xfId="2575"/>
    <cellStyle name="Currency 14 4 2 2" xfId="2576"/>
    <cellStyle name="Currency 14 4 2 2 2" xfId="2577"/>
    <cellStyle name="Currency 14 4 2 3" xfId="2578"/>
    <cellStyle name="Currency 14 4 3" xfId="2579"/>
    <cellStyle name="Currency 14 4 3 2" xfId="2580"/>
    <cellStyle name="Currency 14 4 4" xfId="2581"/>
    <cellStyle name="Currency 14 5" xfId="2582"/>
    <cellStyle name="Currency 14 5 2" xfId="2583"/>
    <cellStyle name="Currency 14 5 2 2" xfId="2584"/>
    <cellStyle name="Currency 14 5 3" xfId="2585"/>
    <cellStyle name="Currency 14 6" xfId="2586"/>
    <cellStyle name="Currency 14 6 2" xfId="2587"/>
    <cellStyle name="Currency 14 7" xfId="2588"/>
    <cellStyle name="Currency 15" xfId="2589"/>
    <cellStyle name="Currency 15 2" xfId="2590"/>
    <cellStyle name="Currency 15 2 2" xfId="2591"/>
    <cellStyle name="Currency 15 2 2 2" xfId="2592"/>
    <cellStyle name="Currency 15 2 3" xfId="2593"/>
    <cellStyle name="Currency 15 3" xfId="2594"/>
    <cellStyle name="Currency 15 3 2" xfId="2595"/>
    <cellStyle name="Currency 15 4" xfId="2596"/>
    <cellStyle name="Currency 16" xfId="2597"/>
    <cellStyle name="Currency 16 2" xfId="2598"/>
    <cellStyle name="Currency 17" xfId="2599"/>
    <cellStyle name="Currency 18" xfId="2600"/>
    <cellStyle name="Currency 19" xfId="2601"/>
    <cellStyle name="Currency 19 2" xfId="2602"/>
    <cellStyle name="Currency 19 2 2" xfId="2603"/>
    <cellStyle name="Currency 19 2 2 2" xfId="2604"/>
    <cellStyle name="Currency 19 2 2 2 2" xfId="2605"/>
    <cellStyle name="Currency 19 2 2 3" xfId="2606"/>
    <cellStyle name="Currency 19 2 3" xfId="2607"/>
    <cellStyle name="Currency 19 2 3 2" xfId="2608"/>
    <cellStyle name="Currency 19 2 4" xfId="2609"/>
    <cellStyle name="Currency 19 3" xfId="2610"/>
    <cellStyle name="Currency 19 3 2" xfId="2611"/>
    <cellStyle name="Currency 19 3 2 2" xfId="2612"/>
    <cellStyle name="Currency 19 3 2 2 2" xfId="2613"/>
    <cellStyle name="Currency 19 3 2 3" xfId="2614"/>
    <cellStyle name="Currency 19 3 3" xfId="2615"/>
    <cellStyle name="Currency 19 3 3 2" xfId="2616"/>
    <cellStyle name="Currency 19 3 4" xfId="2617"/>
    <cellStyle name="Currency 19 4" xfId="2618"/>
    <cellStyle name="Currency 19 4 2" xfId="2619"/>
    <cellStyle name="Currency 19 4 2 2" xfId="2620"/>
    <cellStyle name="Currency 19 4 3" xfId="2621"/>
    <cellStyle name="Currency 19 5" xfId="2622"/>
    <cellStyle name="Currency 19 5 2" xfId="2623"/>
    <cellStyle name="Currency 19 6" xfId="2624"/>
    <cellStyle name="Currency 2" xfId="569"/>
    <cellStyle name="Currency 2 10" xfId="2625"/>
    <cellStyle name="Currency 2 10 2" xfId="2626"/>
    <cellStyle name="Currency 2 10 2 2" xfId="2627"/>
    <cellStyle name="Currency 2 10 3" xfId="2628"/>
    <cellStyle name="Currency 2 11" xfId="2629"/>
    <cellStyle name="Currency 2 12" xfId="2630"/>
    <cellStyle name="Currency 2 13" xfId="2631"/>
    <cellStyle name="Currency 2 14" xfId="2632"/>
    <cellStyle name="Currency 2 15" xfId="2633"/>
    <cellStyle name="Currency 2 16" xfId="2634"/>
    <cellStyle name="Currency 2 17" xfId="2635"/>
    <cellStyle name="Currency 2 18" xfId="2636"/>
    <cellStyle name="Currency 2 2" xfId="570"/>
    <cellStyle name="Currency 2 2 10" xfId="2638"/>
    <cellStyle name="Currency 2 2 11" xfId="2639"/>
    <cellStyle name="Currency 2 2 12" xfId="2637"/>
    <cellStyle name="Currency 2 2 2" xfId="2640"/>
    <cellStyle name="Currency 2 2 3" xfId="2641"/>
    <cellStyle name="Currency 2 2 4" xfId="2642"/>
    <cellStyle name="Currency 2 2 5" xfId="2643"/>
    <cellStyle name="Currency 2 2 6" xfId="2644"/>
    <cellStyle name="Currency 2 2 7" xfId="2645"/>
    <cellStyle name="Currency 2 2 8" xfId="2646"/>
    <cellStyle name="Currency 2 2 9" xfId="2647"/>
    <cellStyle name="Currency 2 3" xfId="571"/>
    <cellStyle name="Currency 2 3 2" xfId="2649"/>
    <cellStyle name="Currency 2 3 3" xfId="2650"/>
    <cellStyle name="Currency 2 3 4" xfId="2651"/>
    <cellStyle name="Currency 2 3 5" xfId="2652"/>
    <cellStyle name="Currency 2 3 6" xfId="2648"/>
    <cellStyle name="Currency 2 4" xfId="572"/>
    <cellStyle name="Currency 2 4 2" xfId="2653"/>
    <cellStyle name="Currency 2 4 2 2" xfId="8349"/>
    <cellStyle name="Currency 2 4 2 2 2" xfId="11246"/>
    <cellStyle name="Currency 2 4 2 3" xfId="9806"/>
    <cellStyle name="Currency 2 4 2 4" xfId="6871"/>
    <cellStyle name="Currency 2 4 3" xfId="7688"/>
    <cellStyle name="Currency 2 4 3 2" xfId="10588"/>
    <cellStyle name="Currency 2 4 4" xfId="9148"/>
    <cellStyle name="Currency 2 4 5" xfId="6166"/>
    <cellStyle name="Currency 2 5" xfId="573"/>
    <cellStyle name="Currency 2 5 2" xfId="2654"/>
    <cellStyle name="Currency 2 6" xfId="574"/>
    <cellStyle name="Currency 2 6 2" xfId="2655"/>
    <cellStyle name="Currency 2 6 3" xfId="6058"/>
    <cellStyle name="Currency 2 7" xfId="1505"/>
    <cellStyle name="Currency 2 7 2" xfId="2656"/>
    <cellStyle name="Currency 2 8" xfId="2657"/>
    <cellStyle name="Currency 2 9" xfId="2658"/>
    <cellStyle name="Currency 2*" xfId="2659"/>
    <cellStyle name="Currency 2_CLdcfmodel" xfId="2660"/>
    <cellStyle name="Currency 20" xfId="2661"/>
    <cellStyle name="Currency 20 2" xfId="2662"/>
    <cellStyle name="Currency 20 2 2" xfId="2663"/>
    <cellStyle name="Currency 20 2 2 2" xfId="2664"/>
    <cellStyle name="Currency 20 2 2 2 2" xfId="2665"/>
    <cellStyle name="Currency 20 2 2 3" xfId="2666"/>
    <cellStyle name="Currency 20 2 3" xfId="2667"/>
    <cellStyle name="Currency 20 2 3 2" xfId="2668"/>
    <cellStyle name="Currency 20 2 4" xfId="2669"/>
    <cellStyle name="Currency 20 3" xfId="2670"/>
    <cellStyle name="Currency 20 3 2" xfId="2671"/>
    <cellStyle name="Currency 20 3 2 2" xfId="2672"/>
    <cellStyle name="Currency 20 3 2 2 2" xfId="2673"/>
    <cellStyle name="Currency 20 3 2 3" xfId="2674"/>
    <cellStyle name="Currency 20 3 3" xfId="2675"/>
    <cellStyle name="Currency 20 3 3 2" xfId="2676"/>
    <cellStyle name="Currency 20 3 4" xfId="2677"/>
    <cellStyle name="Currency 20 4" xfId="2678"/>
    <cellStyle name="Currency 20 4 2" xfId="2679"/>
    <cellStyle name="Currency 20 4 2 2" xfId="2680"/>
    <cellStyle name="Currency 20 4 3" xfId="2681"/>
    <cellStyle name="Currency 20 5" xfId="2682"/>
    <cellStyle name="Currency 20 5 2" xfId="2683"/>
    <cellStyle name="Currency 20 6" xfId="2684"/>
    <cellStyle name="Currency 21" xfId="2685"/>
    <cellStyle name="Currency 21 2" xfId="2686"/>
    <cellStyle name="Currency 21 2 2" xfId="2687"/>
    <cellStyle name="Currency 21 2 2 2" xfId="2688"/>
    <cellStyle name="Currency 21 2 2 2 2" xfId="2689"/>
    <cellStyle name="Currency 21 2 2 3" xfId="2690"/>
    <cellStyle name="Currency 21 2 3" xfId="2691"/>
    <cellStyle name="Currency 21 2 3 2" xfId="2692"/>
    <cellStyle name="Currency 21 2 4" xfId="2693"/>
    <cellStyle name="Currency 21 3" xfId="2694"/>
    <cellStyle name="Currency 21 3 2" xfId="2695"/>
    <cellStyle name="Currency 21 3 2 2" xfId="2696"/>
    <cellStyle name="Currency 21 3 2 2 2" xfId="2697"/>
    <cellStyle name="Currency 21 3 2 3" xfId="2698"/>
    <cellStyle name="Currency 21 3 3" xfId="2699"/>
    <cellStyle name="Currency 21 3 3 2" xfId="2700"/>
    <cellStyle name="Currency 21 3 4" xfId="2701"/>
    <cellStyle name="Currency 21 4" xfId="2702"/>
    <cellStyle name="Currency 21 4 2" xfId="2703"/>
    <cellStyle name="Currency 21 4 2 2" xfId="2704"/>
    <cellStyle name="Currency 21 4 3" xfId="2705"/>
    <cellStyle name="Currency 21 5" xfId="2706"/>
    <cellStyle name="Currency 21 5 2" xfId="2707"/>
    <cellStyle name="Currency 21 6" xfId="2708"/>
    <cellStyle name="Currency 22" xfId="2709"/>
    <cellStyle name="Currency 22 2" xfId="2710"/>
    <cellStyle name="Currency 22 2 2" xfId="2711"/>
    <cellStyle name="Currency 22 2 2 2" xfId="2712"/>
    <cellStyle name="Currency 22 2 2 2 2" xfId="2713"/>
    <cellStyle name="Currency 22 2 2 3" xfId="2714"/>
    <cellStyle name="Currency 22 2 3" xfId="2715"/>
    <cellStyle name="Currency 22 2 3 2" xfId="2716"/>
    <cellStyle name="Currency 22 2 4" xfId="2717"/>
    <cellStyle name="Currency 22 3" xfId="2718"/>
    <cellStyle name="Currency 22 3 2" xfId="2719"/>
    <cellStyle name="Currency 22 3 2 2" xfId="2720"/>
    <cellStyle name="Currency 22 3 2 2 2" xfId="2721"/>
    <cellStyle name="Currency 22 3 2 3" xfId="2722"/>
    <cellStyle name="Currency 22 3 3" xfId="2723"/>
    <cellStyle name="Currency 22 3 3 2" xfId="2724"/>
    <cellStyle name="Currency 22 3 4" xfId="2725"/>
    <cellStyle name="Currency 22 4" xfId="2726"/>
    <cellStyle name="Currency 22 4 2" xfId="2727"/>
    <cellStyle name="Currency 22 4 2 2" xfId="2728"/>
    <cellStyle name="Currency 22 4 3" xfId="2729"/>
    <cellStyle name="Currency 22 5" xfId="2730"/>
    <cellStyle name="Currency 22 5 2" xfId="2731"/>
    <cellStyle name="Currency 22 6" xfId="2732"/>
    <cellStyle name="Currency 23" xfId="2733"/>
    <cellStyle name="Currency 23 2" xfId="2734"/>
    <cellStyle name="Currency 23 2 2" xfId="2735"/>
    <cellStyle name="Currency 23 2 2 2" xfId="2736"/>
    <cellStyle name="Currency 23 2 2 2 2" xfId="2737"/>
    <cellStyle name="Currency 23 2 2 3" xfId="2738"/>
    <cellStyle name="Currency 23 2 3" xfId="2739"/>
    <cellStyle name="Currency 23 2 3 2" xfId="2740"/>
    <cellStyle name="Currency 23 2 4" xfId="2741"/>
    <cellStyle name="Currency 23 3" xfId="2742"/>
    <cellStyle name="Currency 23 3 2" xfId="2743"/>
    <cellStyle name="Currency 23 3 2 2" xfId="2744"/>
    <cellStyle name="Currency 23 3 2 2 2" xfId="2745"/>
    <cellStyle name="Currency 23 3 2 3" xfId="2746"/>
    <cellStyle name="Currency 23 3 3" xfId="2747"/>
    <cellStyle name="Currency 23 3 3 2" xfId="2748"/>
    <cellStyle name="Currency 23 3 4" xfId="2749"/>
    <cellStyle name="Currency 23 4" xfId="2750"/>
    <cellStyle name="Currency 23 4 2" xfId="2751"/>
    <cellStyle name="Currency 23 4 2 2" xfId="2752"/>
    <cellStyle name="Currency 23 4 3" xfId="2753"/>
    <cellStyle name="Currency 23 5" xfId="2754"/>
    <cellStyle name="Currency 23 5 2" xfId="2755"/>
    <cellStyle name="Currency 23 6" xfId="2756"/>
    <cellStyle name="Currency 24" xfId="2757"/>
    <cellStyle name="Currency 24 2" xfId="2758"/>
    <cellStyle name="Currency 24 2 2" xfId="2759"/>
    <cellStyle name="Currency 24 2 2 2" xfId="2760"/>
    <cellStyle name="Currency 24 2 2 2 2" xfId="2761"/>
    <cellStyle name="Currency 24 2 2 3" xfId="2762"/>
    <cellStyle name="Currency 24 2 3" xfId="2763"/>
    <cellStyle name="Currency 24 2 3 2" xfId="2764"/>
    <cellStyle name="Currency 24 2 4" xfId="2765"/>
    <cellStyle name="Currency 24 3" xfId="2766"/>
    <cellStyle name="Currency 24 3 2" xfId="2767"/>
    <cellStyle name="Currency 24 3 2 2" xfId="2768"/>
    <cellStyle name="Currency 24 3 2 2 2" xfId="2769"/>
    <cellStyle name="Currency 24 3 2 3" xfId="2770"/>
    <cellStyle name="Currency 24 3 3" xfId="2771"/>
    <cellStyle name="Currency 24 3 3 2" xfId="2772"/>
    <cellStyle name="Currency 24 3 4" xfId="2773"/>
    <cellStyle name="Currency 24 4" xfId="2774"/>
    <cellStyle name="Currency 24 4 2" xfId="2775"/>
    <cellStyle name="Currency 24 4 2 2" xfId="2776"/>
    <cellStyle name="Currency 24 4 3" xfId="2777"/>
    <cellStyle name="Currency 24 5" xfId="2778"/>
    <cellStyle name="Currency 24 5 2" xfId="2779"/>
    <cellStyle name="Currency 24 6" xfId="2780"/>
    <cellStyle name="Currency 25" xfId="5986"/>
    <cellStyle name="Currency 26" xfId="2781"/>
    <cellStyle name="Currency 26 2" xfId="2782"/>
    <cellStyle name="Currency 26 2 2" xfId="2783"/>
    <cellStyle name="Currency 26 2 2 2" xfId="2784"/>
    <cellStyle name="Currency 26 2 2 2 2" xfId="2785"/>
    <cellStyle name="Currency 26 2 2 3" xfId="2786"/>
    <cellStyle name="Currency 26 2 3" xfId="2787"/>
    <cellStyle name="Currency 26 2 3 2" xfId="2788"/>
    <cellStyle name="Currency 26 2 4" xfId="2789"/>
    <cellStyle name="Currency 26 3" xfId="2790"/>
    <cellStyle name="Currency 26 3 2" xfId="2791"/>
    <cellStyle name="Currency 26 3 2 2" xfId="2792"/>
    <cellStyle name="Currency 26 3 2 2 2" xfId="2793"/>
    <cellStyle name="Currency 26 3 2 3" xfId="2794"/>
    <cellStyle name="Currency 26 3 3" xfId="2795"/>
    <cellStyle name="Currency 26 3 3 2" xfId="2796"/>
    <cellStyle name="Currency 26 3 4" xfId="2797"/>
    <cellStyle name="Currency 26 4" xfId="2798"/>
    <cellStyle name="Currency 26 4 2" xfId="2799"/>
    <cellStyle name="Currency 26 4 2 2" xfId="2800"/>
    <cellStyle name="Currency 26 4 3" xfId="2801"/>
    <cellStyle name="Currency 26 5" xfId="2802"/>
    <cellStyle name="Currency 26 5 2" xfId="2803"/>
    <cellStyle name="Currency 26 6" xfId="2804"/>
    <cellStyle name="Currency 27" xfId="2805"/>
    <cellStyle name="Currency 27 2" xfId="2806"/>
    <cellStyle name="Currency 27 2 2" xfId="2807"/>
    <cellStyle name="Currency 27 2 2 2" xfId="2808"/>
    <cellStyle name="Currency 27 2 2 2 2" xfId="2809"/>
    <cellStyle name="Currency 27 2 2 3" xfId="2810"/>
    <cellStyle name="Currency 27 2 3" xfId="2811"/>
    <cellStyle name="Currency 27 2 3 2" xfId="2812"/>
    <cellStyle name="Currency 27 2 4" xfId="2813"/>
    <cellStyle name="Currency 27 3" xfId="2814"/>
    <cellStyle name="Currency 27 3 2" xfId="2815"/>
    <cellStyle name="Currency 27 3 2 2" xfId="2816"/>
    <cellStyle name="Currency 27 3 2 2 2" xfId="2817"/>
    <cellStyle name="Currency 27 3 2 3" xfId="2818"/>
    <cellStyle name="Currency 27 3 3" xfId="2819"/>
    <cellStyle name="Currency 27 3 3 2" xfId="2820"/>
    <cellStyle name="Currency 27 3 4" xfId="2821"/>
    <cellStyle name="Currency 27 4" xfId="2822"/>
    <cellStyle name="Currency 27 4 2" xfId="2823"/>
    <cellStyle name="Currency 27 4 2 2" xfId="2824"/>
    <cellStyle name="Currency 27 4 3" xfId="2825"/>
    <cellStyle name="Currency 27 5" xfId="2826"/>
    <cellStyle name="Currency 27 5 2" xfId="2827"/>
    <cellStyle name="Currency 27 6" xfId="2828"/>
    <cellStyle name="Currency 28" xfId="2829"/>
    <cellStyle name="Currency 28 2" xfId="2830"/>
    <cellStyle name="Currency 28 2 2" xfId="2831"/>
    <cellStyle name="Currency 28 2 2 2" xfId="2832"/>
    <cellStyle name="Currency 28 2 2 2 2" xfId="2833"/>
    <cellStyle name="Currency 28 2 2 3" xfId="2834"/>
    <cellStyle name="Currency 28 2 3" xfId="2835"/>
    <cellStyle name="Currency 28 2 3 2" xfId="2836"/>
    <cellStyle name="Currency 28 2 4" xfId="2837"/>
    <cellStyle name="Currency 28 3" xfId="2838"/>
    <cellStyle name="Currency 28 3 2" xfId="2839"/>
    <cellStyle name="Currency 28 3 2 2" xfId="2840"/>
    <cellStyle name="Currency 28 3 2 2 2" xfId="2841"/>
    <cellStyle name="Currency 28 3 2 3" xfId="2842"/>
    <cellStyle name="Currency 28 3 3" xfId="2843"/>
    <cellStyle name="Currency 28 3 3 2" xfId="2844"/>
    <cellStyle name="Currency 28 3 4" xfId="2845"/>
    <cellStyle name="Currency 28 4" xfId="2846"/>
    <cellStyle name="Currency 28 4 2" xfId="2847"/>
    <cellStyle name="Currency 28 4 2 2" xfId="2848"/>
    <cellStyle name="Currency 28 4 3" xfId="2849"/>
    <cellStyle name="Currency 28 5" xfId="2850"/>
    <cellStyle name="Currency 28 5 2" xfId="2851"/>
    <cellStyle name="Currency 28 6" xfId="2852"/>
    <cellStyle name="Currency 29" xfId="2853"/>
    <cellStyle name="Currency 29 2" xfId="2854"/>
    <cellStyle name="Currency 29 2 2" xfId="2855"/>
    <cellStyle name="Currency 29 2 2 2" xfId="2856"/>
    <cellStyle name="Currency 29 2 2 2 2" xfId="2857"/>
    <cellStyle name="Currency 29 2 2 3" xfId="2858"/>
    <cellStyle name="Currency 29 2 3" xfId="2859"/>
    <cellStyle name="Currency 29 2 3 2" xfId="2860"/>
    <cellStyle name="Currency 29 2 4" xfId="2861"/>
    <cellStyle name="Currency 29 3" xfId="2862"/>
    <cellStyle name="Currency 29 3 2" xfId="2863"/>
    <cellStyle name="Currency 29 3 2 2" xfId="2864"/>
    <cellStyle name="Currency 29 3 2 2 2" xfId="2865"/>
    <cellStyle name="Currency 29 3 2 3" xfId="2866"/>
    <cellStyle name="Currency 29 3 3" xfId="2867"/>
    <cellStyle name="Currency 29 3 3 2" xfId="2868"/>
    <cellStyle name="Currency 29 3 4" xfId="2869"/>
    <cellStyle name="Currency 29 4" xfId="2870"/>
    <cellStyle name="Currency 29 4 2" xfId="2871"/>
    <cellStyle name="Currency 29 4 2 2" xfId="2872"/>
    <cellStyle name="Currency 29 4 3" xfId="2873"/>
    <cellStyle name="Currency 29 5" xfId="2874"/>
    <cellStyle name="Currency 29 5 2" xfId="2875"/>
    <cellStyle name="Currency 29 6" xfId="2876"/>
    <cellStyle name="Currency 3" xfId="575"/>
    <cellStyle name="Currency 3 2" xfId="576"/>
    <cellStyle name="Currency 3 2 2" xfId="2879"/>
    <cellStyle name="Currency 3 2 2 2" xfId="2880"/>
    <cellStyle name="Currency 3 2 3" xfId="2881"/>
    <cellStyle name="Currency 3 2 4" xfId="2882"/>
    <cellStyle name="Currency 3 2 5" xfId="2883"/>
    <cellStyle name="Currency 3 2 6" xfId="2878"/>
    <cellStyle name="Currency 3 3" xfId="577"/>
    <cellStyle name="Currency 3 3 2" xfId="2884"/>
    <cellStyle name="Currency 3 4" xfId="578"/>
    <cellStyle name="Currency 3 4 2" xfId="2885"/>
    <cellStyle name="Currency 3 5" xfId="2886"/>
    <cellStyle name="Currency 3 6" xfId="2887"/>
    <cellStyle name="Currency 3 7" xfId="2877"/>
    <cellStyle name="Currency 30" xfId="6026"/>
    <cellStyle name="Currency 31" xfId="6027"/>
    <cellStyle name="Currency 4" xfId="579"/>
    <cellStyle name="Currency 4 10" xfId="2889"/>
    <cellStyle name="Currency 4 11" xfId="2888"/>
    <cellStyle name="Currency 4 12" xfId="6305"/>
    <cellStyle name="Currency 4 2" xfId="2890"/>
    <cellStyle name="Currency 4 2 2" xfId="2891"/>
    <cellStyle name="Currency 4 2 2 2" xfId="2892"/>
    <cellStyle name="Currency 4 2 2 2 2" xfId="2893"/>
    <cellStyle name="Currency 4 2 2 3" xfId="2894"/>
    <cellStyle name="Currency 4 2 3" xfId="2895"/>
    <cellStyle name="Currency 4 2 3 2" xfId="2896"/>
    <cellStyle name="Currency 4 2 4" xfId="2897"/>
    <cellStyle name="Currency 4 3" xfId="2898"/>
    <cellStyle name="Currency 4 3 2" xfId="2899"/>
    <cellStyle name="Currency 4 3 2 2" xfId="2900"/>
    <cellStyle name="Currency 4 3 2 2 2" xfId="2901"/>
    <cellStyle name="Currency 4 3 2 3" xfId="2902"/>
    <cellStyle name="Currency 4 3 3" xfId="2903"/>
    <cellStyle name="Currency 4 3 3 2" xfId="2904"/>
    <cellStyle name="Currency 4 3 4" xfId="2905"/>
    <cellStyle name="Currency 4 4" xfId="2906"/>
    <cellStyle name="Currency 4 4 2" xfId="2907"/>
    <cellStyle name="Currency 4 4 2 2" xfId="2908"/>
    <cellStyle name="Currency 4 4 3" xfId="2909"/>
    <cellStyle name="Currency 4 5" xfId="2910"/>
    <cellStyle name="Currency 4 5 2" xfId="2911"/>
    <cellStyle name="Currency 4 5 2 2" xfId="2912"/>
    <cellStyle name="Currency 4 5 3" xfId="2913"/>
    <cellStyle name="Currency 4 6" xfId="2914"/>
    <cellStyle name="Currency 4 6 2" xfId="2915"/>
    <cellStyle name="Currency 4 6 2 2" xfId="2916"/>
    <cellStyle name="Currency 4 6 3" xfId="2917"/>
    <cellStyle name="Currency 4 7" xfId="2918"/>
    <cellStyle name="Currency 4 7 2" xfId="2919"/>
    <cellStyle name="Currency 4 8" xfId="2920"/>
    <cellStyle name="Currency 4 9" xfId="2921"/>
    <cellStyle name="Currency 5" xfId="580"/>
    <cellStyle name="Currency 5 2" xfId="2923"/>
    <cellStyle name="Currency 5 2 2" xfId="2924"/>
    <cellStyle name="Currency 5 2 2 2" xfId="2925"/>
    <cellStyle name="Currency 5 2 2 2 2" xfId="2926"/>
    <cellStyle name="Currency 5 2 2 3" xfId="2927"/>
    <cellStyle name="Currency 5 2 3" xfId="2928"/>
    <cellStyle name="Currency 5 2 3 2" xfId="2929"/>
    <cellStyle name="Currency 5 2 4" xfId="2930"/>
    <cellStyle name="Currency 5 3" xfId="2931"/>
    <cellStyle name="Currency 5 3 2" xfId="2932"/>
    <cellStyle name="Currency 5 3 2 2" xfId="2933"/>
    <cellStyle name="Currency 5 3 2 2 2" xfId="2934"/>
    <cellStyle name="Currency 5 3 2 3" xfId="2935"/>
    <cellStyle name="Currency 5 3 3" xfId="2936"/>
    <cellStyle name="Currency 5 3 3 2" xfId="2937"/>
    <cellStyle name="Currency 5 3 4" xfId="2938"/>
    <cellStyle name="Currency 5 4" xfId="2939"/>
    <cellStyle name="Currency 5 4 2" xfId="2940"/>
    <cellStyle name="Currency 5 4 2 2" xfId="2941"/>
    <cellStyle name="Currency 5 4 3" xfId="2942"/>
    <cellStyle name="Currency 5 5" xfId="2943"/>
    <cellStyle name="Currency 5 5 2" xfId="2944"/>
    <cellStyle name="Currency 5 6" xfId="2945"/>
    <cellStyle name="Currency 5 7" xfId="2922"/>
    <cellStyle name="Currency 6" xfId="2946"/>
    <cellStyle name="Currency 6 2" xfId="2947"/>
    <cellStyle name="Currency 6 2 2" xfId="2948"/>
    <cellStyle name="Currency 6 2 2 2" xfId="2949"/>
    <cellStyle name="Currency 6 2 2 2 2" xfId="2950"/>
    <cellStyle name="Currency 6 2 2 3" xfId="2951"/>
    <cellStyle name="Currency 6 2 3" xfId="2952"/>
    <cellStyle name="Currency 6 2 3 2" xfId="2953"/>
    <cellStyle name="Currency 6 2 4" xfId="2954"/>
    <cellStyle name="Currency 6 3" xfId="2955"/>
    <cellStyle name="Currency 6 3 2" xfId="2956"/>
    <cellStyle name="Currency 6 3 2 2" xfId="2957"/>
    <cellStyle name="Currency 6 3 2 2 2" xfId="2958"/>
    <cellStyle name="Currency 6 3 2 3" xfId="2959"/>
    <cellStyle name="Currency 6 3 3" xfId="2960"/>
    <cellStyle name="Currency 6 3 3 2" xfId="2961"/>
    <cellStyle name="Currency 6 3 4" xfId="2962"/>
    <cellStyle name="Currency 6 4" xfId="2963"/>
    <cellStyle name="Currency 6 4 2" xfId="2964"/>
    <cellStyle name="Currency 6 4 2 2" xfId="2965"/>
    <cellStyle name="Currency 6 4 3" xfId="2966"/>
    <cellStyle name="Currency 6 5" xfId="2967"/>
    <cellStyle name="Currency 6 5 2" xfId="2968"/>
    <cellStyle name="Currency 6 6" xfId="2969"/>
    <cellStyle name="Currency 7" xfId="2970"/>
    <cellStyle name="Currency 7 2" xfId="2971"/>
    <cellStyle name="Currency 8" xfId="2972"/>
    <cellStyle name="Currency 8 2" xfId="2973"/>
    <cellStyle name="Currency 8 2 2" xfId="2974"/>
    <cellStyle name="Currency 8 2 2 2" xfId="2975"/>
    <cellStyle name="Currency 8 2 2 2 2" xfId="2976"/>
    <cellStyle name="Currency 8 2 2 3" xfId="2977"/>
    <cellStyle name="Currency 8 2 3" xfId="2978"/>
    <cellStyle name="Currency 8 2 3 2" xfId="2979"/>
    <cellStyle name="Currency 8 2 4" xfId="2980"/>
    <cellStyle name="Currency 8 3" xfId="2981"/>
    <cellStyle name="Currency 8 3 2" xfId="2982"/>
    <cellStyle name="Currency 8 3 2 2" xfId="2983"/>
    <cellStyle name="Currency 8 3 2 2 2" xfId="2984"/>
    <cellStyle name="Currency 8 3 2 3" xfId="2985"/>
    <cellStyle name="Currency 8 3 3" xfId="2986"/>
    <cellStyle name="Currency 8 3 3 2" xfId="2987"/>
    <cellStyle name="Currency 8 3 4" xfId="2988"/>
    <cellStyle name="Currency 8 4" xfId="2989"/>
    <cellStyle name="Currency 8 4 2" xfId="2990"/>
    <cellStyle name="Currency 8 4 2 2" xfId="2991"/>
    <cellStyle name="Currency 8 4 3" xfId="2992"/>
    <cellStyle name="Currency 8 5" xfId="2993"/>
    <cellStyle name="Currency 8 5 2" xfId="2994"/>
    <cellStyle name="Currency 8 6" xfId="2995"/>
    <cellStyle name="Currency 8 7" xfId="2996"/>
    <cellStyle name="Currency 9" xfId="2997"/>
    <cellStyle name="Currency 9 2" xfId="2998"/>
    <cellStyle name="Currency 9 2 2" xfId="2999"/>
    <cellStyle name="Currency 9 2 2 2" xfId="3000"/>
    <cellStyle name="Currency 9 2 2 2 2" xfId="3001"/>
    <cellStyle name="Currency 9 2 2 3" xfId="3002"/>
    <cellStyle name="Currency 9 2 3" xfId="3003"/>
    <cellStyle name="Currency 9 2 3 2" xfId="3004"/>
    <cellStyle name="Currency 9 2 4" xfId="3005"/>
    <cellStyle name="Currency 9 3" xfId="3006"/>
    <cellStyle name="Currency 9 3 2" xfId="3007"/>
    <cellStyle name="Currency 9 3 2 2" xfId="3008"/>
    <cellStyle name="Currency 9 3 2 2 2" xfId="3009"/>
    <cellStyle name="Currency 9 3 2 3" xfId="3010"/>
    <cellStyle name="Currency 9 3 3" xfId="3011"/>
    <cellStyle name="Currency 9 3 3 2" xfId="3012"/>
    <cellStyle name="Currency 9 3 4" xfId="3013"/>
    <cellStyle name="Currency 9 4" xfId="3014"/>
    <cellStyle name="Currency 9 4 2" xfId="3015"/>
    <cellStyle name="Currency 9 4 2 2" xfId="3016"/>
    <cellStyle name="Currency 9 4 3" xfId="3017"/>
    <cellStyle name="Currency 9 5" xfId="3018"/>
    <cellStyle name="Currency 9 5 2" xfId="3019"/>
    <cellStyle name="Currency 9 6" xfId="3020"/>
    <cellStyle name="Currency Per Share" xfId="3021"/>
    <cellStyle name="Currency0" xfId="8"/>
    <cellStyle name="Currency0 2" xfId="3022"/>
    <cellStyle name="Currency2" xfId="3023"/>
    <cellStyle name="CUS.Work.Area" xfId="3024"/>
    <cellStyle name="Dash" xfId="3025"/>
    <cellStyle name="Data" xfId="3026"/>
    <cellStyle name="Data 2" xfId="3027"/>
    <cellStyle name="Data 3" xfId="3028"/>
    <cellStyle name="Date" xfId="9"/>
    <cellStyle name="Date [mm-dd-yyyy]" xfId="3030"/>
    <cellStyle name="Date [mm-dd-yyyy] 2" xfId="3031"/>
    <cellStyle name="Date [mm-d-yyyy]" xfId="3032"/>
    <cellStyle name="Date [mmm-yyyy]" xfId="3033"/>
    <cellStyle name="Date 2" xfId="3029"/>
    <cellStyle name="Date 3" xfId="6000"/>
    <cellStyle name="Date 4" xfId="6011"/>
    <cellStyle name="Date Aligned" xfId="3034"/>
    <cellStyle name="Date Aligned*" xfId="3035"/>
    <cellStyle name="Date Aligned_comp_Integrateds" xfId="3036"/>
    <cellStyle name="Date Short" xfId="3037"/>
    <cellStyle name="date_ Pies " xfId="3038"/>
    <cellStyle name="DblLineDollarAcct" xfId="3039"/>
    <cellStyle name="DblLinePercent" xfId="3040"/>
    <cellStyle name="Dezimal [0]_A17 - 31.03.1998" xfId="3041"/>
    <cellStyle name="Dezimal_A17 - 31.03.1998" xfId="3042"/>
    <cellStyle name="Dia" xfId="3043"/>
    <cellStyle name="Dollar_ Pies " xfId="3044"/>
    <cellStyle name="DollarAccounting" xfId="3045"/>
    <cellStyle name="Dotted Line" xfId="3046"/>
    <cellStyle name="Dotted Line 2" xfId="3047"/>
    <cellStyle name="Dotted Line 3" xfId="3048"/>
    <cellStyle name="Double Accounting" xfId="3049"/>
    <cellStyle name="Duizenden" xfId="3050"/>
    <cellStyle name="Encabez1" xfId="3051"/>
    <cellStyle name="Encabez2" xfId="3052"/>
    <cellStyle name="Enter Currency (0)" xfId="3053"/>
    <cellStyle name="Enter Currency (2)" xfId="3054"/>
    <cellStyle name="Enter Units (0)" xfId="3055"/>
    <cellStyle name="Enter Units (1)" xfId="3056"/>
    <cellStyle name="Enter Units (2)" xfId="3057"/>
    <cellStyle name="Euro" xfId="3058"/>
    <cellStyle name="Explanatory Text 10" xfId="581"/>
    <cellStyle name="Explanatory Text 11" xfId="582"/>
    <cellStyle name="Explanatory Text 12" xfId="583"/>
    <cellStyle name="Explanatory Text 13" xfId="584"/>
    <cellStyle name="Explanatory Text 14" xfId="585"/>
    <cellStyle name="Explanatory Text 15" xfId="586"/>
    <cellStyle name="Explanatory Text 16" xfId="587"/>
    <cellStyle name="Explanatory Text 2" xfId="588"/>
    <cellStyle name="Explanatory Text 2 10" xfId="3059"/>
    <cellStyle name="Explanatory Text 2 2" xfId="589"/>
    <cellStyle name="Explanatory Text 2 2 2" xfId="3060"/>
    <cellStyle name="Explanatory Text 2 3" xfId="3061"/>
    <cellStyle name="Explanatory Text 2 4" xfId="3062"/>
    <cellStyle name="Explanatory Text 2 5" xfId="3063"/>
    <cellStyle name="Explanatory Text 2 6" xfId="3064"/>
    <cellStyle name="Explanatory Text 2 7" xfId="3065"/>
    <cellStyle name="Explanatory Text 2 8" xfId="3066"/>
    <cellStyle name="Explanatory Text 2 9" xfId="3067"/>
    <cellStyle name="Explanatory Text 3" xfId="590"/>
    <cellStyle name="Explanatory Text 4" xfId="591"/>
    <cellStyle name="Explanatory Text 5" xfId="592"/>
    <cellStyle name="Explanatory Text 6" xfId="593"/>
    <cellStyle name="Explanatory Text 7" xfId="594"/>
    <cellStyle name="Explanatory Text 8" xfId="595"/>
    <cellStyle name="Explanatory Text 9" xfId="596"/>
    <cellStyle name="fact" xfId="3068"/>
    <cellStyle name="FieldName" xfId="3069"/>
    <cellStyle name="FieldName 2" xfId="6009"/>
    <cellStyle name="Fijo" xfId="3070"/>
    <cellStyle name="Financiero" xfId="3071"/>
    <cellStyle name="Fixed" xfId="10"/>
    <cellStyle name="Fixed 2" xfId="3072"/>
    <cellStyle name="Footnote" xfId="3073"/>
    <cellStyle name="Good 10" xfId="597"/>
    <cellStyle name="Good 11" xfId="598"/>
    <cellStyle name="Good 12" xfId="599"/>
    <cellStyle name="Good 13" xfId="600"/>
    <cellStyle name="Good 14" xfId="601"/>
    <cellStyle name="Good 15" xfId="602"/>
    <cellStyle name="Good 16" xfId="603"/>
    <cellStyle name="Good 2" xfId="604"/>
    <cellStyle name="Good 2 10" xfId="3074"/>
    <cellStyle name="Good 2 2" xfId="605"/>
    <cellStyle name="Good 2 2 2" xfId="3075"/>
    <cellStyle name="Good 2 3" xfId="3076"/>
    <cellStyle name="Good 2 4" xfId="3077"/>
    <cellStyle name="Good 2 5" xfId="3078"/>
    <cellStyle name="Good 2 6" xfId="3079"/>
    <cellStyle name="Good 2 7" xfId="3080"/>
    <cellStyle name="Good 2 8" xfId="3081"/>
    <cellStyle name="Good 2 9" xfId="3082"/>
    <cellStyle name="Good 3" xfId="606"/>
    <cellStyle name="Good 4" xfId="607"/>
    <cellStyle name="Good 5" xfId="608"/>
    <cellStyle name="Good 6" xfId="609"/>
    <cellStyle name="Good 7" xfId="610"/>
    <cellStyle name="Good 8" xfId="611"/>
    <cellStyle name="Good 9" xfId="612"/>
    <cellStyle name="Grey" xfId="613"/>
    <cellStyle name="GWN Table Body" xfId="3083"/>
    <cellStyle name="GWN Table Header" xfId="3084"/>
    <cellStyle name="GWN Table Left Header" xfId="3085"/>
    <cellStyle name="GWN Table Note" xfId="3086"/>
    <cellStyle name="GWN Table Title" xfId="3087"/>
    <cellStyle name="hard no" xfId="3088"/>
    <cellStyle name="Hard Percent" xfId="3089"/>
    <cellStyle name="hardno" xfId="3090"/>
    <cellStyle name="Header" xfId="3091"/>
    <cellStyle name="Header1" xfId="3092"/>
    <cellStyle name="Header2" xfId="3093"/>
    <cellStyle name="Heading" xfId="3094"/>
    <cellStyle name="Heading 1 10" xfId="614"/>
    <cellStyle name="Heading 1 11" xfId="615"/>
    <cellStyle name="Heading 1 12" xfId="616"/>
    <cellStyle name="Heading 1 13" xfId="617"/>
    <cellStyle name="Heading 1 14" xfId="618"/>
    <cellStyle name="Heading 1 15" xfId="619"/>
    <cellStyle name="Heading 1 16" xfId="620"/>
    <cellStyle name="Heading 1 2" xfId="621"/>
    <cellStyle name="Heading 1 2 2" xfId="622"/>
    <cellStyle name="Heading 1 2 2 2" xfId="3096"/>
    <cellStyle name="Heading 1 2 3" xfId="3097"/>
    <cellStyle name="Heading 1 2 4" xfId="3098"/>
    <cellStyle name="Heading 1 2 5" xfId="3099"/>
    <cellStyle name="Heading 1 2 6" xfId="3100"/>
    <cellStyle name="Heading 1 2 7" xfId="3095"/>
    <cellStyle name="Heading 1 3" xfId="623"/>
    <cellStyle name="Heading 1 3 2" xfId="3101"/>
    <cellStyle name="Heading 1 4" xfId="624"/>
    <cellStyle name="Heading 1 5" xfId="625"/>
    <cellStyle name="Heading 1 6" xfId="626"/>
    <cellStyle name="Heading 1 7" xfId="627"/>
    <cellStyle name="Heading 1 8" xfId="628"/>
    <cellStyle name="Heading 1 9" xfId="629"/>
    <cellStyle name="Heading 2 10" xfId="630"/>
    <cellStyle name="Heading 2 11" xfId="631"/>
    <cellStyle name="Heading 2 12" xfId="632"/>
    <cellStyle name="Heading 2 13" xfId="633"/>
    <cellStyle name="Heading 2 14" xfId="634"/>
    <cellStyle name="Heading 2 15" xfId="635"/>
    <cellStyle name="Heading 2 16" xfId="636"/>
    <cellStyle name="Heading 2 2" xfId="637"/>
    <cellStyle name="Heading 2 2 2" xfId="638"/>
    <cellStyle name="Heading 2 2 2 2" xfId="3103"/>
    <cellStyle name="Heading 2 2 3" xfId="3104"/>
    <cellStyle name="Heading 2 2 4" xfId="3105"/>
    <cellStyle name="Heading 2 2 5" xfId="3106"/>
    <cellStyle name="Heading 2 2 6" xfId="3107"/>
    <cellStyle name="Heading 2 2 7" xfId="3102"/>
    <cellStyle name="Heading 2 3" xfId="639"/>
    <cellStyle name="Heading 2 3 2" xfId="3108"/>
    <cellStyle name="Heading 2 4" xfId="640"/>
    <cellStyle name="Heading 2 5" xfId="641"/>
    <cellStyle name="Heading 2 6" xfId="642"/>
    <cellStyle name="Heading 2 7" xfId="643"/>
    <cellStyle name="Heading 2 8" xfId="644"/>
    <cellStyle name="Heading 2 9" xfId="645"/>
    <cellStyle name="Heading 3 10" xfId="646"/>
    <cellStyle name="Heading 3 11" xfId="647"/>
    <cellStyle name="Heading 3 12" xfId="648"/>
    <cellStyle name="Heading 3 13" xfId="649"/>
    <cellStyle name="Heading 3 14" xfId="650"/>
    <cellStyle name="Heading 3 15" xfId="651"/>
    <cellStyle name="Heading 3 16" xfId="652"/>
    <cellStyle name="Heading 3 2" xfId="653"/>
    <cellStyle name="Heading 3 2 2" xfId="654"/>
    <cellStyle name="Heading 3 2 2 2" xfId="3110"/>
    <cellStyle name="Heading 3 2 3" xfId="3111"/>
    <cellStyle name="Heading 3 2 4" xfId="3112"/>
    <cellStyle name="Heading 3 2 5" xfId="3113"/>
    <cellStyle name="Heading 3 2 6" xfId="3114"/>
    <cellStyle name="Heading 3 2 7" xfId="3115"/>
    <cellStyle name="Heading 3 2 8" xfId="3109"/>
    <cellStyle name="Heading 3 3" xfId="655"/>
    <cellStyle name="Heading 3 3 2" xfId="3116"/>
    <cellStyle name="Heading 3 4" xfId="656"/>
    <cellStyle name="Heading 3 5" xfId="657"/>
    <cellStyle name="Heading 3 6" xfId="658"/>
    <cellStyle name="Heading 3 7" xfId="659"/>
    <cellStyle name="Heading 3 8" xfId="660"/>
    <cellStyle name="Heading 3 9" xfId="661"/>
    <cellStyle name="Heading 4 10" xfId="662"/>
    <cellStyle name="Heading 4 11" xfId="663"/>
    <cellStyle name="Heading 4 12" xfId="664"/>
    <cellStyle name="Heading 4 13" xfId="665"/>
    <cellStyle name="Heading 4 14" xfId="666"/>
    <cellStyle name="Heading 4 15" xfId="667"/>
    <cellStyle name="Heading 4 16" xfId="668"/>
    <cellStyle name="Heading 4 2" xfId="669"/>
    <cellStyle name="Heading 4 2 2" xfId="670"/>
    <cellStyle name="Heading 4 2 3" xfId="3117"/>
    <cellStyle name="Heading 4 3" xfId="671"/>
    <cellStyle name="Heading 4 4" xfId="672"/>
    <cellStyle name="Heading 4 5" xfId="673"/>
    <cellStyle name="Heading 4 6" xfId="674"/>
    <cellStyle name="Heading 4 7" xfId="675"/>
    <cellStyle name="Heading 4 8" xfId="676"/>
    <cellStyle name="Heading 4 9" xfId="677"/>
    <cellStyle name="Heading2" xfId="3118"/>
    <cellStyle name="Heading3" xfId="3119"/>
    <cellStyle name="HeadingColumn" xfId="3120"/>
    <cellStyle name="HeadingS" xfId="3121"/>
    <cellStyle name="HeadingYear" xfId="3122"/>
    <cellStyle name="HeadlineStyle" xfId="3123"/>
    <cellStyle name="HeadlineStyleJustified" xfId="3124"/>
    <cellStyle name="Hed Side_Sheet1" xfId="3125"/>
    <cellStyle name="Hed Top" xfId="3126"/>
    <cellStyle name="Hyperlink 2" xfId="678"/>
    <cellStyle name="Hyperlink 2 10" xfId="3128"/>
    <cellStyle name="Hyperlink 2 11" xfId="3129"/>
    <cellStyle name="Hyperlink 2 12" xfId="3130"/>
    <cellStyle name="Hyperlink 2 13" xfId="3131"/>
    <cellStyle name="Hyperlink 2 14" xfId="3127"/>
    <cellStyle name="Hyperlink 2 2" xfId="679"/>
    <cellStyle name="Hyperlink 2 2 2" xfId="3133"/>
    <cellStyle name="Hyperlink 2 2 3" xfId="3132"/>
    <cellStyle name="Hyperlink 2 3" xfId="3134"/>
    <cellStyle name="Hyperlink 2 3 2" xfId="3135"/>
    <cellStyle name="Hyperlink 2 4" xfId="3136"/>
    <cellStyle name="Hyperlink 2 5" xfId="3137"/>
    <cellStyle name="Hyperlink 2 6" xfId="3138"/>
    <cellStyle name="Hyperlink 2 7" xfId="3139"/>
    <cellStyle name="Hyperlink 2 8" xfId="3140"/>
    <cellStyle name="Hyperlink 2 9" xfId="3141"/>
    <cellStyle name="Hyperlink 3" xfId="680"/>
    <cellStyle name="Hyperlink 3 10" xfId="3143"/>
    <cellStyle name="Hyperlink 3 11" xfId="3144"/>
    <cellStyle name="Hyperlink 3 12" xfId="3145"/>
    <cellStyle name="Hyperlink 3 13" xfId="3142"/>
    <cellStyle name="Hyperlink 3 2" xfId="3146"/>
    <cellStyle name="Hyperlink 3 3" xfId="3147"/>
    <cellStyle name="Hyperlink 3 4" xfId="3148"/>
    <cellStyle name="Hyperlink 3 5" xfId="3149"/>
    <cellStyle name="Hyperlink 3 6" xfId="3150"/>
    <cellStyle name="Hyperlink 3 7" xfId="3151"/>
    <cellStyle name="Hyperlink 3 8" xfId="3152"/>
    <cellStyle name="Hyperlink 3 9" xfId="3153"/>
    <cellStyle name="Hyperlink 4" xfId="3154"/>
    <cellStyle name="Hyperlink 4 2" xfId="6775"/>
    <cellStyle name="Hyperlink 5" xfId="3155"/>
    <cellStyle name="InLink_Acquis_CapitalCost " xfId="3156"/>
    <cellStyle name="Input (1dp#)_ Pies " xfId="3157"/>
    <cellStyle name="Input [yellow]" xfId="681"/>
    <cellStyle name="Input [yellow] 2" xfId="3158"/>
    <cellStyle name="Input [yellow] 3" xfId="6153"/>
    <cellStyle name="Input 10" xfId="682"/>
    <cellStyle name="Input 11" xfId="683"/>
    <cellStyle name="Input 12" xfId="684"/>
    <cellStyle name="Input 13" xfId="685"/>
    <cellStyle name="Input 14" xfId="686"/>
    <cellStyle name="Input 15" xfId="687"/>
    <cellStyle name="Input 16" xfId="688"/>
    <cellStyle name="Input 16 2" xfId="6160"/>
    <cellStyle name="Input 17" xfId="689"/>
    <cellStyle name="Input 17 2" xfId="6221"/>
    <cellStyle name="Input 18" xfId="690"/>
    <cellStyle name="Input 18 2" xfId="6220"/>
    <cellStyle name="Input 19" xfId="691"/>
    <cellStyle name="Input 19 2" xfId="6219"/>
    <cellStyle name="Input 2" xfId="692"/>
    <cellStyle name="Input 2 10" xfId="3159"/>
    <cellStyle name="Input 2 11" xfId="6008"/>
    <cellStyle name="Input 2 2" xfId="693"/>
    <cellStyle name="Input 2 2 2" xfId="3161"/>
    <cellStyle name="Input 2 2 3" xfId="3160"/>
    <cellStyle name="Input 2 2 4" xfId="6007"/>
    <cellStyle name="Input 2 3" xfId="3162"/>
    <cellStyle name="Input 2 4" xfId="3163"/>
    <cellStyle name="Input 2 5" xfId="3164"/>
    <cellStyle name="Input 2 6" xfId="3165"/>
    <cellStyle name="Input 2 7" xfId="3166"/>
    <cellStyle name="Input 2 8" xfId="3167"/>
    <cellStyle name="Input 2 9" xfId="3168"/>
    <cellStyle name="Input 20" xfId="694"/>
    <cellStyle name="Input 20 2" xfId="6222"/>
    <cellStyle name="Input 21" xfId="695"/>
    <cellStyle name="Input 22" xfId="696"/>
    <cellStyle name="Input 23" xfId="697"/>
    <cellStyle name="Input 24" xfId="698"/>
    <cellStyle name="Input 25" xfId="699"/>
    <cellStyle name="Input 26" xfId="700"/>
    <cellStyle name="Input 3" xfId="701"/>
    <cellStyle name="Input 3 2" xfId="3169"/>
    <cellStyle name="Input 4" xfId="702"/>
    <cellStyle name="Input 5" xfId="703"/>
    <cellStyle name="Input 6" xfId="704"/>
    <cellStyle name="Input 7" xfId="705"/>
    <cellStyle name="Input 8" xfId="706"/>
    <cellStyle name="Input 9" xfId="707"/>
    <cellStyle name="InputBlueFont" xfId="3170"/>
    <cellStyle name="InputGen" xfId="3171"/>
    <cellStyle name="InputKeepColour" xfId="3172"/>
    <cellStyle name="InputKeepPale" xfId="3173"/>
    <cellStyle name="InputVariColour" xfId="3174"/>
    <cellStyle name="Integer" xfId="3175"/>
    <cellStyle name="Invisible" xfId="3176"/>
    <cellStyle name="Item" xfId="3177"/>
    <cellStyle name="Items_Obligatory" xfId="3178"/>
    <cellStyle name="ItemTypeClass" xfId="3179"/>
    <cellStyle name="ItemTypeClass 2" xfId="6006"/>
    <cellStyle name="KP_Normal" xfId="3180"/>
    <cellStyle name="Lien hypertexte visité_index" xfId="3181"/>
    <cellStyle name="Lien hypertexte_index" xfId="3182"/>
    <cellStyle name="ligne_detail" xfId="3183"/>
    <cellStyle name="Line" xfId="3184"/>
    <cellStyle name="Link Currency (0)" xfId="3185"/>
    <cellStyle name="Link Currency (2)" xfId="3186"/>
    <cellStyle name="Link Units (0)" xfId="3187"/>
    <cellStyle name="Link Units (1)" xfId="3188"/>
    <cellStyle name="Link Units (2)" xfId="3189"/>
    <cellStyle name="Linked Cell 10" xfId="708"/>
    <cellStyle name="Linked Cell 11" xfId="709"/>
    <cellStyle name="Linked Cell 12" xfId="710"/>
    <cellStyle name="Linked Cell 13" xfId="711"/>
    <cellStyle name="Linked Cell 14" xfId="712"/>
    <cellStyle name="Linked Cell 15" xfId="713"/>
    <cellStyle name="Linked Cell 16" xfId="714"/>
    <cellStyle name="Linked Cell 2" xfId="715"/>
    <cellStyle name="Linked Cell 2 10" xfId="3190"/>
    <cellStyle name="Linked Cell 2 2" xfId="716"/>
    <cellStyle name="Linked Cell 2 2 2" xfId="3191"/>
    <cellStyle name="Linked Cell 2 3" xfId="3192"/>
    <cellStyle name="Linked Cell 2 4" xfId="3193"/>
    <cellStyle name="Linked Cell 2 5" xfId="3194"/>
    <cellStyle name="Linked Cell 2 6" xfId="3195"/>
    <cellStyle name="Linked Cell 2 7" xfId="3196"/>
    <cellStyle name="Linked Cell 2 8" xfId="3197"/>
    <cellStyle name="Linked Cell 2 9" xfId="3198"/>
    <cellStyle name="Linked Cell 3" xfId="717"/>
    <cellStyle name="Linked Cell 4" xfId="718"/>
    <cellStyle name="Linked Cell 5" xfId="719"/>
    <cellStyle name="Linked Cell 6" xfId="720"/>
    <cellStyle name="Linked Cell 7" xfId="721"/>
    <cellStyle name="Linked Cell 8" xfId="722"/>
    <cellStyle name="Linked Cell 9" xfId="723"/>
    <cellStyle name="M" xfId="724"/>
    <cellStyle name="M.00" xfId="725"/>
    <cellStyle name="m/d/yy" xfId="3199"/>
    <cellStyle name="M_9. Rev2Cost_GDPIPI" xfId="726"/>
    <cellStyle name="M_lists" xfId="727"/>
    <cellStyle name="M_lists_4. Current Monthly Fixed Charge" xfId="728"/>
    <cellStyle name="M_Sheet4" xfId="729"/>
    <cellStyle name="m1" xfId="3200"/>
    <cellStyle name="Major item" xfId="3201"/>
    <cellStyle name="Margin" xfId="3202"/>
    <cellStyle name="Migliaia (0)_Sheet1" xfId="3203"/>
    <cellStyle name="Migliaia_piv_polio" xfId="3204"/>
    <cellStyle name="Millares [0]_Asset Mgmt " xfId="3205"/>
    <cellStyle name="Millares_2AV_M_M " xfId="3206"/>
    <cellStyle name="Milliers [0]_CANADA1" xfId="3207"/>
    <cellStyle name="Milliers 2" xfId="3208"/>
    <cellStyle name="Milliers_CANADA1" xfId="3209"/>
    <cellStyle name="mm/dd/yy" xfId="3210"/>
    <cellStyle name="mod1" xfId="3211"/>
    <cellStyle name="modelo1" xfId="3212"/>
    <cellStyle name="Moneda [0]_2AV_M_M " xfId="3213"/>
    <cellStyle name="Moneda_2AV_M_M " xfId="3214"/>
    <cellStyle name="Monétaire [0]_CANADA1" xfId="3215"/>
    <cellStyle name="Monétaire 2" xfId="3216"/>
    <cellStyle name="Monétaire_CANADA1" xfId="3217"/>
    <cellStyle name="Monetario" xfId="3218"/>
    <cellStyle name="MonthYears" xfId="3219"/>
    <cellStyle name="Multiple" xfId="3220"/>
    <cellStyle name="Multiple (no x)" xfId="3221"/>
    <cellStyle name="Multiple (x)" xfId="3222"/>
    <cellStyle name="Multiple [0]" xfId="3223"/>
    <cellStyle name="Multiple [1]" xfId="3224"/>
    <cellStyle name="Multiple [2]" xfId="3225"/>
    <cellStyle name="Multiple [3]" xfId="3226"/>
    <cellStyle name="Multiple_1030171N" xfId="3227"/>
    <cellStyle name="neg0.0_CapitalCost " xfId="3228"/>
    <cellStyle name="Neutral 10" xfId="730"/>
    <cellStyle name="Neutral 11" xfId="731"/>
    <cellStyle name="Neutral 12" xfId="732"/>
    <cellStyle name="Neutral 13" xfId="733"/>
    <cellStyle name="Neutral 14" xfId="734"/>
    <cellStyle name="Neutral 15" xfId="735"/>
    <cellStyle name="Neutral 16" xfId="736"/>
    <cellStyle name="Neutral 2" xfId="737"/>
    <cellStyle name="Neutral 2 10" xfId="3229"/>
    <cellStyle name="Neutral 2 2" xfId="738"/>
    <cellStyle name="Neutral 2 2 2" xfId="3230"/>
    <cellStyle name="Neutral 2 3" xfId="3231"/>
    <cellStyle name="Neutral 2 4" xfId="3232"/>
    <cellStyle name="Neutral 2 5" xfId="3233"/>
    <cellStyle name="Neutral 2 6" xfId="3234"/>
    <cellStyle name="Neutral 2 7" xfId="3235"/>
    <cellStyle name="Neutral 2 8" xfId="3236"/>
    <cellStyle name="Neutral 2 9" xfId="3237"/>
    <cellStyle name="Neutral 3" xfId="739"/>
    <cellStyle name="Neutral 4" xfId="740"/>
    <cellStyle name="Neutral 5" xfId="741"/>
    <cellStyle name="Neutral 6" xfId="742"/>
    <cellStyle name="Neutral 7" xfId="743"/>
    <cellStyle name="Neutral 8" xfId="744"/>
    <cellStyle name="Neutral 9" xfId="745"/>
    <cellStyle name="New" xfId="3238"/>
    <cellStyle name="Nil" xfId="3239"/>
    <cellStyle name="no dec" xfId="3240"/>
    <cellStyle name="No-definido" xfId="3241"/>
    <cellStyle name="Non_Input_Cell_Figures" xfId="3242"/>
    <cellStyle name="NonPrintingArea" xfId="3243"/>
    <cellStyle name="NORAYAS" xfId="3244"/>
    <cellStyle name="Normal" xfId="0" builtinId="0"/>
    <cellStyle name="Normal--" xfId="3245"/>
    <cellStyle name="Normal - Style1" xfId="746"/>
    <cellStyle name="Normal - Style1 2" xfId="3246"/>
    <cellStyle name="Normal [0]" xfId="3247"/>
    <cellStyle name="Normal [1]" xfId="3248"/>
    <cellStyle name="Normal [3]" xfId="3249"/>
    <cellStyle name="Normal [3] 2" xfId="3250"/>
    <cellStyle name="Normal [3] 3" xfId="3251"/>
    <cellStyle name="Normal 10" xfId="747"/>
    <cellStyle name="Normal 10 2" xfId="3253"/>
    <cellStyle name="Normal 10 3" xfId="3254"/>
    <cellStyle name="Normal 10 4" xfId="3255"/>
    <cellStyle name="Normal 10 5" xfId="3256"/>
    <cellStyle name="Normal 10 6" xfId="3257"/>
    <cellStyle name="Normal 10 7" xfId="3258"/>
    <cellStyle name="Normal 10 8" xfId="3252"/>
    <cellStyle name="Normal 100" xfId="9065"/>
    <cellStyle name="Normal 101" xfId="9062"/>
    <cellStyle name="Normal 102" xfId="11942"/>
    <cellStyle name="Normal 103" xfId="6044"/>
    <cellStyle name="Normal 104" xfId="6067"/>
    <cellStyle name="Normal 105" xfId="11944"/>
    <cellStyle name="Normal 106" xfId="11945"/>
    <cellStyle name="Normal 107" xfId="11946"/>
    <cellStyle name="Normal 11" xfId="748"/>
    <cellStyle name="Normal 11 2" xfId="3260"/>
    <cellStyle name="Normal 11 2 2" xfId="3261"/>
    <cellStyle name="Normal 11 3" xfId="3262"/>
    <cellStyle name="Normal 11 4" xfId="3263"/>
    <cellStyle name="Normal 11 5" xfId="3264"/>
    <cellStyle name="Normal 11 6" xfId="3265"/>
    <cellStyle name="Normal 11 7" xfId="3266"/>
    <cellStyle name="Normal 11 8" xfId="3259"/>
    <cellStyle name="Normal 12" xfId="749"/>
    <cellStyle name="Normal 12 2" xfId="3268"/>
    <cellStyle name="Normal 12 3" xfId="3269"/>
    <cellStyle name="Normal 12 4" xfId="3270"/>
    <cellStyle name="Normal 12 5" xfId="3271"/>
    <cellStyle name="Normal 12 6" xfId="3267"/>
    <cellStyle name="Normal 13" xfId="750"/>
    <cellStyle name="Normal 13 2" xfId="3273"/>
    <cellStyle name="Normal 13 3" xfId="3274"/>
    <cellStyle name="Normal 13 4" xfId="3272"/>
    <cellStyle name="Normal 14" xfId="751"/>
    <cellStyle name="Normal 14 2" xfId="3276"/>
    <cellStyle name="Normal 14 3" xfId="3277"/>
    <cellStyle name="Normal 14 4" xfId="3275"/>
    <cellStyle name="Normal 15" xfId="752"/>
    <cellStyle name="Normal 15 2" xfId="3279"/>
    <cellStyle name="Normal 15 2 2" xfId="3280"/>
    <cellStyle name="Normal 15 3" xfId="3281"/>
    <cellStyle name="Normal 15 4" xfId="3282"/>
    <cellStyle name="Normal 15 5" xfId="3278"/>
    <cellStyle name="Normal 16" xfId="753"/>
    <cellStyle name="Normal 16 10" xfId="754"/>
    <cellStyle name="Normal 16 10 2" xfId="7215"/>
    <cellStyle name="Normal 16 10 2 2" xfId="8692"/>
    <cellStyle name="Normal 16 10 2 2 2" xfId="11589"/>
    <cellStyle name="Normal 16 10 2 3" xfId="10149"/>
    <cellStyle name="Normal 16 10 3" xfId="8034"/>
    <cellStyle name="Normal 16 10 3 2" xfId="10931"/>
    <cellStyle name="Normal 16 10 4" xfId="9491"/>
    <cellStyle name="Normal 16 10 5" xfId="6539"/>
    <cellStyle name="Normal 16 11" xfId="755"/>
    <cellStyle name="Normal 16 11 2" xfId="6982"/>
    <cellStyle name="Normal 16 11 2 2" xfId="8459"/>
    <cellStyle name="Normal 16 11 2 2 2" xfId="11356"/>
    <cellStyle name="Normal 16 11 2 3" xfId="9916"/>
    <cellStyle name="Normal 16 11 3" xfId="7800"/>
    <cellStyle name="Normal 16 11 3 2" xfId="10698"/>
    <cellStyle name="Normal 16 11 4" xfId="9258"/>
    <cellStyle name="Normal 16 11 5" xfId="6297"/>
    <cellStyle name="Normal 16 12" xfId="3283"/>
    <cellStyle name="Normal 16 12 2" xfId="8922"/>
    <cellStyle name="Normal 16 12 2 2" xfId="11819"/>
    <cellStyle name="Normal 16 12 3" xfId="10379"/>
    <cellStyle name="Normal 16 12 4" xfId="7446"/>
    <cellStyle name="Normal 16 13" xfId="7506"/>
    <cellStyle name="Normal 16 13 2" xfId="8979"/>
    <cellStyle name="Normal 16 13 2 2" xfId="11876"/>
    <cellStyle name="Normal 16 13 3" xfId="10436"/>
    <cellStyle name="Normal 16 14" xfId="6781"/>
    <cellStyle name="Normal 16 14 2" xfId="8264"/>
    <cellStyle name="Normal 16 14 2 2" xfId="11161"/>
    <cellStyle name="Normal 16 14 3" xfId="9721"/>
    <cellStyle name="Normal 16 15" xfId="7603"/>
    <cellStyle name="Normal 16 15 2" xfId="10504"/>
    <cellStyle name="Normal 16 16" xfId="9063"/>
    <cellStyle name="Normal 16 17" xfId="11943"/>
    <cellStyle name="Normal 16 18" xfId="6059"/>
    <cellStyle name="Normal 16 2" xfId="756"/>
    <cellStyle name="Normal 16 2 10" xfId="3284"/>
    <cellStyle name="Normal 16 2 10 2" xfId="8925"/>
    <cellStyle name="Normal 16 2 10 2 2" xfId="11822"/>
    <cellStyle name="Normal 16 2 10 3" xfId="10382"/>
    <cellStyle name="Normal 16 2 10 4" xfId="7451"/>
    <cellStyle name="Normal 16 2 11" xfId="7510"/>
    <cellStyle name="Normal 16 2 11 2" xfId="8982"/>
    <cellStyle name="Normal 16 2 11 2 2" xfId="11879"/>
    <cellStyle name="Normal 16 2 11 3" xfId="10439"/>
    <cellStyle name="Normal 16 2 12" xfId="6788"/>
    <cellStyle name="Normal 16 2 12 2" xfId="8269"/>
    <cellStyle name="Normal 16 2 12 2 2" xfId="11166"/>
    <cellStyle name="Normal 16 2 12 3" xfId="9726"/>
    <cellStyle name="Normal 16 2 13" xfId="7609"/>
    <cellStyle name="Normal 16 2 13 2" xfId="10509"/>
    <cellStyle name="Normal 16 2 14" xfId="9069"/>
    <cellStyle name="Normal 16 2 15" xfId="6072"/>
    <cellStyle name="Normal 16 2 2" xfId="757"/>
    <cellStyle name="Normal 16 2 2 10" xfId="7616"/>
    <cellStyle name="Normal 16 2 2 10 2" xfId="10516"/>
    <cellStyle name="Normal 16 2 2 11" xfId="9076"/>
    <cellStyle name="Normal 16 2 2 12" xfId="6081"/>
    <cellStyle name="Normal 16 2 2 2" xfId="758"/>
    <cellStyle name="Normal 16 2 2 2 10" xfId="9106"/>
    <cellStyle name="Normal 16 2 2 2 11" xfId="6118"/>
    <cellStyle name="Normal 16 2 2 2 2" xfId="759"/>
    <cellStyle name="Normal 16 2 2 2 2 2" xfId="760"/>
    <cellStyle name="Normal 16 2 2 2 2 2 2" xfId="761"/>
    <cellStyle name="Normal 16 2 2 2 2 2 2 2" xfId="7431"/>
    <cellStyle name="Normal 16 2 2 2 2 2 2 2 2" xfId="8908"/>
    <cellStyle name="Normal 16 2 2 2 2 2 2 2 2 2" xfId="11805"/>
    <cellStyle name="Normal 16 2 2 2 2 2 2 2 3" xfId="10365"/>
    <cellStyle name="Normal 16 2 2 2 2 2 2 3" xfId="8250"/>
    <cellStyle name="Normal 16 2 2 2 2 2 2 3 2" xfId="11147"/>
    <cellStyle name="Normal 16 2 2 2 2 2 2 4" xfId="9707"/>
    <cellStyle name="Normal 16 2 2 2 2 2 2 5" xfId="6755"/>
    <cellStyle name="Normal 16 2 2 2 2 2 3" xfId="7198"/>
    <cellStyle name="Normal 16 2 2 2 2 2 3 2" xfId="8675"/>
    <cellStyle name="Normal 16 2 2 2 2 2 3 2 2" xfId="11572"/>
    <cellStyle name="Normal 16 2 2 2 2 2 3 3" xfId="10132"/>
    <cellStyle name="Normal 16 2 2 2 2 2 4" xfId="8017"/>
    <cellStyle name="Normal 16 2 2 2 2 2 4 2" xfId="10914"/>
    <cellStyle name="Normal 16 2 2 2 2 2 5" xfId="9474"/>
    <cellStyle name="Normal 16 2 2 2 2 2 6" xfId="6522"/>
    <cellStyle name="Normal 16 2 2 2 2 3" xfId="762"/>
    <cellStyle name="Normal 16 2 2 2 2 3 2" xfId="7315"/>
    <cellStyle name="Normal 16 2 2 2 2 3 2 2" xfId="8792"/>
    <cellStyle name="Normal 16 2 2 2 2 3 2 2 2" xfId="11689"/>
    <cellStyle name="Normal 16 2 2 2 2 3 2 3" xfId="10249"/>
    <cellStyle name="Normal 16 2 2 2 2 3 3" xfId="8134"/>
    <cellStyle name="Normal 16 2 2 2 2 3 3 2" xfId="11031"/>
    <cellStyle name="Normal 16 2 2 2 2 3 4" xfId="9591"/>
    <cellStyle name="Normal 16 2 2 2 2 3 5" xfId="6639"/>
    <cellStyle name="Normal 16 2 2 2 2 4" xfId="763"/>
    <cellStyle name="Normal 16 2 2 2 2 4 2" xfId="7082"/>
    <cellStyle name="Normal 16 2 2 2 2 4 2 2" xfId="8559"/>
    <cellStyle name="Normal 16 2 2 2 2 4 2 2 2" xfId="11456"/>
    <cellStyle name="Normal 16 2 2 2 2 4 2 3" xfId="10016"/>
    <cellStyle name="Normal 16 2 2 2 2 4 3" xfId="7900"/>
    <cellStyle name="Normal 16 2 2 2 2 4 3 2" xfId="10798"/>
    <cellStyle name="Normal 16 2 2 2 2 4 4" xfId="9358"/>
    <cellStyle name="Normal 16 2 2 2 2 4 5" xfId="6403"/>
    <cellStyle name="Normal 16 2 2 2 2 5" xfId="6910"/>
    <cellStyle name="Normal 16 2 2 2 2 5 2" xfId="8388"/>
    <cellStyle name="Normal 16 2 2 2 2 5 2 2" xfId="11285"/>
    <cellStyle name="Normal 16 2 2 2 2 5 3" xfId="9845"/>
    <cellStyle name="Normal 16 2 2 2 2 6" xfId="7727"/>
    <cellStyle name="Normal 16 2 2 2 2 6 2" xfId="10627"/>
    <cellStyle name="Normal 16 2 2 2 2 7" xfId="9187"/>
    <cellStyle name="Normal 16 2 2 2 2 8" xfId="6206"/>
    <cellStyle name="Normal 16 2 2 2 3" xfId="764"/>
    <cellStyle name="Normal 16 2 2 2 3 2" xfId="765"/>
    <cellStyle name="Normal 16 2 2 2 3 2 2" xfId="7375"/>
    <cellStyle name="Normal 16 2 2 2 3 2 2 2" xfId="8852"/>
    <cellStyle name="Normal 16 2 2 2 3 2 2 2 2" xfId="11749"/>
    <cellStyle name="Normal 16 2 2 2 3 2 2 3" xfId="10309"/>
    <cellStyle name="Normal 16 2 2 2 3 2 3" xfId="8194"/>
    <cellStyle name="Normal 16 2 2 2 3 2 3 2" xfId="11091"/>
    <cellStyle name="Normal 16 2 2 2 3 2 4" xfId="9651"/>
    <cellStyle name="Normal 16 2 2 2 3 2 5" xfId="6699"/>
    <cellStyle name="Normal 16 2 2 2 3 3" xfId="766"/>
    <cellStyle name="Normal 16 2 2 2 3 3 2" xfId="7142"/>
    <cellStyle name="Normal 16 2 2 2 3 3 2 2" xfId="8619"/>
    <cellStyle name="Normal 16 2 2 2 3 3 2 2 2" xfId="11516"/>
    <cellStyle name="Normal 16 2 2 2 3 3 2 3" xfId="10076"/>
    <cellStyle name="Normal 16 2 2 2 3 3 3" xfId="7961"/>
    <cellStyle name="Normal 16 2 2 2 3 3 3 2" xfId="10858"/>
    <cellStyle name="Normal 16 2 2 2 3 3 4" xfId="9418"/>
    <cellStyle name="Normal 16 2 2 2 3 3 5" xfId="6466"/>
    <cellStyle name="Normal 16 2 2 2 3 4" xfId="6967"/>
    <cellStyle name="Normal 16 2 2 2 3 4 2" xfId="8444"/>
    <cellStyle name="Normal 16 2 2 2 3 4 2 2" xfId="11341"/>
    <cellStyle name="Normal 16 2 2 2 3 4 3" xfId="9901"/>
    <cellStyle name="Normal 16 2 2 2 3 5" xfId="7784"/>
    <cellStyle name="Normal 16 2 2 2 3 5 2" xfId="10683"/>
    <cellStyle name="Normal 16 2 2 2 3 6" xfId="9243"/>
    <cellStyle name="Normal 16 2 2 2 3 7" xfId="6268"/>
    <cellStyle name="Normal 16 2 2 2 4" xfId="767"/>
    <cellStyle name="Normal 16 2 2 2 4 2" xfId="7259"/>
    <cellStyle name="Normal 16 2 2 2 4 2 2" xfId="8736"/>
    <cellStyle name="Normal 16 2 2 2 4 2 2 2" xfId="11633"/>
    <cellStyle name="Normal 16 2 2 2 4 2 3" xfId="10193"/>
    <cellStyle name="Normal 16 2 2 2 4 3" xfId="8078"/>
    <cellStyle name="Normal 16 2 2 2 4 3 2" xfId="10975"/>
    <cellStyle name="Normal 16 2 2 2 4 4" xfId="9535"/>
    <cellStyle name="Normal 16 2 2 2 4 5" xfId="6583"/>
    <cellStyle name="Normal 16 2 2 2 5" xfId="768"/>
    <cellStyle name="Normal 16 2 2 2 5 2" xfId="7026"/>
    <cellStyle name="Normal 16 2 2 2 5 2 2" xfId="8503"/>
    <cellStyle name="Normal 16 2 2 2 5 2 2 2" xfId="11400"/>
    <cellStyle name="Normal 16 2 2 2 5 2 3" xfId="9960"/>
    <cellStyle name="Normal 16 2 2 2 5 3" xfId="7844"/>
    <cellStyle name="Normal 16 2 2 2 5 3 2" xfId="10742"/>
    <cellStyle name="Normal 16 2 2 2 5 4" xfId="9302"/>
    <cellStyle name="Normal 16 2 2 2 5 5" xfId="6347"/>
    <cellStyle name="Normal 16 2 2 2 6" xfId="7492"/>
    <cellStyle name="Normal 16 2 2 2 6 2" xfId="8966"/>
    <cellStyle name="Normal 16 2 2 2 6 2 2" xfId="11863"/>
    <cellStyle name="Normal 16 2 2 2 6 3" xfId="10423"/>
    <cellStyle name="Normal 16 2 2 2 7" xfId="7551"/>
    <cellStyle name="Normal 16 2 2 2 7 2" xfId="9023"/>
    <cellStyle name="Normal 16 2 2 2 7 2 2" xfId="11920"/>
    <cellStyle name="Normal 16 2 2 2 7 3" xfId="10480"/>
    <cellStyle name="Normal 16 2 2 2 8" xfId="6827"/>
    <cellStyle name="Normal 16 2 2 2 8 2" xfId="8307"/>
    <cellStyle name="Normal 16 2 2 2 8 2 2" xfId="11204"/>
    <cellStyle name="Normal 16 2 2 2 8 3" xfId="9764"/>
    <cellStyle name="Normal 16 2 2 2 9" xfId="7646"/>
    <cellStyle name="Normal 16 2 2 2 9 2" xfId="10546"/>
    <cellStyle name="Normal 16 2 2 3" xfId="769"/>
    <cellStyle name="Normal 16 2 2 3 2" xfId="770"/>
    <cellStyle name="Normal 16 2 2 3 2 2" xfId="771"/>
    <cellStyle name="Normal 16 2 2 3 2 2 2" xfId="7401"/>
    <cellStyle name="Normal 16 2 2 3 2 2 2 2" xfId="8878"/>
    <cellStyle name="Normal 16 2 2 3 2 2 2 2 2" xfId="11775"/>
    <cellStyle name="Normal 16 2 2 3 2 2 2 3" xfId="10335"/>
    <cellStyle name="Normal 16 2 2 3 2 2 3" xfId="8220"/>
    <cellStyle name="Normal 16 2 2 3 2 2 3 2" xfId="11117"/>
    <cellStyle name="Normal 16 2 2 3 2 2 4" xfId="9677"/>
    <cellStyle name="Normal 16 2 2 3 2 2 5" xfId="6725"/>
    <cellStyle name="Normal 16 2 2 3 2 3" xfId="7168"/>
    <cellStyle name="Normal 16 2 2 3 2 3 2" xfId="8645"/>
    <cellStyle name="Normal 16 2 2 3 2 3 2 2" xfId="11542"/>
    <cellStyle name="Normal 16 2 2 3 2 3 3" xfId="10102"/>
    <cellStyle name="Normal 16 2 2 3 2 4" xfId="7987"/>
    <cellStyle name="Normal 16 2 2 3 2 4 2" xfId="10884"/>
    <cellStyle name="Normal 16 2 2 3 2 5" xfId="9444"/>
    <cellStyle name="Normal 16 2 2 3 2 6" xfId="6492"/>
    <cellStyle name="Normal 16 2 2 3 3" xfId="772"/>
    <cellStyle name="Normal 16 2 2 3 3 2" xfId="7285"/>
    <cellStyle name="Normal 16 2 2 3 3 2 2" xfId="8762"/>
    <cellStyle name="Normal 16 2 2 3 3 2 2 2" xfId="11659"/>
    <cellStyle name="Normal 16 2 2 3 3 2 3" xfId="10219"/>
    <cellStyle name="Normal 16 2 2 3 3 3" xfId="8104"/>
    <cellStyle name="Normal 16 2 2 3 3 3 2" xfId="11001"/>
    <cellStyle name="Normal 16 2 2 3 3 4" xfId="9561"/>
    <cellStyle name="Normal 16 2 2 3 3 5" xfId="6609"/>
    <cellStyle name="Normal 16 2 2 3 4" xfId="773"/>
    <cellStyle name="Normal 16 2 2 3 4 2" xfId="7052"/>
    <cellStyle name="Normal 16 2 2 3 4 2 2" xfId="8529"/>
    <cellStyle name="Normal 16 2 2 3 4 2 2 2" xfId="11426"/>
    <cellStyle name="Normal 16 2 2 3 4 2 3" xfId="9986"/>
    <cellStyle name="Normal 16 2 2 3 4 3" xfId="7870"/>
    <cellStyle name="Normal 16 2 2 3 4 3 2" xfId="10768"/>
    <cellStyle name="Normal 16 2 2 3 4 4" xfId="9328"/>
    <cellStyle name="Normal 16 2 2 3 4 5" xfId="6373"/>
    <cellStyle name="Normal 16 2 2 3 5" xfId="6880"/>
    <cellStyle name="Normal 16 2 2 3 5 2" xfId="8358"/>
    <cellStyle name="Normal 16 2 2 3 5 2 2" xfId="11255"/>
    <cellStyle name="Normal 16 2 2 3 5 3" xfId="9815"/>
    <cellStyle name="Normal 16 2 2 3 6" xfId="7697"/>
    <cellStyle name="Normal 16 2 2 3 6 2" xfId="10597"/>
    <cellStyle name="Normal 16 2 2 3 7" xfId="9157"/>
    <cellStyle name="Normal 16 2 2 3 8" xfId="6175"/>
    <cellStyle name="Normal 16 2 2 4" xfId="774"/>
    <cellStyle name="Normal 16 2 2 4 2" xfId="775"/>
    <cellStyle name="Normal 16 2 2 4 2 2" xfId="7349"/>
    <cellStyle name="Normal 16 2 2 4 2 2 2" xfId="8826"/>
    <cellStyle name="Normal 16 2 2 4 2 2 2 2" xfId="11723"/>
    <cellStyle name="Normal 16 2 2 4 2 2 3" xfId="10283"/>
    <cellStyle name="Normal 16 2 2 4 2 3" xfId="8168"/>
    <cellStyle name="Normal 16 2 2 4 2 3 2" xfId="11065"/>
    <cellStyle name="Normal 16 2 2 4 2 4" xfId="9625"/>
    <cellStyle name="Normal 16 2 2 4 2 5" xfId="6673"/>
    <cellStyle name="Normal 16 2 2 4 3" xfId="776"/>
    <cellStyle name="Normal 16 2 2 4 3 2" xfId="7116"/>
    <cellStyle name="Normal 16 2 2 4 3 2 2" xfId="8593"/>
    <cellStyle name="Normal 16 2 2 4 3 2 2 2" xfId="11490"/>
    <cellStyle name="Normal 16 2 2 4 3 2 3" xfId="10050"/>
    <cellStyle name="Normal 16 2 2 4 3 3" xfId="7935"/>
    <cellStyle name="Normal 16 2 2 4 3 3 2" xfId="10832"/>
    <cellStyle name="Normal 16 2 2 4 3 4" xfId="9392"/>
    <cellStyle name="Normal 16 2 2 4 3 5" xfId="6440"/>
    <cellStyle name="Normal 16 2 2 4 4" xfId="6937"/>
    <cellStyle name="Normal 16 2 2 4 4 2" xfId="8414"/>
    <cellStyle name="Normal 16 2 2 4 4 2 2" xfId="11311"/>
    <cellStyle name="Normal 16 2 2 4 4 3" xfId="9871"/>
    <cellStyle name="Normal 16 2 2 4 5" xfId="7754"/>
    <cellStyle name="Normal 16 2 2 4 5 2" xfId="10653"/>
    <cellStyle name="Normal 16 2 2 4 6" xfId="9213"/>
    <cellStyle name="Normal 16 2 2 4 7" xfId="6238"/>
    <cellStyle name="Normal 16 2 2 5" xfId="777"/>
    <cellStyle name="Normal 16 2 2 5 2" xfId="7233"/>
    <cellStyle name="Normal 16 2 2 5 2 2" xfId="8710"/>
    <cellStyle name="Normal 16 2 2 5 2 2 2" xfId="11607"/>
    <cellStyle name="Normal 16 2 2 5 2 3" xfId="10167"/>
    <cellStyle name="Normal 16 2 2 5 3" xfId="8052"/>
    <cellStyle name="Normal 16 2 2 5 3 2" xfId="10949"/>
    <cellStyle name="Normal 16 2 2 5 4" xfId="9509"/>
    <cellStyle name="Normal 16 2 2 5 5" xfId="6557"/>
    <cellStyle name="Normal 16 2 2 6" xfId="778"/>
    <cellStyle name="Normal 16 2 2 6 2" xfId="7000"/>
    <cellStyle name="Normal 16 2 2 6 2 2" xfId="8477"/>
    <cellStyle name="Normal 16 2 2 6 2 2 2" xfId="11374"/>
    <cellStyle name="Normal 16 2 2 6 2 3" xfId="9934"/>
    <cellStyle name="Normal 16 2 2 6 3" xfId="7818"/>
    <cellStyle name="Normal 16 2 2 6 3 2" xfId="10716"/>
    <cellStyle name="Normal 16 2 2 6 4" xfId="9276"/>
    <cellStyle name="Normal 16 2 2 6 5" xfId="6321"/>
    <cellStyle name="Normal 16 2 2 7" xfId="7466"/>
    <cellStyle name="Normal 16 2 2 7 2" xfId="8940"/>
    <cellStyle name="Normal 16 2 2 7 2 2" xfId="11837"/>
    <cellStyle name="Normal 16 2 2 7 3" xfId="10397"/>
    <cellStyle name="Normal 16 2 2 8" xfId="7525"/>
    <cellStyle name="Normal 16 2 2 8 2" xfId="8997"/>
    <cellStyle name="Normal 16 2 2 8 2 2" xfId="11894"/>
    <cellStyle name="Normal 16 2 2 8 3" xfId="10454"/>
    <cellStyle name="Normal 16 2 2 9" xfId="6796"/>
    <cellStyle name="Normal 16 2 2 9 2" xfId="8277"/>
    <cellStyle name="Normal 16 2 2 9 2 2" xfId="11174"/>
    <cellStyle name="Normal 16 2 2 9 3" xfId="9734"/>
    <cellStyle name="Normal 16 2 3" xfId="779"/>
    <cellStyle name="Normal 16 2 3 10" xfId="7624"/>
    <cellStyle name="Normal 16 2 3 10 2" xfId="10524"/>
    <cellStyle name="Normal 16 2 3 11" xfId="9084"/>
    <cellStyle name="Normal 16 2 3 12" xfId="6089"/>
    <cellStyle name="Normal 16 2 3 2" xfId="780"/>
    <cellStyle name="Normal 16 2 3 2 10" xfId="9114"/>
    <cellStyle name="Normal 16 2 3 2 11" xfId="6126"/>
    <cellStyle name="Normal 16 2 3 2 2" xfId="781"/>
    <cellStyle name="Normal 16 2 3 2 2 2" xfId="782"/>
    <cellStyle name="Normal 16 2 3 2 2 2 2" xfId="783"/>
    <cellStyle name="Normal 16 2 3 2 2 2 2 2" xfId="7439"/>
    <cellStyle name="Normal 16 2 3 2 2 2 2 2 2" xfId="8916"/>
    <cellStyle name="Normal 16 2 3 2 2 2 2 2 2 2" xfId="11813"/>
    <cellStyle name="Normal 16 2 3 2 2 2 2 2 3" xfId="10373"/>
    <cellStyle name="Normal 16 2 3 2 2 2 2 3" xfId="8258"/>
    <cellStyle name="Normal 16 2 3 2 2 2 2 3 2" xfId="11155"/>
    <cellStyle name="Normal 16 2 3 2 2 2 2 4" xfId="9715"/>
    <cellStyle name="Normal 16 2 3 2 2 2 2 5" xfId="6763"/>
    <cellStyle name="Normal 16 2 3 2 2 2 3" xfId="7206"/>
    <cellStyle name="Normal 16 2 3 2 2 2 3 2" xfId="8683"/>
    <cellStyle name="Normal 16 2 3 2 2 2 3 2 2" xfId="11580"/>
    <cellStyle name="Normal 16 2 3 2 2 2 3 3" xfId="10140"/>
    <cellStyle name="Normal 16 2 3 2 2 2 4" xfId="8025"/>
    <cellStyle name="Normal 16 2 3 2 2 2 4 2" xfId="10922"/>
    <cellStyle name="Normal 16 2 3 2 2 2 5" xfId="9482"/>
    <cellStyle name="Normal 16 2 3 2 2 2 6" xfId="6530"/>
    <cellStyle name="Normal 16 2 3 2 2 3" xfId="784"/>
    <cellStyle name="Normal 16 2 3 2 2 3 2" xfId="7323"/>
    <cellStyle name="Normal 16 2 3 2 2 3 2 2" xfId="8800"/>
    <cellStyle name="Normal 16 2 3 2 2 3 2 2 2" xfId="11697"/>
    <cellStyle name="Normal 16 2 3 2 2 3 2 3" xfId="10257"/>
    <cellStyle name="Normal 16 2 3 2 2 3 3" xfId="8142"/>
    <cellStyle name="Normal 16 2 3 2 2 3 3 2" xfId="11039"/>
    <cellStyle name="Normal 16 2 3 2 2 3 4" xfId="9599"/>
    <cellStyle name="Normal 16 2 3 2 2 3 5" xfId="6647"/>
    <cellStyle name="Normal 16 2 3 2 2 4" xfId="785"/>
    <cellStyle name="Normal 16 2 3 2 2 4 2" xfId="7090"/>
    <cellStyle name="Normal 16 2 3 2 2 4 2 2" xfId="8567"/>
    <cellStyle name="Normal 16 2 3 2 2 4 2 2 2" xfId="11464"/>
    <cellStyle name="Normal 16 2 3 2 2 4 2 3" xfId="10024"/>
    <cellStyle name="Normal 16 2 3 2 2 4 3" xfId="7908"/>
    <cellStyle name="Normal 16 2 3 2 2 4 3 2" xfId="10806"/>
    <cellStyle name="Normal 16 2 3 2 2 4 4" xfId="9366"/>
    <cellStyle name="Normal 16 2 3 2 2 4 5" xfId="6411"/>
    <cellStyle name="Normal 16 2 3 2 2 5" xfId="6918"/>
    <cellStyle name="Normal 16 2 3 2 2 5 2" xfId="8396"/>
    <cellStyle name="Normal 16 2 3 2 2 5 2 2" xfId="11293"/>
    <cellStyle name="Normal 16 2 3 2 2 5 3" xfId="9853"/>
    <cellStyle name="Normal 16 2 3 2 2 6" xfId="7735"/>
    <cellStyle name="Normal 16 2 3 2 2 6 2" xfId="10635"/>
    <cellStyle name="Normal 16 2 3 2 2 7" xfId="9195"/>
    <cellStyle name="Normal 16 2 3 2 2 8" xfId="6214"/>
    <cellStyle name="Normal 16 2 3 2 3" xfId="786"/>
    <cellStyle name="Normal 16 2 3 2 3 2" xfId="787"/>
    <cellStyle name="Normal 16 2 3 2 3 2 2" xfId="7383"/>
    <cellStyle name="Normal 16 2 3 2 3 2 2 2" xfId="8860"/>
    <cellStyle name="Normal 16 2 3 2 3 2 2 2 2" xfId="11757"/>
    <cellStyle name="Normal 16 2 3 2 3 2 2 3" xfId="10317"/>
    <cellStyle name="Normal 16 2 3 2 3 2 3" xfId="8202"/>
    <cellStyle name="Normal 16 2 3 2 3 2 3 2" xfId="11099"/>
    <cellStyle name="Normal 16 2 3 2 3 2 4" xfId="9659"/>
    <cellStyle name="Normal 16 2 3 2 3 2 5" xfId="6707"/>
    <cellStyle name="Normal 16 2 3 2 3 3" xfId="788"/>
    <cellStyle name="Normal 16 2 3 2 3 3 2" xfId="7150"/>
    <cellStyle name="Normal 16 2 3 2 3 3 2 2" xfId="8627"/>
    <cellStyle name="Normal 16 2 3 2 3 3 2 2 2" xfId="11524"/>
    <cellStyle name="Normal 16 2 3 2 3 3 2 3" xfId="10084"/>
    <cellStyle name="Normal 16 2 3 2 3 3 3" xfId="7969"/>
    <cellStyle name="Normal 16 2 3 2 3 3 3 2" xfId="10866"/>
    <cellStyle name="Normal 16 2 3 2 3 3 4" xfId="9426"/>
    <cellStyle name="Normal 16 2 3 2 3 3 5" xfId="6474"/>
    <cellStyle name="Normal 16 2 3 2 3 4" xfId="6975"/>
    <cellStyle name="Normal 16 2 3 2 3 4 2" xfId="8452"/>
    <cellStyle name="Normal 16 2 3 2 3 4 2 2" xfId="11349"/>
    <cellStyle name="Normal 16 2 3 2 3 4 3" xfId="9909"/>
    <cellStyle name="Normal 16 2 3 2 3 5" xfId="7792"/>
    <cellStyle name="Normal 16 2 3 2 3 5 2" xfId="10691"/>
    <cellStyle name="Normal 16 2 3 2 3 6" xfId="9251"/>
    <cellStyle name="Normal 16 2 3 2 3 7" xfId="6276"/>
    <cellStyle name="Normal 16 2 3 2 4" xfId="789"/>
    <cellStyle name="Normal 16 2 3 2 4 2" xfId="7267"/>
    <cellStyle name="Normal 16 2 3 2 4 2 2" xfId="8744"/>
    <cellStyle name="Normal 16 2 3 2 4 2 2 2" xfId="11641"/>
    <cellStyle name="Normal 16 2 3 2 4 2 3" xfId="10201"/>
    <cellStyle name="Normal 16 2 3 2 4 3" xfId="8086"/>
    <cellStyle name="Normal 16 2 3 2 4 3 2" xfId="10983"/>
    <cellStyle name="Normal 16 2 3 2 4 4" xfId="9543"/>
    <cellStyle name="Normal 16 2 3 2 4 5" xfId="6591"/>
    <cellStyle name="Normal 16 2 3 2 5" xfId="790"/>
    <cellStyle name="Normal 16 2 3 2 5 2" xfId="7034"/>
    <cellStyle name="Normal 16 2 3 2 5 2 2" xfId="8511"/>
    <cellStyle name="Normal 16 2 3 2 5 2 2 2" xfId="11408"/>
    <cellStyle name="Normal 16 2 3 2 5 2 3" xfId="9968"/>
    <cellStyle name="Normal 16 2 3 2 5 3" xfId="7852"/>
    <cellStyle name="Normal 16 2 3 2 5 3 2" xfId="10750"/>
    <cellStyle name="Normal 16 2 3 2 5 4" xfId="9310"/>
    <cellStyle name="Normal 16 2 3 2 5 5" xfId="6355"/>
    <cellStyle name="Normal 16 2 3 2 6" xfId="7500"/>
    <cellStyle name="Normal 16 2 3 2 6 2" xfId="8974"/>
    <cellStyle name="Normal 16 2 3 2 6 2 2" xfId="11871"/>
    <cellStyle name="Normal 16 2 3 2 6 3" xfId="10431"/>
    <cellStyle name="Normal 16 2 3 2 7" xfId="7559"/>
    <cellStyle name="Normal 16 2 3 2 7 2" xfId="9031"/>
    <cellStyle name="Normal 16 2 3 2 7 2 2" xfId="11928"/>
    <cellStyle name="Normal 16 2 3 2 7 3" xfId="10488"/>
    <cellStyle name="Normal 16 2 3 2 8" xfId="6835"/>
    <cellStyle name="Normal 16 2 3 2 8 2" xfId="8315"/>
    <cellStyle name="Normal 16 2 3 2 8 2 2" xfId="11212"/>
    <cellStyle name="Normal 16 2 3 2 8 3" xfId="9772"/>
    <cellStyle name="Normal 16 2 3 2 9" xfId="7654"/>
    <cellStyle name="Normal 16 2 3 2 9 2" xfId="10554"/>
    <cellStyle name="Normal 16 2 3 3" xfId="791"/>
    <cellStyle name="Normal 16 2 3 3 2" xfId="792"/>
    <cellStyle name="Normal 16 2 3 3 2 2" xfId="793"/>
    <cellStyle name="Normal 16 2 3 3 2 2 2" xfId="7409"/>
    <cellStyle name="Normal 16 2 3 3 2 2 2 2" xfId="8886"/>
    <cellStyle name="Normal 16 2 3 3 2 2 2 2 2" xfId="11783"/>
    <cellStyle name="Normal 16 2 3 3 2 2 2 3" xfId="10343"/>
    <cellStyle name="Normal 16 2 3 3 2 2 3" xfId="8228"/>
    <cellStyle name="Normal 16 2 3 3 2 2 3 2" xfId="11125"/>
    <cellStyle name="Normal 16 2 3 3 2 2 4" xfId="9685"/>
    <cellStyle name="Normal 16 2 3 3 2 2 5" xfId="6733"/>
    <cellStyle name="Normal 16 2 3 3 2 3" xfId="7176"/>
    <cellStyle name="Normal 16 2 3 3 2 3 2" xfId="8653"/>
    <cellStyle name="Normal 16 2 3 3 2 3 2 2" xfId="11550"/>
    <cellStyle name="Normal 16 2 3 3 2 3 3" xfId="10110"/>
    <cellStyle name="Normal 16 2 3 3 2 4" xfId="7995"/>
    <cellStyle name="Normal 16 2 3 3 2 4 2" xfId="10892"/>
    <cellStyle name="Normal 16 2 3 3 2 5" xfId="9452"/>
    <cellStyle name="Normal 16 2 3 3 2 6" xfId="6500"/>
    <cellStyle name="Normal 16 2 3 3 3" xfId="794"/>
    <cellStyle name="Normal 16 2 3 3 3 2" xfId="7293"/>
    <cellStyle name="Normal 16 2 3 3 3 2 2" xfId="8770"/>
    <cellStyle name="Normal 16 2 3 3 3 2 2 2" xfId="11667"/>
    <cellStyle name="Normal 16 2 3 3 3 2 3" xfId="10227"/>
    <cellStyle name="Normal 16 2 3 3 3 3" xfId="8112"/>
    <cellStyle name="Normal 16 2 3 3 3 3 2" xfId="11009"/>
    <cellStyle name="Normal 16 2 3 3 3 4" xfId="9569"/>
    <cellStyle name="Normal 16 2 3 3 3 5" xfId="6617"/>
    <cellStyle name="Normal 16 2 3 3 4" xfId="795"/>
    <cellStyle name="Normal 16 2 3 3 4 2" xfId="7060"/>
    <cellStyle name="Normal 16 2 3 3 4 2 2" xfId="8537"/>
    <cellStyle name="Normal 16 2 3 3 4 2 2 2" xfId="11434"/>
    <cellStyle name="Normal 16 2 3 3 4 2 3" xfId="9994"/>
    <cellStyle name="Normal 16 2 3 3 4 3" xfId="7878"/>
    <cellStyle name="Normal 16 2 3 3 4 3 2" xfId="10776"/>
    <cellStyle name="Normal 16 2 3 3 4 4" xfId="9336"/>
    <cellStyle name="Normal 16 2 3 3 4 5" xfId="6381"/>
    <cellStyle name="Normal 16 2 3 3 5" xfId="6888"/>
    <cellStyle name="Normal 16 2 3 3 5 2" xfId="8366"/>
    <cellStyle name="Normal 16 2 3 3 5 2 2" xfId="11263"/>
    <cellStyle name="Normal 16 2 3 3 5 3" xfId="9823"/>
    <cellStyle name="Normal 16 2 3 3 6" xfId="7705"/>
    <cellStyle name="Normal 16 2 3 3 6 2" xfId="10605"/>
    <cellStyle name="Normal 16 2 3 3 7" xfId="9165"/>
    <cellStyle name="Normal 16 2 3 3 8" xfId="6183"/>
    <cellStyle name="Normal 16 2 3 4" xfId="796"/>
    <cellStyle name="Normal 16 2 3 4 2" xfId="797"/>
    <cellStyle name="Normal 16 2 3 4 2 2" xfId="7357"/>
    <cellStyle name="Normal 16 2 3 4 2 2 2" xfId="8834"/>
    <cellStyle name="Normal 16 2 3 4 2 2 2 2" xfId="11731"/>
    <cellStyle name="Normal 16 2 3 4 2 2 3" xfId="10291"/>
    <cellStyle name="Normal 16 2 3 4 2 3" xfId="8176"/>
    <cellStyle name="Normal 16 2 3 4 2 3 2" xfId="11073"/>
    <cellStyle name="Normal 16 2 3 4 2 4" xfId="9633"/>
    <cellStyle name="Normal 16 2 3 4 2 5" xfId="6681"/>
    <cellStyle name="Normal 16 2 3 4 3" xfId="798"/>
    <cellStyle name="Normal 16 2 3 4 3 2" xfId="7124"/>
    <cellStyle name="Normal 16 2 3 4 3 2 2" xfId="8601"/>
    <cellStyle name="Normal 16 2 3 4 3 2 2 2" xfId="11498"/>
    <cellStyle name="Normal 16 2 3 4 3 2 3" xfId="10058"/>
    <cellStyle name="Normal 16 2 3 4 3 3" xfId="7943"/>
    <cellStyle name="Normal 16 2 3 4 3 3 2" xfId="10840"/>
    <cellStyle name="Normal 16 2 3 4 3 4" xfId="9400"/>
    <cellStyle name="Normal 16 2 3 4 3 5" xfId="6448"/>
    <cellStyle name="Normal 16 2 3 4 4" xfId="6945"/>
    <cellStyle name="Normal 16 2 3 4 4 2" xfId="8422"/>
    <cellStyle name="Normal 16 2 3 4 4 2 2" xfId="11319"/>
    <cellStyle name="Normal 16 2 3 4 4 3" xfId="9879"/>
    <cellStyle name="Normal 16 2 3 4 5" xfId="7762"/>
    <cellStyle name="Normal 16 2 3 4 5 2" xfId="10661"/>
    <cellStyle name="Normal 16 2 3 4 6" xfId="9221"/>
    <cellStyle name="Normal 16 2 3 4 7" xfId="6246"/>
    <cellStyle name="Normal 16 2 3 5" xfId="799"/>
    <cellStyle name="Normal 16 2 3 5 2" xfId="7241"/>
    <cellStyle name="Normal 16 2 3 5 2 2" xfId="8718"/>
    <cellStyle name="Normal 16 2 3 5 2 2 2" xfId="11615"/>
    <cellStyle name="Normal 16 2 3 5 2 3" xfId="10175"/>
    <cellStyle name="Normal 16 2 3 5 3" xfId="8060"/>
    <cellStyle name="Normal 16 2 3 5 3 2" xfId="10957"/>
    <cellStyle name="Normal 16 2 3 5 4" xfId="9517"/>
    <cellStyle name="Normal 16 2 3 5 5" xfId="6565"/>
    <cellStyle name="Normal 16 2 3 6" xfId="800"/>
    <cellStyle name="Normal 16 2 3 6 2" xfId="7008"/>
    <cellStyle name="Normal 16 2 3 6 2 2" xfId="8485"/>
    <cellStyle name="Normal 16 2 3 6 2 2 2" xfId="11382"/>
    <cellStyle name="Normal 16 2 3 6 2 3" xfId="9942"/>
    <cellStyle name="Normal 16 2 3 6 3" xfId="7826"/>
    <cellStyle name="Normal 16 2 3 6 3 2" xfId="10724"/>
    <cellStyle name="Normal 16 2 3 6 4" xfId="9284"/>
    <cellStyle name="Normal 16 2 3 6 5" xfId="6329"/>
    <cellStyle name="Normal 16 2 3 7" xfId="7474"/>
    <cellStyle name="Normal 16 2 3 7 2" xfId="8948"/>
    <cellStyle name="Normal 16 2 3 7 2 2" xfId="11845"/>
    <cellStyle name="Normal 16 2 3 7 3" xfId="10405"/>
    <cellStyle name="Normal 16 2 3 8" xfId="7533"/>
    <cellStyle name="Normal 16 2 3 8 2" xfId="9005"/>
    <cellStyle name="Normal 16 2 3 8 2 2" xfId="11902"/>
    <cellStyle name="Normal 16 2 3 8 3" xfId="10462"/>
    <cellStyle name="Normal 16 2 3 9" xfId="6804"/>
    <cellStyle name="Normal 16 2 3 9 2" xfId="8285"/>
    <cellStyle name="Normal 16 2 3 9 2 2" xfId="11182"/>
    <cellStyle name="Normal 16 2 3 9 3" xfId="9742"/>
    <cellStyle name="Normal 16 2 4" xfId="801"/>
    <cellStyle name="Normal 16 2 4 10" xfId="9098"/>
    <cellStyle name="Normal 16 2 4 11" xfId="6110"/>
    <cellStyle name="Normal 16 2 4 2" xfId="802"/>
    <cellStyle name="Normal 16 2 4 2 2" xfId="803"/>
    <cellStyle name="Normal 16 2 4 2 2 2" xfId="804"/>
    <cellStyle name="Normal 16 2 4 2 2 2 2" xfId="7423"/>
    <cellStyle name="Normal 16 2 4 2 2 2 2 2" xfId="8900"/>
    <cellStyle name="Normal 16 2 4 2 2 2 2 2 2" xfId="11797"/>
    <cellStyle name="Normal 16 2 4 2 2 2 2 3" xfId="10357"/>
    <cellStyle name="Normal 16 2 4 2 2 2 3" xfId="8242"/>
    <cellStyle name="Normal 16 2 4 2 2 2 3 2" xfId="11139"/>
    <cellStyle name="Normal 16 2 4 2 2 2 4" xfId="9699"/>
    <cellStyle name="Normal 16 2 4 2 2 2 5" xfId="6747"/>
    <cellStyle name="Normal 16 2 4 2 2 3" xfId="7190"/>
    <cellStyle name="Normal 16 2 4 2 2 3 2" xfId="8667"/>
    <cellStyle name="Normal 16 2 4 2 2 3 2 2" xfId="11564"/>
    <cellStyle name="Normal 16 2 4 2 2 3 3" xfId="10124"/>
    <cellStyle name="Normal 16 2 4 2 2 4" xfId="8009"/>
    <cellStyle name="Normal 16 2 4 2 2 4 2" xfId="10906"/>
    <cellStyle name="Normal 16 2 4 2 2 5" xfId="9466"/>
    <cellStyle name="Normal 16 2 4 2 2 6" xfId="6514"/>
    <cellStyle name="Normal 16 2 4 2 3" xfId="805"/>
    <cellStyle name="Normal 16 2 4 2 3 2" xfId="7307"/>
    <cellStyle name="Normal 16 2 4 2 3 2 2" xfId="8784"/>
    <cellStyle name="Normal 16 2 4 2 3 2 2 2" xfId="11681"/>
    <cellStyle name="Normal 16 2 4 2 3 2 3" xfId="10241"/>
    <cellStyle name="Normal 16 2 4 2 3 3" xfId="8126"/>
    <cellStyle name="Normal 16 2 4 2 3 3 2" xfId="11023"/>
    <cellStyle name="Normal 16 2 4 2 3 4" xfId="9583"/>
    <cellStyle name="Normal 16 2 4 2 3 5" xfId="6631"/>
    <cellStyle name="Normal 16 2 4 2 4" xfId="806"/>
    <cellStyle name="Normal 16 2 4 2 4 2" xfId="7074"/>
    <cellStyle name="Normal 16 2 4 2 4 2 2" xfId="8551"/>
    <cellStyle name="Normal 16 2 4 2 4 2 2 2" xfId="11448"/>
    <cellStyle name="Normal 16 2 4 2 4 2 3" xfId="10008"/>
    <cellStyle name="Normal 16 2 4 2 4 3" xfId="7892"/>
    <cellStyle name="Normal 16 2 4 2 4 3 2" xfId="10790"/>
    <cellStyle name="Normal 16 2 4 2 4 4" xfId="9350"/>
    <cellStyle name="Normal 16 2 4 2 4 5" xfId="6395"/>
    <cellStyle name="Normal 16 2 4 2 5" xfId="6902"/>
    <cellStyle name="Normal 16 2 4 2 5 2" xfId="8380"/>
    <cellStyle name="Normal 16 2 4 2 5 2 2" xfId="11277"/>
    <cellStyle name="Normal 16 2 4 2 5 3" xfId="9837"/>
    <cellStyle name="Normal 16 2 4 2 6" xfId="7719"/>
    <cellStyle name="Normal 16 2 4 2 6 2" xfId="10619"/>
    <cellStyle name="Normal 16 2 4 2 7" xfId="9179"/>
    <cellStyle name="Normal 16 2 4 2 8" xfId="6198"/>
    <cellStyle name="Normal 16 2 4 3" xfId="807"/>
    <cellStyle name="Normal 16 2 4 3 2" xfId="808"/>
    <cellStyle name="Normal 16 2 4 3 2 2" xfId="7341"/>
    <cellStyle name="Normal 16 2 4 3 2 2 2" xfId="8818"/>
    <cellStyle name="Normal 16 2 4 3 2 2 2 2" xfId="11715"/>
    <cellStyle name="Normal 16 2 4 3 2 2 3" xfId="10275"/>
    <cellStyle name="Normal 16 2 4 3 2 3" xfId="8160"/>
    <cellStyle name="Normal 16 2 4 3 2 3 2" xfId="11057"/>
    <cellStyle name="Normal 16 2 4 3 2 4" xfId="9617"/>
    <cellStyle name="Normal 16 2 4 3 2 5" xfId="6665"/>
    <cellStyle name="Normal 16 2 4 3 3" xfId="809"/>
    <cellStyle name="Normal 16 2 4 3 3 2" xfId="7108"/>
    <cellStyle name="Normal 16 2 4 3 3 2 2" xfId="8585"/>
    <cellStyle name="Normal 16 2 4 3 3 2 2 2" xfId="11482"/>
    <cellStyle name="Normal 16 2 4 3 3 2 3" xfId="10042"/>
    <cellStyle name="Normal 16 2 4 3 3 3" xfId="7927"/>
    <cellStyle name="Normal 16 2 4 3 3 3 2" xfId="10824"/>
    <cellStyle name="Normal 16 2 4 3 3 4" xfId="9384"/>
    <cellStyle name="Normal 16 2 4 3 3 5" xfId="6432"/>
    <cellStyle name="Normal 16 2 4 3 4" xfId="6959"/>
    <cellStyle name="Normal 16 2 4 3 4 2" xfId="8436"/>
    <cellStyle name="Normal 16 2 4 3 4 2 2" xfId="11333"/>
    <cellStyle name="Normal 16 2 4 3 4 3" xfId="9893"/>
    <cellStyle name="Normal 16 2 4 3 5" xfId="7776"/>
    <cellStyle name="Normal 16 2 4 3 5 2" xfId="10675"/>
    <cellStyle name="Normal 16 2 4 3 6" xfId="9235"/>
    <cellStyle name="Normal 16 2 4 3 7" xfId="6260"/>
    <cellStyle name="Normal 16 2 4 4" xfId="810"/>
    <cellStyle name="Normal 16 2 4 4 2" xfId="7225"/>
    <cellStyle name="Normal 16 2 4 4 2 2" xfId="8702"/>
    <cellStyle name="Normal 16 2 4 4 2 2 2" xfId="11599"/>
    <cellStyle name="Normal 16 2 4 4 2 3" xfId="10159"/>
    <cellStyle name="Normal 16 2 4 4 3" xfId="8044"/>
    <cellStyle name="Normal 16 2 4 4 3 2" xfId="10941"/>
    <cellStyle name="Normal 16 2 4 4 4" xfId="9501"/>
    <cellStyle name="Normal 16 2 4 4 5" xfId="6549"/>
    <cellStyle name="Normal 16 2 4 5" xfId="811"/>
    <cellStyle name="Normal 16 2 4 5 2" xfId="6992"/>
    <cellStyle name="Normal 16 2 4 5 2 2" xfId="8469"/>
    <cellStyle name="Normal 16 2 4 5 2 2 2" xfId="11366"/>
    <cellStyle name="Normal 16 2 4 5 2 3" xfId="9926"/>
    <cellStyle name="Normal 16 2 4 5 3" xfId="7810"/>
    <cellStyle name="Normal 16 2 4 5 3 2" xfId="10708"/>
    <cellStyle name="Normal 16 2 4 5 4" xfId="9268"/>
    <cellStyle name="Normal 16 2 4 5 5" xfId="6313"/>
    <cellStyle name="Normal 16 2 4 6" xfId="7458"/>
    <cellStyle name="Normal 16 2 4 6 2" xfId="8932"/>
    <cellStyle name="Normal 16 2 4 6 2 2" xfId="11829"/>
    <cellStyle name="Normal 16 2 4 6 3" xfId="10389"/>
    <cellStyle name="Normal 16 2 4 7" xfId="7517"/>
    <cellStyle name="Normal 16 2 4 7 2" xfId="8989"/>
    <cellStyle name="Normal 16 2 4 7 2 2" xfId="11886"/>
    <cellStyle name="Normal 16 2 4 7 3" xfId="10446"/>
    <cellStyle name="Normal 16 2 4 8" xfId="6819"/>
    <cellStyle name="Normal 16 2 4 8 2" xfId="8299"/>
    <cellStyle name="Normal 16 2 4 8 2 2" xfId="11196"/>
    <cellStyle name="Normal 16 2 4 8 3" xfId="9756"/>
    <cellStyle name="Normal 16 2 4 9" xfId="7638"/>
    <cellStyle name="Normal 16 2 4 9 2" xfId="10538"/>
    <cellStyle name="Normal 16 2 5" xfId="812"/>
    <cellStyle name="Normal 16 2 5 10" xfId="6167"/>
    <cellStyle name="Normal 16 2 5 2" xfId="813"/>
    <cellStyle name="Normal 16 2 5 2 2" xfId="814"/>
    <cellStyle name="Normal 16 2 5 2 2 2" xfId="7367"/>
    <cellStyle name="Normal 16 2 5 2 2 2 2" xfId="8844"/>
    <cellStyle name="Normal 16 2 5 2 2 2 2 2" xfId="11741"/>
    <cellStyle name="Normal 16 2 5 2 2 2 3" xfId="10301"/>
    <cellStyle name="Normal 16 2 5 2 2 3" xfId="8186"/>
    <cellStyle name="Normal 16 2 5 2 2 3 2" xfId="11083"/>
    <cellStyle name="Normal 16 2 5 2 2 4" xfId="9643"/>
    <cellStyle name="Normal 16 2 5 2 2 5" xfId="6691"/>
    <cellStyle name="Normal 16 2 5 2 3" xfId="7134"/>
    <cellStyle name="Normal 16 2 5 2 3 2" xfId="8611"/>
    <cellStyle name="Normal 16 2 5 2 3 2 2" xfId="11508"/>
    <cellStyle name="Normal 16 2 5 2 3 3" xfId="10068"/>
    <cellStyle name="Normal 16 2 5 2 4" xfId="7953"/>
    <cellStyle name="Normal 16 2 5 2 4 2" xfId="10850"/>
    <cellStyle name="Normal 16 2 5 2 5" xfId="9410"/>
    <cellStyle name="Normal 16 2 5 2 6" xfId="6458"/>
    <cellStyle name="Normal 16 2 5 3" xfId="815"/>
    <cellStyle name="Normal 16 2 5 3 2" xfId="7251"/>
    <cellStyle name="Normal 16 2 5 3 2 2" xfId="8728"/>
    <cellStyle name="Normal 16 2 5 3 2 2 2" xfId="11625"/>
    <cellStyle name="Normal 16 2 5 3 2 3" xfId="10185"/>
    <cellStyle name="Normal 16 2 5 3 3" xfId="8070"/>
    <cellStyle name="Normal 16 2 5 3 3 2" xfId="10967"/>
    <cellStyle name="Normal 16 2 5 3 4" xfId="9527"/>
    <cellStyle name="Normal 16 2 5 3 5" xfId="6575"/>
    <cellStyle name="Normal 16 2 5 4" xfId="816"/>
    <cellStyle name="Normal 16 2 5 4 2" xfId="7018"/>
    <cellStyle name="Normal 16 2 5 4 2 2" xfId="8495"/>
    <cellStyle name="Normal 16 2 5 4 2 2 2" xfId="11392"/>
    <cellStyle name="Normal 16 2 5 4 2 3" xfId="9952"/>
    <cellStyle name="Normal 16 2 5 4 3" xfId="7836"/>
    <cellStyle name="Normal 16 2 5 4 3 2" xfId="10734"/>
    <cellStyle name="Normal 16 2 5 4 4" xfId="9294"/>
    <cellStyle name="Normal 16 2 5 4 5" xfId="6339"/>
    <cellStyle name="Normal 16 2 5 5" xfId="7484"/>
    <cellStyle name="Normal 16 2 5 5 2" xfId="8958"/>
    <cellStyle name="Normal 16 2 5 5 2 2" xfId="11855"/>
    <cellStyle name="Normal 16 2 5 5 3" xfId="10415"/>
    <cellStyle name="Normal 16 2 5 6" xfId="7543"/>
    <cellStyle name="Normal 16 2 5 6 2" xfId="9015"/>
    <cellStyle name="Normal 16 2 5 6 2 2" xfId="11912"/>
    <cellStyle name="Normal 16 2 5 6 3" xfId="10472"/>
    <cellStyle name="Normal 16 2 5 7" xfId="6872"/>
    <cellStyle name="Normal 16 2 5 7 2" xfId="8350"/>
    <cellStyle name="Normal 16 2 5 7 2 2" xfId="11247"/>
    <cellStyle name="Normal 16 2 5 7 3" xfId="9807"/>
    <cellStyle name="Normal 16 2 5 8" xfId="7689"/>
    <cellStyle name="Normal 16 2 5 8 2" xfId="10589"/>
    <cellStyle name="Normal 16 2 5 9" xfId="9149"/>
    <cellStyle name="Normal 16 2 6" xfId="817"/>
    <cellStyle name="Normal 16 2 6 2" xfId="818"/>
    <cellStyle name="Normal 16 2 6 2 2" xfId="819"/>
    <cellStyle name="Normal 16 2 6 2 2 2" xfId="7393"/>
    <cellStyle name="Normal 16 2 6 2 2 2 2" xfId="8870"/>
    <cellStyle name="Normal 16 2 6 2 2 2 2 2" xfId="11767"/>
    <cellStyle name="Normal 16 2 6 2 2 2 3" xfId="10327"/>
    <cellStyle name="Normal 16 2 6 2 2 3" xfId="8212"/>
    <cellStyle name="Normal 16 2 6 2 2 3 2" xfId="11109"/>
    <cellStyle name="Normal 16 2 6 2 2 4" xfId="9669"/>
    <cellStyle name="Normal 16 2 6 2 2 5" xfId="6717"/>
    <cellStyle name="Normal 16 2 6 2 3" xfId="7160"/>
    <cellStyle name="Normal 16 2 6 2 3 2" xfId="8637"/>
    <cellStyle name="Normal 16 2 6 2 3 2 2" xfId="11534"/>
    <cellStyle name="Normal 16 2 6 2 3 3" xfId="10094"/>
    <cellStyle name="Normal 16 2 6 2 4" xfId="7979"/>
    <cellStyle name="Normal 16 2 6 2 4 2" xfId="10876"/>
    <cellStyle name="Normal 16 2 6 2 5" xfId="9436"/>
    <cellStyle name="Normal 16 2 6 2 6" xfId="6484"/>
    <cellStyle name="Normal 16 2 6 3" xfId="820"/>
    <cellStyle name="Normal 16 2 6 3 2" xfId="7277"/>
    <cellStyle name="Normal 16 2 6 3 2 2" xfId="8754"/>
    <cellStyle name="Normal 16 2 6 3 2 2 2" xfId="11651"/>
    <cellStyle name="Normal 16 2 6 3 2 3" xfId="10211"/>
    <cellStyle name="Normal 16 2 6 3 3" xfId="8096"/>
    <cellStyle name="Normal 16 2 6 3 3 2" xfId="10993"/>
    <cellStyle name="Normal 16 2 6 3 4" xfId="9553"/>
    <cellStyle name="Normal 16 2 6 3 5" xfId="6601"/>
    <cellStyle name="Normal 16 2 6 4" xfId="821"/>
    <cellStyle name="Normal 16 2 6 4 2" xfId="7044"/>
    <cellStyle name="Normal 16 2 6 4 2 2" xfId="8521"/>
    <cellStyle name="Normal 16 2 6 4 2 2 2" xfId="11418"/>
    <cellStyle name="Normal 16 2 6 4 2 3" xfId="9978"/>
    <cellStyle name="Normal 16 2 6 4 3" xfId="7862"/>
    <cellStyle name="Normal 16 2 6 4 3 2" xfId="10760"/>
    <cellStyle name="Normal 16 2 6 4 4" xfId="9320"/>
    <cellStyle name="Normal 16 2 6 4 5" xfId="6365"/>
    <cellStyle name="Normal 16 2 6 5" xfId="6929"/>
    <cellStyle name="Normal 16 2 6 5 2" xfId="8406"/>
    <cellStyle name="Normal 16 2 6 5 2 2" xfId="11303"/>
    <cellStyle name="Normal 16 2 6 5 3" xfId="9863"/>
    <cellStyle name="Normal 16 2 6 6" xfId="7746"/>
    <cellStyle name="Normal 16 2 6 6 2" xfId="10645"/>
    <cellStyle name="Normal 16 2 6 7" xfId="9205"/>
    <cellStyle name="Normal 16 2 6 8" xfId="6230"/>
    <cellStyle name="Normal 16 2 7" xfId="822"/>
    <cellStyle name="Normal 16 2 7 2" xfId="823"/>
    <cellStyle name="Normal 16 2 7 2 2" xfId="7334"/>
    <cellStyle name="Normal 16 2 7 2 2 2" xfId="8811"/>
    <cellStyle name="Normal 16 2 7 2 2 2 2" xfId="11708"/>
    <cellStyle name="Normal 16 2 7 2 2 3" xfId="10268"/>
    <cellStyle name="Normal 16 2 7 2 3" xfId="8153"/>
    <cellStyle name="Normal 16 2 7 2 3 2" xfId="11050"/>
    <cellStyle name="Normal 16 2 7 2 4" xfId="9610"/>
    <cellStyle name="Normal 16 2 7 2 5" xfId="6658"/>
    <cellStyle name="Normal 16 2 7 3" xfId="7101"/>
    <cellStyle name="Normal 16 2 7 3 2" xfId="8578"/>
    <cellStyle name="Normal 16 2 7 3 2 2" xfId="11475"/>
    <cellStyle name="Normal 16 2 7 3 3" xfId="10035"/>
    <cellStyle name="Normal 16 2 7 4" xfId="7920"/>
    <cellStyle name="Normal 16 2 7 4 2" xfId="10817"/>
    <cellStyle name="Normal 16 2 7 5" xfId="9377"/>
    <cellStyle name="Normal 16 2 7 6" xfId="6425"/>
    <cellStyle name="Normal 16 2 8" xfId="824"/>
    <cellStyle name="Normal 16 2 8 2" xfId="7218"/>
    <cellStyle name="Normal 16 2 8 2 2" xfId="8695"/>
    <cellStyle name="Normal 16 2 8 2 2 2" xfId="11592"/>
    <cellStyle name="Normal 16 2 8 2 3" xfId="10152"/>
    <cellStyle name="Normal 16 2 8 3" xfId="8037"/>
    <cellStyle name="Normal 16 2 8 3 2" xfId="10934"/>
    <cellStyle name="Normal 16 2 8 4" xfId="9494"/>
    <cellStyle name="Normal 16 2 8 5" xfId="6542"/>
    <cellStyle name="Normal 16 2 9" xfId="825"/>
    <cellStyle name="Normal 16 2 9 2" xfId="6985"/>
    <cellStyle name="Normal 16 2 9 2 2" xfId="8462"/>
    <cellStyle name="Normal 16 2 9 2 2 2" xfId="11359"/>
    <cellStyle name="Normal 16 2 9 2 3" xfId="9919"/>
    <cellStyle name="Normal 16 2 9 3" xfId="7803"/>
    <cellStyle name="Normal 16 2 9 3 2" xfId="10701"/>
    <cellStyle name="Normal 16 2 9 4" xfId="9261"/>
    <cellStyle name="Normal 16 2 9 5" xfId="6306"/>
    <cellStyle name="Normal 16 3" xfId="826"/>
    <cellStyle name="Normal 16 3 10" xfId="7606"/>
    <cellStyle name="Normal 16 3 10 2" xfId="10506"/>
    <cellStyle name="Normal 16 3 11" xfId="9066"/>
    <cellStyle name="Normal 16 3 12" xfId="6068"/>
    <cellStyle name="Normal 16 3 2" xfId="827"/>
    <cellStyle name="Normal 16 3 2 10" xfId="9095"/>
    <cellStyle name="Normal 16 3 2 11" xfId="6107"/>
    <cellStyle name="Normal 16 3 2 2" xfId="828"/>
    <cellStyle name="Normal 16 3 2 2 2" xfId="829"/>
    <cellStyle name="Normal 16 3 2 2 2 2" xfId="830"/>
    <cellStyle name="Normal 16 3 2 2 2 2 2" xfId="7420"/>
    <cellStyle name="Normal 16 3 2 2 2 2 2 2" xfId="8897"/>
    <cellStyle name="Normal 16 3 2 2 2 2 2 2 2" xfId="11794"/>
    <cellStyle name="Normal 16 3 2 2 2 2 2 3" xfId="10354"/>
    <cellStyle name="Normal 16 3 2 2 2 2 3" xfId="8239"/>
    <cellStyle name="Normal 16 3 2 2 2 2 3 2" xfId="11136"/>
    <cellStyle name="Normal 16 3 2 2 2 2 4" xfId="9696"/>
    <cellStyle name="Normal 16 3 2 2 2 2 5" xfId="6744"/>
    <cellStyle name="Normal 16 3 2 2 2 3" xfId="7187"/>
    <cellStyle name="Normal 16 3 2 2 2 3 2" xfId="8664"/>
    <cellStyle name="Normal 16 3 2 2 2 3 2 2" xfId="11561"/>
    <cellStyle name="Normal 16 3 2 2 2 3 3" xfId="10121"/>
    <cellStyle name="Normal 16 3 2 2 2 4" xfId="8006"/>
    <cellStyle name="Normal 16 3 2 2 2 4 2" xfId="10903"/>
    <cellStyle name="Normal 16 3 2 2 2 5" xfId="9463"/>
    <cellStyle name="Normal 16 3 2 2 2 6" xfId="6511"/>
    <cellStyle name="Normal 16 3 2 2 3" xfId="831"/>
    <cellStyle name="Normal 16 3 2 2 3 2" xfId="7304"/>
    <cellStyle name="Normal 16 3 2 2 3 2 2" xfId="8781"/>
    <cellStyle name="Normal 16 3 2 2 3 2 2 2" xfId="11678"/>
    <cellStyle name="Normal 16 3 2 2 3 2 3" xfId="10238"/>
    <cellStyle name="Normal 16 3 2 2 3 3" xfId="8123"/>
    <cellStyle name="Normal 16 3 2 2 3 3 2" xfId="11020"/>
    <cellStyle name="Normal 16 3 2 2 3 4" xfId="9580"/>
    <cellStyle name="Normal 16 3 2 2 3 5" xfId="6628"/>
    <cellStyle name="Normal 16 3 2 2 4" xfId="832"/>
    <cellStyle name="Normal 16 3 2 2 4 2" xfId="7071"/>
    <cellStyle name="Normal 16 3 2 2 4 2 2" xfId="8548"/>
    <cellStyle name="Normal 16 3 2 2 4 2 2 2" xfId="11445"/>
    <cellStyle name="Normal 16 3 2 2 4 2 3" xfId="10005"/>
    <cellStyle name="Normal 16 3 2 2 4 3" xfId="7889"/>
    <cellStyle name="Normal 16 3 2 2 4 3 2" xfId="10787"/>
    <cellStyle name="Normal 16 3 2 2 4 4" xfId="9347"/>
    <cellStyle name="Normal 16 3 2 2 4 5" xfId="6392"/>
    <cellStyle name="Normal 16 3 2 2 5" xfId="6899"/>
    <cellStyle name="Normal 16 3 2 2 5 2" xfId="8377"/>
    <cellStyle name="Normal 16 3 2 2 5 2 2" xfId="11274"/>
    <cellStyle name="Normal 16 3 2 2 5 3" xfId="9834"/>
    <cellStyle name="Normal 16 3 2 2 6" xfId="7716"/>
    <cellStyle name="Normal 16 3 2 2 6 2" xfId="10616"/>
    <cellStyle name="Normal 16 3 2 2 7" xfId="9176"/>
    <cellStyle name="Normal 16 3 2 2 8" xfId="6195"/>
    <cellStyle name="Normal 16 3 2 3" xfId="833"/>
    <cellStyle name="Normal 16 3 2 3 2" xfId="834"/>
    <cellStyle name="Normal 16 3 2 3 2 2" xfId="7364"/>
    <cellStyle name="Normal 16 3 2 3 2 2 2" xfId="8841"/>
    <cellStyle name="Normal 16 3 2 3 2 2 2 2" xfId="11738"/>
    <cellStyle name="Normal 16 3 2 3 2 2 3" xfId="10298"/>
    <cellStyle name="Normal 16 3 2 3 2 3" xfId="8183"/>
    <cellStyle name="Normal 16 3 2 3 2 3 2" xfId="11080"/>
    <cellStyle name="Normal 16 3 2 3 2 4" xfId="9640"/>
    <cellStyle name="Normal 16 3 2 3 2 5" xfId="6688"/>
    <cellStyle name="Normal 16 3 2 3 3" xfId="835"/>
    <cellStyle name="Normal 16 3 2 3 3 2" xfId="7131"/>
    <cellStyle name="Normal 16 3 2 3 3 2 2" xfId="8608"/>
    <cellStyle name="Normal 16 3 2 3 3 2 2 2" xfId="11505"/>
    <cellStyle name="Normal 16 3 2 3 3 2 3" xfId="10065"/>
    <cellStyle name="Normal 16 3 2 3 3 3" xfId="7950"/>
    <cellStyle name="Normal 16 3 2 3 3 3 2" xfId="10847"/>
    <cellStyle name="Normal 16 3 2 3 3 4" xfId="9407"/>
    <cellStyle name="Normal 16 3 2 3 3 5" xfId="6455"/>
    <cellStyle name="Normal 16 3 2 3 4" xfId="6956"/>
    <cellStyle name="Normal 16 3 2 3 4 2" xfId="8433"/>
    <cellStyle name="Normal 16 3 2 3 4 2 2" xfId="11330"/>
    <cellStyle name="Normal 16 3 2 3 4 3" xfId="9890"/>
    <cellStyle name="Normal 16 3 2 3 5" xfId="7773"/>
    <cellStyle name="Normal 16 3 2 3 5 2" xfId="10672"/>
    <cellStyle name="Normal 16 3 2 3 6" xfId="9232"/>
    <cellStyle name="Normal 16 3 2 3 7" xfId="6257"/>
    <cellStyle name="Normal 16 3 2 4" xfId="836"/>
    <cellStyle name="Normal 16 3 2 4 2" xfId="7248"/>
    <cellStyle name="Normal 16 3 2 4 2 2" xfId="8725"/>
    <cellStyle name="Normal 16 3 2 4 2 2 2" xfId="11622"/>
    <cellStyle name="Normal 16 3 2 4 2 3" xfId="10182"/>
    <cellStyle name="Normal 16 3 2 4 3" xfId="8067"/>
    <cellStyle name="Normal 16 3 2 4 3 2" xfId="10964"/>
    <cellStyle name="Normal 16 3 2 4 4" xfId="9524"/>
    <cellStyle name="Normal 16 3 2 4 5" xfId="6572"/>
    <cellStyle name="Normal 16 3 2 5" xfId="837"/>
    <cellStyle name="Normal 16 3 2 5 2" xfId="7015"/>
    <cellStyle name="Normal 16 3 2 5 2 2" xfId="8492"/>
    <cellStyle name="Normal 16 3 2 5 2 2 2" xfId="11389"/>
    <cellStyle name="Normal 16 3 2 5 2 3" xfId="9949"/>
    <cellStyle name="Normal 16 3 2 5 3" xfId="7833"/>
    <cellStyle name="Normal 16 3 2 5 3 2" xfId="10731"/>
    <cellStyle name="Normal 16 3 2 5 4" xfId="9291"/>
    <cellStyle name="Normal 16 3 2 5 5" xfId="6336"/>
    <cellStyle name="Normal 16 3 2 6" xfId="7481"/>
    <cellStyle name="Normal 16 3 2 6 2" xfId="8955"/>
    <cellStyle name="Normal 16 3 2 6 2 2" xfId="11852"/>
    <cellStyle name="Normal 16 3 2 6 3" xfId="10412"/>
    <cellStyle name="Normal 16 3 2 7" xfId="7540"/>
    <cellStyle name="Normal 16 3 2 7 2" xfId="9012"/>
    <cellStyle name="Normal 16 3 2 7 2 2" xfId="11909"/>
    <cellStyle name="Normal 16 3 2 7 3" xfId="10469"/>
    <cellStyle name="Normal 16 3 2 8" xfId="6816"/>
    <cellStyle name="Normal 16 3 2 8 2" xfId="8296"/>
    <cellStyle name="Normal 16 3 2 8 2 2" xfId="11193"/>
    <cellStyle name="Normal 16 3 2 8 3" xfId="9753"/>
    <cellStyle name="Normal 16 3 2 9" xfId="7635"/>
    <cellStyle name="Normal 16 3 2 9 2" xfId="10535"/>
    <cellStyle name="Normal 16 3 3" xfId="838"/>
    <cellStyle name="Normal 16 3 3 2" xfId="839"/>
    <cellStyle name="Normal 16 3 3 2 2" xfId="840"/>
    <cellStyle name="Normal 16 3 3 2 2 2" xfId="7390"/>
    <cellStyle name="Normal 16 3 3 2 2 2 2" xfId="8867"/>
    <cellStyle name="Normal 16 3 3 2 2 2 2 2" xfId="11764"/>
    <cellStyle name="Normal 16 3 3 2 2 2 3" xfId="10324"/>
    <cellStyle name="Normal 16 3 3 2 2 3" xfId="8209"/>
    <cellStyle name="Normal 16 3 3 2 2 3 2" xfId="11106"/>
    <cellStyle name="Normal 16 3 3 2 2 4" xfId="9666"/>
    <cellStyle name="Normal 16 3 3 2 2 5" xfId="6714"/>
    <cellStyle name="Normal 16 3 3 2 3" xfId="7157"/>
    <cellStyle name="Normal 16 3 3 2 3 2" xfId="8634"/>
    <cellStyle name="Normal 16 3 3 2 3 2 2" xfId="11531"/>
    <cellStyle name="Normal 16 3 3 2 3 3" xfId="10091"/>
    <cellStyle name="Normal 16 3 3 2 4" xfId="7976"/>
    <cellStyle name="Normal 16 3 3 2 4 2" xfId="10873"/>
    <cellStyle name="Normal 16 3 3 2 5" xfId="9433"/>
    <cellStyle name="Normal 16 3 3 2 6" xfId="6481"/>
    <cellStyle name="Normal 16 3 3 3" xfId="841"/>
    <cellStyle name="Normal 16 3 3 3 2" xfId="7274"/>
    <cellStyle name="Normal 16 3 3 3 2 2" xfId="8751"/>
    <cellStyle name="Normal 16 3 3 3 2 2 2" xfId="11648"/>
    <cellStyle name="Normal 16 3 3 3 2 3" xfId="10208"/>
    <cellStyle name="Normal 16 3 3 3 3" xfId="8093"/>
    <cellStyle name="Normal 16 3 3 3 3 2" xfId="10990"/>
    <cellStyle name="Normal 16 3 3 3 4" xfId="9550"/>
    <cellStyle name="Normal 16 3 3 3 5" xfId="6598"/>
    <cellStyle name="Normal 16 3 3 4" xfId="842"/>
    <cellStyle name="Normal 16 3 3 4 2" xfId="7041"/>
    <cellStyle name="Normal 16 3 3 4 2 2" xfId="8518"/>
    <cellStyle name="Normal 16 3 3 4 2 2 2" xfId="11415"/>
    <cellStyle name="Normal 16 3 3 4 2 3" xfId="9975"/>
    <cellStyle name="Normal 16 3 3 4 3" xfId="7859"/>
    <cellStyle name="Normal 16 3 3 4 3 2" xfId="10757"/>
    <cellStyle name="Normal 16 3 3 4 4" xfId="9317"/>
    <cellStyle name="Normal 16 3 3 4 5" xfId="6362"/>
    <cellStyle name="Normal 16 3 3 5" xfId="6867"/>
    <cellStyle name="Normal 16 3 3 5 2" xfId="8345"/>
    <cellStyle name="Normal 16 3 3 5 2 2" xfId="11242"/>
    <cellStyle name="Normal 16 3 3 5 3" xfId="9802"/>
    <cellStyle name="Normal 16 3 3 6" xfId="7684"/>
    <cellStyle name="Normal 16 3 3 6 2" xfId="10584"/>
    <cellStyle name="Normal 16 3 3 7" xfId="9144"/>
    <cellStyle name="Normal 16 3 3 8" xfId="6162"/>
    <cellStyle name="Normal 16 3 4" xfId="843"/>
    <cellStyle name="Normal 16 3 4 2" xfId="844"/>
    <cellStyle name="Normal 16 3 4 2 2" xfId="7338"/>
    <cellStyle name="Normal 16 3 4 2 2 2" xfId="8815"/>
    <cellStyle name="Normal 16 3 4 2 2 2 2" xfId="11712"/>
    <cellStyle name="Normal 16 3 4 2 2 3" xfId="10272"/>
    <cellStyle name="Normal 16 3 4 2 3" xfId="8157"/>
    <cellStyle name="Normal 16 3 4 2 3 2" xfId="11054"/>
    <cellStyle name="Normal 16 3 4 2 4" xfId="9614"/>
    <cellStyle name="Normal 16 3 4 2 5" xfId="6662"/>
    <cellStyle name="Normal 16 3 4 3" xfId="845"/>
    <cellStyle name="Normal 16 3 4 3 2" xfId="7105"/>
    <cellStyle name="Normal 16 3 4 3 2 2" xfId="8582"/>
    <cellStyle name="Normal 16 3 4 3 2 2 2" xfId="11479"/>
    <cellStyle name="Normal 16 3 4 3 2 3" xfId="10039"/>
    <cellStyle name="Normal 16 3 4 3 3" xfId="7924"/>
    <cellStyle name="Normal 16 3 4 3 3 2" xfId="10821"/>
    <cellStyle name="Normal 16 3 4 3 4" xfId="9381"/>
    <cellStyle name="Normal 16 3 4 3 5" xfId="6429"/>
    <cellStyle name="Normal 16 3 4 4" xfId="6926"/>
    <cellStyle name="Normal 16 3 4 4 2" xfId="8403"/>
    <cellStyle name="Normal 16 3 4 4 2 2" xfId="11300"/>
    <cellStyle name="Normal 16 3 4 4 3" xfId="9860"/>
    <cellStyle name="Normal 16 3 4 5" xfId="7743"/>
    <cellStyle name="Normal 16 3 4 5 2" xfId="10642"/>
    <cellStyle name="Normal 16 3 4 6" xfId="9202"/>
    <cellStyle name="Normal 16 3 4 7" xfId="6227"/>
    <cellStyle name="Normal 16 3 5" xfId="846"/>
    <cellStyle name="Normal 16 3 5 2" xfId="7222"/>
    <cellStyle name="Normal 16 3 5 2 2" xfId="8699"/>
    <cellStyle name="Normal 16 3 5 2 2 2" xfId="11596"/>
    <cellStyle name="Normal 16 3 5 2 3" xfId="10156"/>
    <cellStyle name="Normal 16 3 5 3" xfId="8041"/>
    <cellStyle name="Normal 16 3 5 3 2" xfId="10938"/>
    <cellStyle name="Normal 16 3 5 4" xfId="9498"/>
    <cellStyle name="Normal 16 3 5 5" xfId="6546"/>
    <cellStyle name="Normal 16 3 6" xfId="847"/>
    <cellStyle name="Normal 16 3 6 2" xfId="6989"/>
    <cellStyle name="Normal 16 3 6 2 2" xfId="8466"/>
    <cellStyle name="Normal 16 3 6 2 2 2" xfId="11363"/>
    <cellStyle name="Normal 16 3 6 2 3" xfId="9923"/>
    <cellStyle name="Normal 16 3 6 3" xfId="7807"/>
    <cellStyle name="Normal 16 3 6 3 2" xfId="10705"/>
    <cellStyle name="Normal 16 3 6 4" xfId="9265"/>
    <cellStyle name="Normal 16 3 6 5" xfId="6310"/>
    <cellStyle name="Normal 16 3 7" xfId="3285"/>
    <cellStyle name="Normal 16 3 7 2" xfId="8929"/>
    <cellStyle name="Normal 16 3 7 2 2" xfId="11826"/>
    <cellStyle name="Normal 16 3 7 3" xfId="10386"/>
    <cellStyle name="Normal 16 3 7 4" xfId="7455"/>
    <cellStyle name="Normal 16 3 8" xfId="7514"/>
    <cellStyle name="Normal 16 3 8 2" xfId="8986"/>
    <cellStyle name="Normal 16 3 8 2 2" xfId="11883"/>
    <cellStyle name="Normal 16 3 8 3" xfId="10443"/>
    <cellStyle name="Normal 16 3 9" xfId="6785"/>
    <cellStyle name="Normal 16 3 9 2" xfId="8266"/>
    <cellStyle name="Normal 16 3 9 2 2" xfId="11163"/>
    <cellStyle name="Normal 16 3 9 3" xfId="9723"/>
    <cellStyle name="Normal 16 4" xfId="848"/>
    <cellStyle name="Normal 16 4 10" xfId="7613"/>
    <cellStyle name="Normal 16 4 10 2" xfId="10513"/>
    <cellStyle name="Normal 16 4 11" xfId="9073"/>
    <cellStyle name="Normal 16 4 12" xfId="6078"/>
    <cellStyle name="Normal 16 4 2" xfId="849"/>
    <cellStyle name="Normal 16 4 2 10" xfId="9103"/>
    <cellStyle name="Normal 16 4 2 11" xfId="6115"/>
    <cellStyle name="Normal 16 4 2 2" xfId="850"/>
    <cellStyle name="Normal 16 4 2 2 2" xfId="851"/>
    <cellStyle name="Normal 16 4 2 2 2 2" xfId="852"/>
    <cellStyle name="Normal 16 4 2 2 2 2 2" xfId="7428"/>
    <cellStyle name="Normal 16 4 2 2 2 2 2 2" xfId="8905"/>
    <cellStyle name="Normal 16 4 2 2 2 2 2 2 2" xfId="11802"/>
    <cellStyle name="Normal 16 4 2 2 2 2 2 3" xfId="10362"/>
    <cellStyle name="Normal 16 4 2 2 2 2 3" xfId="8247"/>
    <cellStyle name="Normal 16 4 2 2 2 2 3 2" xfId="11144"/>
    <cellStyle name="Normal 16 4 2 2 2 2 4" xfId="9704"/>
    <cellStyle name="Normal 16 4 2 2 2 2 5" xfId="6752"/>
    <cellStyle name="Normal 16 4 2 2 2 3" xfId="7195"/>
    <cellStyle name="Normal 16 4 2 2 2 3 2" xfId="8672"/>
    <cellStyle name="Normal 16 4 2 2 2 3 2 2" xfId="11569"/>
    <cellStyle name="Normal 16 4 2 2 2 3 3" xfId="10129"/>
    <cellStyle name="Normal 16 4 2 2 2 4" xfId="8014"/>
    <cellStyle name="Normal 16 4 2 2 2 4 2" xfId="10911"/>
    <cellStyle name="Normal 16 4 2 2 2 5" xfId="9471"/>
    <cellStyle name="Normal 16 4 2 2 2 6" xfId="6519"/>
    <cellStyle name="Normal 16 4 2 2 3" xfId="853"/>
    <cellStyle name="Normal 16 4 2 2 3 2" xfId="7312"/>
    <cellStyle name="Normal 16 4 2 2 3 2 2" xfId="8789"/>
    <cellStyle name="Normal 16 4 2 2 3 2 2 2" xfId="11686"/>
    <cellStyle name="Normal 16 4 2 2 3 2 3" xfId="10246"/>
    <cellStyle name="Normal 16 4 2 2 3 3" xfId="8131"/>
    <cellStyle name="Normal 16 4 2 2 3 3 2" xfId="11028"/>
    <cellStyle name="Normal 16 4 2 2 3 4" xfId="9588"/>
    <cellStyle name="Normal 16 4 2 2 3 5" xfId="6636"/>
    <cellStyle name="Normal 16 4 2 2 4" xfId="854"/>
    <cellStyle name="Normal 16 4 2 2 4 2" xfId="7079"/>
    <cellStyle name="Normal 16 4 2 2 4 2 2" xfId="8556"/>
    <cellStyle name="Normal 16 4 2 2 4 2 2 2" xfId="11453"/>
    <cellStyle name="Normal 16 4 2 2 4 2 3" xfId="10013"/>
    <cellStyle name="Normal 16 4 2 2 4 3" xfId="7897"/>
    <cellStyle name="Normal 16 4 2 2 4 3 2" xfId="10795"/>
    <cellStyle name="Normal 16 4 2 2 4 4" xfId="9355"/>
    <cellStyle name="Normal 16 4 2 2 4 5" xfId="6400"/>
    <cellStyle name="Normal 16 4 2 2 5" xfId="6907"/>
    <cellStyle name="Normal 16 4 2 2 5 2" xfId="8385"/>
    <cellStyle name="Normal 16 4 2 2 5 2 2" xfId="11282"/>
    <cellStyle name="Normal 16 4 2 2 5 3" xfId="9842"/>
    <cellStyle name="Normal 16 4 2 2 6" xfId="7724"/>
    <cellStyle name="Normal 16 4 2 2 6 2" xfId="10624"/>
    <cellStyle name="Normal 16 4 2 2 7" xfId="9184"/>
    <cellStyle name="Normal 16 4 2 2 8" xfId="6203"/>
    <cellStyle name="Normal 16 4 2 3" xfId="855"/>
    <cellStyle name="Normal 16 4 2 3 2" xfId="856"/>
    <cellStyle name="Normal 16 4 2 3 2 2" xfId="7372"/>
    <cellStyle name="Normal 16 4 2 3 2 2 2" xfId="8849"/>
    <cellStyle name="Normal 16 4 2 3 2 2 2 2" xfId="11746"/>
    <cellStyle name="Normal 16 4 2 3 2 2 3" xfId="10306"/>
    <cellStyle name="Normal 16 4 2 3 2 3" xfId="8191"/>
    <cellStyle name="Normal 16 4 2 3 2 3 2" xfId="11088"/>
    <cellStyle name="Normal 16 4 2 3 2 4" xfId="9648"/>
    <cellStyle name="Normal 16 4 2 3 2 5" xfId="6696"/>
    <cellStyle name="Normal 16 4 2 3 3" xfId="857"/>
    <cellStyle name="Normal 16 4 2 3 3 2" xfId="7139"/>
    <cellStyle name="Normal 16 4 2 3 3 2 2" xfId="8616"/>
    <cellStyle name="Normal 16 4 2 3 3 2 2 2" xfId="11513"/>
    <cellStyle name="Normal 16 4 2 3 3 2 3" xfId="10073"/>
    <cellStyle name="Normal 16 4 2 3 3 3" xfId="7958"/>
    <cellStyle name="Normal 16 4 2 3 3 3 2" xfId="10855"/>
    <cellStyle name="Normal 16 4 2 3 3 4" xfId="9415"/>
    <cellStyle name="Normal 16 4 2 3 3 5" xfId="6463"/>
    <cellStyle name="Normal 16 4 2 3 4" xfId="6964"/>
    <cellStyle name="Normal 16 4 2 3 4 2" xfId="8441"/>
    <cellStyle name="Normal 16 4 2 3 4 2 2" xfId="11338"/>
    <cellStyle name="Normal 16 4 2 3 4 3" xfId="9898"/>
    <cellStyle name="Normal 16 4 2 3 5" xfId="7781"/>
    <cellStyle name="Normal 16 4 2 3 5 2" xfId="10680"/>
    <cellStyle name="Normal 16 4 2 3 6" xfId="9240"/>
    <cellStyle name="Normal 16 4 2 3 7" xfId="6265"/>
    <cellStyle name="Normal 16 4 2 4" xfId="858"/>
    <cellStyle name="Normal 16 4 2 4 2" xfId="7256"/>
    <cellStyle name="Normal 16 4 2 4 2 2" xfId="8733"/>
    <cellStyle name="Normal 16 4 2 4 2 2 2" xfId="11630"/>
    <cellStyle name="Normal 16 4 2 4 2 3" xfId="10190"/>
    <cellStyle name="Normal 16 4 2 4 3" xfId="8075"/>
    <cellStyle name="Normal 16 4 2 4 3 2" xfId="10972"/>
    <cellStyle name="Normal 16 4 2 4 4" xfId="9532"/>
    <cellStyle name="Normal 16 4 2 4 5" xfId="6580"/>
    <cellStyle name="Normal 16 4 2 5" xfId="859"/>
    <cellStyle name="Normal 16 4 2 5 2" xfId="7023"/>
    <cellStyle name="Normal 16 4 2 5 2 2" xfId="8500"/>
    <cellStyle name="Normal 16 4 2 5 2 2 2" xfId="11397"/>
    <cellStyle name="Normal 16 4 2 5 2 3" xfId="9957"/>
    <cellStyle name="Normal 16 4 2 5 3" xfId="7841"/>
    <cellStyle name="Normal 16 4 2 5 3 2" xfId="10739"/>
    <cellStyle name="Normal 16 4 2 5 4" xfId="9299"/>
    <cellStyle name="Normal 16 4 2 5 5" xfId="6344"/>
    <cellStyle name="Normal 16 4 2 6" xfId="7489"/>
    <cellStyle name="Normal 16 4 2 6 2" xfId="8963"/>
    <cellStyle name="Normal 16 4 2 6 2 2" xfId="11860"/>
    <cellStyle name="Normal 16 4 2 6 3" xfId="10420"/>
    <cellStyle name="Normal 16 4 2 7" xfId="7548"/>
    <cellStyle name="Normal 16 4 2 7 2" xfId="9020"/>
    <cellStyle name="Normal 16 4 2 7 2 2" xfId="11917"/>
    <cellStyle name="Normal 16 4 2 7 3" xfId="10477"/>
    <cellStyle name="Normal 16 4 2 8" xfId="6824"/>
    <cellStyle name="Normal 16 4 2 8 2" xfId="8304"/>
    <cellStyle name="Normal 16 4 2 8 2 2" xfId="11201"/>
    <cellStyle name="Normal 16 4 2 8 3" xfId="9761"/>
    <cellStyle name="Normal 16 4 2 9" xfId="7643"/>
    <cellStyle name="Normal 16 4 2 9 2" xfId="10543"/>
    <cellStyle name="Normal 16 4 3" xfId="860"/>
    <cellStyle name="Normal 16 4 3 2" xfId="861"/>
    <cellStyle name="Normal 16 4 3 2 2" xfId="862"/>
    <cellStyle name="Normal 16 4 3 2 2 2" xfId="7398"/>
    <cellStyle name="Normal 16 4 3 2 2 2 2" xfId="8875"/>
    <cellStyle name="Normal 16 4 3 2 2 2 2 2" xfId="11772"/>
    <cellStyle name="Normal 16 4 3 2 2 2 3" xfId="10332"/>
    <cellStyle name="Normal 16 4 3 2 2 3" xfId="8217"/>
    <cellStyle name="Normal 16 4 3 2 2 3 2" xfId="11114"/>
    <cellStyle name="Normal 16 4 3 2 2 4" xfId="9674"/>
    <cellStyle name="Normal 16 4 3 2 2 5" xfId="6722"/>
    <cellStyle name="Normal 16 4 3 2 3" xfId="7165"/>
    <cellStyle name="Normal 16 4 3 2 3 2" xfId="8642"/>
    <cellStyle name="Normal 16 4 3 2 3 2 2" xfId="11539"/>
    <cellStyle name="Normal 16 4 3 2 3 3" xfId="10099"/>
    <cellStyle name="Normal 16 4 3 2 4" xfId="7984"/>
    <cellStyle name="Normal 16 4 3 2 4 2" xfId="10881"/>
    <cellStyle name="Normal 16 4 3 2 5" xfId="9441"/>
    <cellStyle name="Normal 16 4 3 2 6" xfId="6489"/>
    <cellStyle name="Normal 16 4 3 3" xfId="863"/>
    <cellStyle name="Normal 16 4 3 3 2" xfId="7282"/>
    <cellStyle name="Normal 16 4 3 3 2 2" xfId="8759"/>
    <cellStyle name="Normal 16 4 3 3 2 2 2" xfId="11656"/>
    <cellStyle name="Normal 16 4 3 3 2 3" xfId="10216"/>
    <cellStyle name="Normal 16 4 3 3 3" xfId="8101"/>
    <cellStyle name="Normal 16 4 3 3 3 2" xfId="10998"/>
    <cellStyle name="Normal 16 4 3 3 4" xfId="9558"/>
    <cellStyle name="Normal 16 4 3 3 5" xfId="6606"/>
    <cellStyle name="Normal 16 4 3 4" xfId="864"/>
    <cellStyle name="Normal 16 4 3 4 2" xfId="7049"/>
    <cellStyle name="Normal 16 4 3 4 2 2" xfId="8526"/>
    <cellStyle name="Normal 16 4 3 4 2 2 2" xfId="11423"/>
    <cellStyle name="Normal 16 4 3 4 2 3" xfId="9983"/>
    <cellStyle name="Normal 16 4 3 4 3" xfId="7867"/>
    <cellStyle name="Normal 16 4 3 4 3 2" xfId="10765"/>
    <cellStyle name="Normal 16 4 3 4 4" xfId="9325"/>
    <cellStyle name="Normal 16 4 3 4 5" xfId="6370"/>
    <cellStyle name="Normal 16 4 3 5" xfId="6877"/>
    <cellStyle name="Normal 16 4 3 5 2" xfId="8355"/>
    <cellStyle name="Normal 16 4 3 5 2 2" xfId="11252"/>
    <cellStyle name="Normal 16 4 3 5 3" xfId="9812"/>
    <cellStyle name="Normal 16 4 3 6" xfId="7694"/>
    <cellStyle name="Normal 16 4 3 6 2" xfId="10594"/>
    <cellStyle name="Normal 16 4 3 7" xfId="9154"/>
    <cellStyle name="Normal 16 4 3 8" xfId="6172"/>
    <cellStyle name="Normal 16 4 4" xfId="865"/>
    <cellStyle name="Normal 16 4 4 2" xfId="866"/>
    <cellStyle name="Normal 16 4 4 2 2" xfId="7346"/>
    <cellStyle name="Normal 16 4 4 2 2 2" xfId="8823"/>
    <cellStyle name="Normal 16 4 4 2 2 2 2" xfId="11720"/>
    <cellStyle name="Normal 16 4 4 2 2 3" xfId="10280"/>
    <cellStyle name="Normal 16 4 4 2 3" xfId="8165"/>
    <cellStyle name="Normal 16 4 4 2 3 2" xfId="11062"/>
    <cellStyle name="Normal 16 4 4 2 4" xfId="9622"/>
    <cellStyle name="Normal 16 4 4 2 5" xfId="6670"/>
    <cellStyle name="Normal 16 4 4 3" xfId="867"/>
    <cellStyle name="Normal 16 4 4 3 2" xfId="7113"/>
    <cellStyle name="Normal 16 4 4 3 2 2" xfId="8590"/>
    <cellStyle name="Normal 16 4 4 3 2 2 2" xfId="11487"/>
    <cellStyle name="Normal 16 4 4 3 2 3" xfId="10047"/>
    <cellStyle name="Normal 16 4 4 3 3" xfId="7932"/>
    <cellStyle name="Normal 16 4 4 3 3 2" xfId="10829"/>
    <cellStyle name="Normal 16 4 4 3 4" xfId="9389"/>
    <cellStyle name="Normal 16 4 4 3 5" xfId="6437"/>
    <cellStyle name="Normal 16 4 4 4" xfId="6934"/>
    <cellStyle name="Normal 16 4 4 4 2" xfId="8411"/>
    <cellStyle name="Normal 16 4 4 4 2 2" xfId="11308"/>
    <cellStyle name="Normal 16 4 4 4 3" xfId="9868"/>
    <cellStyle name="Normal 16 4 4 5" xfId="7751"/>
    <cellStyle name="Normal 16 4 4 5 2" xfId="10650"/>
    <cellStyle name="Normal 16 4 4 6" xfId="9210"/>
    <cellStyle name="Normal 16 4 4 7" xfId="6235"/>
    <cellStyle name="Normal 16 4 5" xfId="868"/>
    <cellStyle name="Normal 16 4 5 2" xfId="7230"/>
    <cellStyle name="Normal 16 4 5 2 2" xfId="8707"/>
    <cellStyle name="Normal 16 4 5 2 2 2" xfId="11604"/>
    <cellStyle name="Normal 16 4 5 2 3" xfId="10164"/>
    <cellStyle name="Normal 16 4 5 3" xfId="8049"/>
    <cellStyle name="Normal 16 4 5 3 2" xfId="10946"/>
    <cellStyle name="Normal 16 4 5 4" xfId="9506"/>
    <cellStyle name="Normal 16 4 5 5" xfId="6554"/>
    <cellStyle name="Normal 16 4 6" xfId="869"/>
    <cellStyle name="Normal 16 4 6 2" xfId="6997"/>
    <cellStyle name="Normal 16 4 6 2 2" xfId="8474"/>
    <cellStyle name="Normal 16 4 6 2 2 2" xfId="11371"/>
    <cellStyle name="Normal 16 4 6 2 3" xfId="9931"/>
    <cellStyle name="Normal 16 4 6 3" xfId="7815"/>
    <cellStyle name="Normal 16 4 6 3 2" xfId="10713"/>
    <cellStyle name="Normal 16 4 6 4" xfId="9273"/>
    <cellStyle name="Normal 16 4 6 5" xfId="6318"/>
    <cellStyle name="Normal 16 4 7" xfId="7463"/>
    <cellStyle name="Normal 16 4 7 2" xfId="8937"/>
    <cellStyle name="Normal 16 4 7 2 2" xfId="11834"/>
    <cellStyle name="Normal 16 4 7 3" xfId="10394"/>
    <cellStyle name="Normal 16 4 8" xfId="7522"/>
    <cellStyle name="Normal 16 4 8 2" xfId="8994"/>
    <cellStyle name="Normal 16 4 8 2 2" xfId="11891"/>
    <cellStyle name="Normal 16 4 8 3" xfId="10451"/>
    <cellStyle name="Normal 16 4 9" xfId="6793"/>
    <cellStyle name="Normal 16 4 9 2" xfId="8274"/>
    <cellStyle name="Normal 16 4 9 2 2" xfId="11171"/>
    <cellStyle name="Normal 16 4 9 3" xfId="9731"/>
    <cellStyle name="Normal 16 5" xfId="870"/>
    <cellStyle name="Normal 16 5 10" xfId="7621"/>
    <cellStyle name="Normal 16 5 10 2" xfId="10521"/>
    <cellStyle name="Normal 16 5 11" xfId="9081"/>
    <cellStyle name="Normal 16 5 12" xfId="6086"/>
    <cellStyle name="Normal 16 5 2" xfId="871"/>
    <cellStyle name="Normal 16 5 2 10" xfId="9111"/>
    <cellStyle name="Normal 16 5 2 11" xfId="6123"/>
    <cellStyle name="Normal 16 5 2 2" xfId="872"/>
    <cellStyle name="Normal 16 5 2 2 2" xfId="873"/>
    <cellStyle name="Normal 16 5 2 2 2 2" xfId="874"/>
    <cellStyle name="Normal 16 5 2 2 2 2 2" xfId="7436"/>
    <cellStyle name="Normal 16 5 2 2 2 2 2 2" xfId="8913"/>
    <cellStyle name="Normal 16 5 2 2 2 2 2 2 2" xfId="11810"/>
    <cellStyle name="Normal 16 5 2 2 2 2 2 3" xfId="10370"/>
    <cellStyle name="Normal 16 5 2 2 2 2 3" xfId="8255"/>
    <cellStyle name="Normal 16 5 2 2 2 2 3 2" xfId="11152"/>
    <cellStyle name="Normal 16 5 2 2 2 2 4" xfId="9712"/>
    <cellStyle name="Normal 16 5 2 2 2 2 5" xfId="6760"/>
    <cellStyle name="Normal 16 5 2 2 2 3" xfId="7203"/>
    <cellStyle name="Normal 16 5 2 2 2 3 2" xfId="8680"/>
    <cellStyle name="Normal 16 5 2 2 2 3 2 2" xfId="11577"/>
    <cellStyle name="Normal 16 5 2 2 2 3 3" xfId="10137"/>
    <cellStyle name="Normal 16 5 2 2 2 4" xfId="8022"/>
    <cellStyle name="Normal 16 5 2 2 2 4 2" xfId="10919"/>
    <cellStyle name="Normal 16 5 2 2 2 5" xfId="9479"/>
    <cellStyle name="Normal 16 5 2 2 2 6" xfId="6527"/>
    <cellStyle name="Normal 16 5 2 2 3" xfId="875"/>
    <cellStyle name="Normal 16 5 2 2 3 2" xfId="7320"/>
    <cellStyle name="Normal 16 5 2 2 3 2 2" xfId="8797"/>
    <cellStyle name="Normal 16 5 2 2 3 2 2 2" xfId="11694"/>
    <cellStyle name="Normal 16 5 2 2 3 2 3" xfId="10254"/>
    <cellStyle name="Normal 16 5 2 2 3 3" xfId="8139"/>
    <cellStyle name="Normal 16 5 2 2 3 3 2" xfId="11036"/>
    <cellStyle name="Normal 16 5 2 2 3 4" xfId="9596"/>
    <cellStyle name="Normal 16 5 2 2 3 5" xfId="6644"/>
    <cellStyle name="Normal 16 5 2 2 4" xfId="876"/>
    <cellStyle name="Normal 16 5 2 2 4 2" xfId="7087"/>
    <cellStyle name="Normal 16 5 2 2 4 2 2" xfId="8564"/>
    <cellStyle name="Normal 16 5 2 2 4 2 2 2" xfId="11461"/>
    <cellStyle name="Normal 16 5 2 2 4 2 3" xfId="10021"/>
    <cellStyle name="Normal 16 5 2 2 4 3" xfId="7905"/>
    <cellStyle name="Normal 16 5 2 2 4 3 2" xfId="10803"/>
    <cellStyle name="Normal 16 5 2 2 4 4" xfId="9363"/>
    <cellStyle name="Normal 16 5 2 2 4 5" xfId="6408"/>
    <cellStyle name="Normal 16 5 2 2 5" xfId="6915"/>
    <cellStyle name="Normal 16 5 2 2 5 2" xfId="8393"/>
    <cellStyle name="Normal 16 5 2 2 5 2 2" xfId="11290"/>
    <cellStyle name="Normal 16 5 2 2 5 3" xfId="9850"/>
    <cellStyle name="Normal 16 5 2 2 6" xfId="7732"/>
    <cellStyle name="Normal 16 5 2 2 6 2" xfId="10632"/>
    <cellStyle name="Normal 16 5 2 2 7" xfId="9192"/>
    <cellStyle name="Normal 16 5 2 2 8" xfId="6211"/>
    <cellStyle name="Normal 16 5 2 3" xfId="877"/>
    <cellStyle name="Normal 16 5 2 3 2" xfId="878"/>
    <cellStyle name="Normal 16 5 2 3 2 2" xfId="7380"/>
    <cellStyle name="Normal 16 5 2 3 2 2 2" xfId="8857"/>
    <cellStyle name="Normal 16 5 2 3 2 2 2 2" xfId="11754"/>
    <cellStyle name="Normal 16 5 2 3 2 2 3" xfId="10314"/>
    <cellStyle name="Normal 16 5 2 3 2 3" xfId="8199"/>
    <cellStyle name="Normal 16 5 2 3 2 3 2" xfId="11096"/>
    <cellStyle name="Normal 16 5 2 3 2 4" xfId="9656"/>
    <cellStyle name="Normal 16 5 2 3 2 5" xfId="6704"/>
    <cellStyle name="Normal 16 5 2 3 3" xfId="879"/>
    <cellStyle name="Normal 16 5 2 3 3 2" xfId="7147"/>
    <cellStyle name="Normal 16 5 2 3 3 2 2" xfId="8624"/>
    <cellStyle name="Normal 16 5 2 3 3 2 2 2" xfId="11521"/>
    <cellStyle name="Normal 16 5 2 3 3 2 3" xfId="10081"/>
    <cellStyle name="Normal 16 5 2 3 3 3" xfId="7966"/>
    <cellStyle name="Normal 16 5 2 3 3 3 2" xfId="10863"/>
    <cellStyle name="Normal 16 5 2 3 3 4" xfId="9423"/>
    <cellStyle name="Normal 16 5 2 3 3 5" xfId="6471"/>
    <cellStyle name="Normal 16 5 2 3 4" xfId="6972"/>
    <cellStyle name="Normal 16 5 2 3 4 2" xfId="8449"/>
    <cellStyle name="Normal 16 5 2 3 4 2 2" xfId="11346"/>
    <cellStyle name="Normal 16 5 2 3 4 3" xfId="9906"/>
    <cellStyle name="Normal 16 5 2 3 5" xfId="7789"/>
    <cellStyle name="Normal 16 5 2 3 5 2" xfId="10688"/>
    <cellStyle name="Normal 16 5 2 3 6" xfId="9248"/>
    <cellStyle name="Normal 16 5 2 3 7" xfId="6273"/>
    <cellStyle name="Normal 16 5 2 4" xfId="880"/>
    <cellStyle name="Normal 16 5 2 4 2" xfId="7264"/>
    <cellStyle name="Normal 16 5 2 4 2 2" xfId="8741"/>
    <cellStyle name="Normal 16 5 2 4 2 2 2" xfId="11638"/>
    <cellStyle name="Normal 16 5 2 4 2 3" xfId="10198"/>
    <cellStyle name="Normal 16 5 2 4 3" xfId="8083"/>
    <cellStyle name="Normal 16 5 2 4 3 2" xfId="10980"/>
    <cellStyle name="Normal 16 5 2 4 4" xfId="9540"/>
    <cellStyle name="Normal 16 5 2 4 5" xfId="6588"/>
    <cellStyle name="Normal 16 5 2 5" xfId="881"/>
    <cellStyle name="Normal 16 5 2 5 2" xfId="7031"/>
    <cellStyle name="Normal 16 5 2 5 2 2" xfId="8508"/>
    <cellStyle name="Normal 16 5 2 5 2 2 2" xfId="11405"/>
    <cellStyle name="Normal 16 5 2 5 2 3" xfId="9965"/>
    <cellStyle name="Normal 16 5 2 5 3" xfId="7849"/>
    <cellStyle name="Normal 16 5 2 5 3 2" xfId="10747"/>
    <cellStyle name="Normal 16 5 2 5 4" xfId="9307"/>
    <cellStyle name="Normal 16 5 2 5 5" xfId="6352"/>
    <cellStyle name="Normal 16 5 2 6" xfId="7497"/>
    <cellStyle name="Normal 16 5 2 6 2" xfId="8971"/>
    <cellStyle name="Normal 16 5 2 6 2 2" xfId="11868"/>
    <cellStyle name="Normal 16 5 2 6 3" xfId="10428"/>
    <cellStyle name="Normal 16 5 2 7" xfId="7556"/>
    <cellStyle name="Normal 16 5 2 7 2" xfId="9028"/>
    <cellStyle name="Normal 16 5 2 7 2 2" xfId="11925"/>
    <cellStyle name="Normal 16 5 2 7 3" xfId="10485"/>
    <cellStyle name="Normal 16 5 2 8" xfId="6832"/>
    <cellStyle name="Normal 16 5 2 8 2" xfId="8312"/>
    <cellStyle name="Normal 16 5 2 8 2 2" xfId="11209"/>
    <cellStyle name="Normal 16 5 2 8 3" xfId="9769"/>
    <cellStyle name="Normal 16 5 2 9" xfId="7651"/>
    <cellStyle name="Normal 16 5 2 9 2" xfId="10551"/>
    <cellStyle name="Normal 16 5 3" xfId="882"/>
    <cellStyle name="Normal 16 5 3 2" xfId="883"/>
    <cellStyle name="Normal 16 5 3 2 2" xfId="884"/>
    <cellStyle name="Normal 16 5 3 2 2 2" xfId="7406"/>
    <cellStyle name="Normal 16 5 3 2 2 2 2" xfId="8883"/>
    <cellStyle name="Normal 16 5 3 2 2 2 2 2" xfId="11780"/>
    <cellStyle name="Normal 16 5 3 2 2 2 3" xfId="10340"/>
    <cellStyle name="Normal 16 5 3 2 2 3" xfId="8225"/>
    <cellStyle name="Normal 16 5 3 2 2 3 2" xfId="11122"/>
    <cellStyle name="Normal 16 5 3 2 2 4" xfId="9682"/>
    <cellStyle name="Normal 16 5 3 2 2 5" xfId="6730"/>
    <cellStyle name="Normal 16 5 3 2 3" xfId="7173"/>
    <cellStyle name="Normal 16 5 3 2 3 2" xfId="8650"/>
    <cellStyle name="Normal 16 5 3 2 3 2 2" xfId="11547"/>
    <cellStyle name="Normal 16 5 3 2 3 3" xfId="10107"/>
    <cellStyle name="Normal 16 5 3 2 4" xfId="7992"/>
    <cellStyle name="Normal 16 5 3 2 4 2" xfId="10889"/>
    <cellStyle name="Normal 16 5 3 2 5" xfId="9449"/>
    <cellStyle name="Normal 16 5 3 2 6" xfId="6497"/>
    <cellStyle name="Normal 16 5 3 3" xfId="885"/>
    <cellStyle name="Normal 16 5 3 3 2" xfId="7290"/>
    <cellStyle name="Normal 16 5 3 3 2 2" xfId="8767"/>
    <cellStyle name="Normal 16 5 3 3 2 2 2" xfId="11664"/>
    <cellStyle name="Normal 16 5 3 3 2 3" xfId="10224"/>
    <cellStyle name="Normal 16 5 3 3 3" xfId="8109"/>
    <cellStyle name="Normal 16 5 3 3 3 2" xfId="11006"/>
    <cellStyle name="Normal 16 5 3 3 4" xfId="9566"/>
    <cellStyle name="Normal 16 5 3 3 5" xfId="6614"/>
    <cellStyle name="Normal 16 5 3 4" xfId="886"/>
    <cellStyle name="Normal 16 5 3 4 2" xfId="7057"/>
    <cellStyle name="Normal 16 5 3 4 2 2" xfId="8534"/>
    <cellStyle name="Normal 16 5 3 4 2 2 2" xfId="11431"/>
    <cellStyle name="Normal 16 5 3 4 2 3" xfId="9991"/>
    <cellStyle name="Normal 16 5 3 4 3" xfId="7875"/>
    <cellStyle name="Normal 16 5 3 4 3 2" xfId="10773"/>
    <cellStyle name="Normal 16 5 3 4 4" xfId="9333"/>
    <cellStyle name="Normal 16 5 3 4 5" xfId="6378"/>
    <cellStyle name="Normal 16 5 3 5" xfId="6885"/>
    <cellStyle name="Normal 16 5 3 5 2" xfId="8363"/>
    <cellStyle name="Normal 16 5 3 5 2 2" xfId="11260"/>
    <cellStyle name="Normal 16 5 3 5 3" xfId="9820"/>
    <cellStyle name="Normal 16 5 3 6" xfId="7702"/>
    <cellStyle name="Normal 16 5 3 6 2" xfId="10602"/>
    <cellStyle name="Normal 16 5 3 7" xfId="9162"/>
    <cellStyle name="Normal 16 5 3 8" xfId="6180"/>
    <cellStyle name="Normal 16 5 4" xfId="887"/>
    <cellStyle name="Normal 16 5 4 2" xfId="888"/>
    <cellStyle name="Normal 16 5 4 2 2" xfId="7354"/>
    <cellStyle name="Normal 16 5 4 2 2 2" xfId="8831"/>
    <cellStyle name="Normal 16 5 4 2 2 2 2" xfId="11728"/>
    <cellStyle name="Normal 16 5 4 2 2 3" xfId="10288"/>
    <cellStyle name="Normal 16 5 4 2 3" xfId="8173"/>
    <cellStyle name="Normal 16 5 4 2 3 2" xfId="11070"/>
    <cellStyle name="Normal 16 5 4 2 4" xfId="9630"/>
    <cellStyle name="Normal 16 5 4 2 5" xfId="6678"/>
    <cellStyle name="Normal 16 5 4 3" xfId="889"/>
    <cellStyle name="Normal 16 5 4 3 2" xfId="7121"/>
    <cellStyle name="Normal 16 5 4 3 2 2" xfId="8598"/>
    <cellStyle name="Normal 16 5 4 3 2 2 2" xfId="11495"/>
    <cellStyle name="Normal 16 5 4 3 2 3" xfId="10055"/>
    <cellStyle name="Normal 16 5 4 3 3" xfId="7940"/>
    <cellStyle name="Normal 16 5 4 3 3 2" xfId="10837"/>
    <cellStyle name="Normal 16 5 4 3 4" xfId="9397"/>
    <cellStyle name="Normal 16 5 4 3 5" xfId="6445"/>
    <cellStyle name="Normal 16 5 4 4" xfId="6942"/>
    <cellStyle name="Normal 16 5 4 4 2" xfId="8419"/>
    <cellStyle name="Normal 16 5 4 4 2 2" xfId="11316"/>
    <cellStyle name="Normal 16 5 4 4 3" xfId="9876"/>
    <cellStyle name="Normal 16 5 4 5" xfId="7759"/>
    <cellStyle name="Normal 16 5 4 5 2" xfId="10658"/>
    <cellStyle name="Normal 16 5 4 6" xfId="9218"/>
    <cellStyle name="Normal 16 5 4 7" xfId="6243"/>
    <cellStyle name="Normal 16 5 5" xfId="890"/>
    <cellStyle name="Normal 16 5 5 2" xfId="7238"/>
    <cellStyle name="Normal 16 5 5 2 2" xfId="8715"/>
    <cellStyle name="Normal 16 5 5 2 2 2" xfId="11612"/>
    <cellStyle name="Normal 16 5 5 2 3" xfId="10172"/>
    <cellStyle name="Normal 16 5 5 3" xfId="8057"/>
    <cellStyle name="Normal 16 5 5 3 2" xfId="10954"/>
    <cellStyle name="Normal 16 5 5 4" xfId="9514"/>
    <cellStyle name="Normal 16 5 5 5" xfId="6562"/>
    <cellStyle name="Normal 16 5 6" xfId="891"/>
    <cellStyle name="Normal 16 5 6 2" xfId="7005"/>
    <cellStyle name="Normal 16 5 6 2 2" xfId="8482"/>
    <cellStyle name="Normal 16 5 6 2 2 2" xfId="11379"/>
    <cellStyle name="Normal 16 5 6 2 3" xfId="9939"/>
    <cellStyle name="Normal 16 5 6 3" xfId="7823"/>
    <cellStyle name="Normal 16 5 6 3 2" xfId="10721"/>
    <cellStyle name="Normal 16 5 6 4" xfId="9281"/>
    <cellStyle name="Normal 16 5 6 5" xfId="6326"/>
    <cellStyle name="Normal 16 5 7" xfId="7471"/>
    <cellStyle name="Normal 16 5 7 2" xfId="8945"/>
    <cellStyle name="Normal 16 5 7 2 2" xfId="11842"/>
    <cellStyle name="Normal 16 5 7 3" xfId="10402"/>
    <cellStyle name="Normal 16 5 8" xfId="7530"/>
    <cellStyle name="Normal 16 5 8 2" xfId="9002"/>
    <cellStyle name="Normal 16 5 8 2 2" xfId="11899"/>
    <cellStyle name="Normal 16 5 8 3" xfId="10459"/>
    <cellStyle name="Normal 16 5 9" xfId="6801"/>
    <cellStyle name="Normal 16 5 9 2" xfId="8282"/>
    <cellStyle name="Normal 16 5 9 2 2" xfId="11179"/>
    <cellStyle name="Normal 16 5 9 3" xfId="9739"/>
    <cellStyle name="Normal 16 6" xfId="892"/>
    <cellStyle name="Normal 16 6 10" xfId="9093"/>
    <cellStyle name="Normal 16 6 11" xfId="6104"/>
    <cellStyle name="Normal 16 6 2" xfId="893"/>
    <cellStyle name="Normal 16 6 2 2" xfId="894"/>
    <cellStyle name="Normal 16 6 2 2 2" xfId="895"/>
    <cellStyle name="Normal 16 6 2 2 2 2" xfId="7418"/>
    <cellStyle name="Normal 16 6 2 2 2 2 2" xfId="8895"/>
    <cellStyle name="Normal 16 6 2 2 2 2 2 2" xfId="11792"/>
    <cellStyle name="Normal 16 6 2 2 2 2 3" xfId="10352"/>
    <cellStyle name="Normal 16 6 2 2 2 3" xfId="8237"/>
    <cellStyle name="Normal 16 6 2 2 2 3 2" xfId="11134"/>
    <cellStyle name="Normal 16 6 2 2 2 4" xfId="9694"/>
    <cellStyle name="Normal 16 6 2 2 2 5" xfId="6742"/>
    <cellStyle name="Normal 16 6 2 2 3" xfId="7185"/>
    <cellStyle name="Normal 16 6 2 2 3 2" xfId="8662"/>
    <cellStyle name="Normal 16 6 2 2 3 2 2" xfId="11559"/>
    <cellStyle name="Normal 16 6 2 2 3 3" xfId="10119"/>
    <cellStyle name="Normal 16 6 2 2 4" xfId="8004"/>
    <cellStyle name="Normal 16 6 2 2 4 2" xfId="10901"/>
    <cellStyle name="Normal 16 6 2 2 5" xfId="9461"/>
    <cellStyle name="Normal 16 6 2 2 6" xfId="6509"/>
    <cellStyle name="Normal 16 6 2 3" xfId="896"/>
    <cellStyle name="Normal 16 6 2 3 2" xfId="7302"/>
    <cellStyle name="Normal 16 6 2 3 2 2" xfId="8779"/>
    <cellStyle name="Normal 16 6 2 3 2 2 2" xfId="11676"/>
    <cellStyle name="Normal 16 6 2 3 2 3" xfId="10236"/>
    <cellStyle name="Normal 16 6 2 3 3" xfId="8121"/>
    <cellStyle name="Normal 16 6 2 3 3 2" xfId="11018"/>
    <cellStyle name="Normal 16 6 2 3 4" xfId="9578"/>
    <cellStyle name="Normal 16 6 2 3 5" xfId="6626"/>
    <cellStyle name="Normal 16 6 2 4" xfId="897"/>
    <cellStyle name="Normal 16 6 2 4 2" xfId="7069"/>
    <cellStyle name="Normal 16 6 2 4 2 2" xfId="8546"/>
    <cellStyle name="Normal 16 6 2 4 2 2 2" xfId="11443"/>
    <cellStyle name="Normal 16 6 2 4 2 3" xfId="10003"/>
    <cellStyle name="Normal 16 6 2 4 3" xfId="7887"/>
    <cellStyle name="Normal 16 6 2 4 3 2" xfId="10785"/>
    <cellStyle name="Normal 16 6 2 4 4" xfId="9345"/>
    <cellStyle name="Normal 16 6 2 4 5" xfId="6390"/>
    <cellStyle name="Normal 16 6 2 5" xfId="6897"/>
    <cellStyle name="Normal 16 6 2 5 2" xfId="8375"/>
    <cellStyle name="Normal 16 6 2 5 2 2" xfId="11272"/>
    <cellStyle name="Normal 16 6 2 5 3" xfId="9832"/>
    <cellStyle name="Normal 16 6 2 6" xfId="7714"/>
    <cellStyle name="Normal 16 6 2 6 2" xfId="10614"/>
    <cellStyle name="Normal 16 6 2 7" xfId="9174"/>
    <cellStyle name="Normal 16 6 2 8" xfId="6193"/>
    <cellStyle name="Normal 16 6 3" xfId="898"/>
    <cellStyle name="Normal 16 6 3 2" xfId="899"/>
    <cellStyle name="Normal 16 6 3 2 2" xfId="7336"/>
    <cellStyle name="Normal 16 6 3 2 2 2" xfId="8813"/>
    <cellStyle name="Normal 16 6 3 2 2 2 2" xfId="11710"/>
    <cellStyle name="Normal 16 6 3 2 2 3" xfId="10270"/>
    <cellStyle name="Normal 16 6 3 2 3" xfId="8155"/>
    <cellStyle name="Normal 16 6 3 2 3 2" xfId="11052"/>
    <cellStyle name="Normal 16 6 3 2 4" xfId="9612"/>
    <cellStyle name="Normal 16 6 3 2 5" xfId="6660"/>
    <cellStyle name="Normal 16 6 3 3" xfId="900"/>
    <cellStyle name="Normal 16 6 3 3 2" xfId="7103"/>
    <cellStyle name="Normal 16 6 3 3 2 2" xfId="8580"/>
    <cellStyle name="Normal 16 6 3 3 2 2 2" xfId="11477"/>
    <cellStyle name="Normal 16 6 3 3 2 3" xfId="10037"/>
    <cellStyle name="Normal 16 6 3 3 3" xfId="7922"/>
    <cellStyle name="Normal 16 6 3 3 3 2" xfId="10819"/>
    <cellStyle name="Normal 16 6 3 3 4" xfId="9379"/>
    <cellStyle name="Normal 16 6 3 3 5" xfId="6427"/>
    <cellStyle name="Normal 16 6 3 4" xfId="6954"/>
    <cellStyle name="Normal 16 6 3 4 2" xfId="8431"/>
    <cellStyle name="Normal 16 6 3 4 2 2" xfId="11328"/>
    <cellStyle name="Normal 16 6 3 4 3" xfId="9888"/>
    <cellStyle name="Normal 16 6 3 5" xfId="7771"/>
    <cellStyle name="Normal 16 6 3 5 2" xfId="10670"/>
    <cellStyle name="Normal 16 6 3 6" xfId="9230"/>
    <cellStyle name="Normal 16 6 3 7" xfId="6255"/>
    <cellStyle name="Normal 16 6 4" xfId="901"/>
    <cellStyle name="Normal 16 6 4 2" xfId="7220"/>
    <cellStyle name="Normal 16 6 4 2 2" xfId="8697"/>
    <cellStyle name="Normal 16 6 4 2 2 2" xfId="11594"/>
    <cellStyle name="Normal 16 6 4 2 3" xfId="10154"/>
    <cellStyle name="Normal 16 6 4 3" xfId="8039"/>
    <cellStyle name="Normal 16 6 4 3 2" xfId="10936"/>
    <cellStyle name="Normal 16 6 4 4" xfId="9496"/>
    <cellStyle name="Normal 16 6 4 5" xfId="6544"/>
    <cellStyle name="Normal 16 6 5" xfId="902"/>
    <cellStyle name="Normal 16 6 5 2" xfId="6987"/>
    <cellStyle name="Normal 16 6 5 2 2" xfId="8464"/>
    <cellStyle name="Normal 16 6 5 2 2 2" xfId="11361"/>
    <cellStyle name="Normal 16 6 5 2 3" xfId="9921"/>
    <cellStyle name="Normal 16 6 5 3" xfId="7805"/>
    <cellStyle name="Normal 16 6 5 3 2" xfId="10703"/>
    <cellStyle name="Normal 16 6 5 4" xfId="9263"/>
    <cellStyle name="Normal 16 6 5 5" xfId="6308"/>
    <cellStyle name="Normal 16 6 6" xfId="7453"/>
    <cellStyle name="Normal 16 6 6 2" xfId="8927"/>
    <cellStyle name="Normal 16 6 6 2 2" xfId="11824"/>
    <cellStyle name="Normal 16 6 6 3" xfId="10384"/>
    <cellStyle name="Normal 16 6 7" xfId="7512"/>
    <cellStyle name="Normal 16 6 7 2" xfId="8984"/>
    <cellStyle name="Normal 16 6 7 2 2" xfId="11881"/>
    <cellStyle name="Normal 16 6 7 3" xfId="10441"/>
    <cellStyle name="Normal 16 6 8" xfId="6814"/>
    <cellStyle name="Normal 16 6 8 2" xfId="8294"/>
    <cellStyle name="Normal 16 6 8 2 2" xfId="11191"/>
    <cellStyle name="Normal 16 6 8 3" xfId="9751"/>
    <cellStyle name="Normal 16 6 9" xfId="7633"/>
    <cellStyle name="Normal 16 6 9 2" xfId="10533"/>
    <cellStyle name="Normal 16 7" xfId="903"/>
    <cellStyle name="Normal 16 7 10" xfId="6157"/>
    <cellStyle name="Normal 16 7 2" xfId="904"/>
    <cellStyle name="Normal 16 7 2 2" xfId="905"/>
    <cellStyle name="Normal 16 7 2 2 2" xfId="7362"/>
    <cellStyle name="Normal 16 7 2 2 2 2" xfId="8839"/>
    <cellStyle name="Normal 16 7 2 2 2 2 2" xfId="11736"/>
    <cellStyle name="Normal 16 7 2 2 2 3" xfId="10296"/>
    <cellStyle name="Normal 16 7 2 2 3" xfId="8181"/>
    <cellStyle name="Normal 16 7 2 2 3 2" xfId="11078"/>
    <cellStyle name="Normal 16 7 2 2 4" xfId="9638"/>
    <cellStyle name="Normal 16 7 2 2 5" xfId="6686"/>
    <cellStyle name="Normal 16 7 2 3" xfId="7129"/>
    <cellStyle name="Normal 16 7 2 3 2" xfId="8606"/>
    <cellStyle name="Normal 16 7 2 3 2 2" xfId="11503"/>
    <cellStyle name="Normal 16 7 2 3 3" xfId="10063"/>
    <cellStyle name="Normal 16 7 2 4" xfId="7948"/>
    <cellStyle name="Normal 16 7 2 4 2" xfId="10845"/>
    <cellStyle name="Normal 16 7 2 5" xfId="9405"/>
    <cellStyle name="Normal 16 7 2 6" xfId="6453"/>
    <cellStyle name="Normal 16 7 3" xfId="906"/>
    <cellStyle name="Normal 16 7 3 2" xfId="7246"/>
    <cellStyle name="Normal 16 7 3 2 2" xfId="8723"/>
    <cellStyle name="Normal 16 7 3 2 2 2" xfId="11620"/>
    <cellStyle name="Normal 16 7 3 2 3" xfId="10180"/>
    <cellStyle name="Normal 16 7 3 3" xfId="8065"/>
    <cellStyle name="Normal 16 7 3 3 2" xfId="10962"/>
    <cellStyle name="Normal 16 7 3 4" xfId="9522"/>
    <cellStyle name="Normal 16 7 3 5" xfId="6570"/>
    <cellStyle name="Normal 16 7 4" xfId="907"/>
    <cellStyle name="Normal 16 7 4 2" xfId="7013"/>
    <cellStyle name="Normal 16 7 4 2 2" xfId="8490"/>
    <cellStyle name="Normal 16 7 4 2 2 2" xfId="11387"/>
    <cellStyle name="Normal 16 7 4 2 3" xfId="9947"/>
    <cellStyle name="Normal 16 7 4 3" xfId="7831"/>
    <cellStyle name="Normal 16 7 4 3 2" xfId="10729"/>
    <cellStyle name="Normal 16 7 4 4" xfId="9289"/>
    <cellStyle name="Normal 16 7 4 5" xfId="6334"/>
    <cellStyle name="Normal 16 7 5" xfId="7479"/>
    <cellStyle name="Normal 16 7 5 2" xfId="8953"/>
    <cellStyle name="Normal 16 7 5 2 2" xfId="11850"/>
    <cellStyle name="Normal 16 7 5 3" xfId="10410"/>
    <cellStyle name="Normal 16 7 6" xfId="7538"/>
    <cellStyle name="Normal 16 7 6 2" xfId="9010"/>
    <cellStyle name="Normal 16 7 6 2 2" xfId="11907"/>
    <cellStyle name="Normal 16 7 6 3" xfId="10467"/>
    <cellStyle name="Normal 16 7 7" xfId="6865"/>
    <cellStyle name="Normal 16 7 7 2" xfId="8343"/>
    <cellStyle name="Normal 16 7 7 2 2" xfId="11240"/>
    <cellStyle name="Normal 16 7 7 3" xfId="9800"/>
    <cellStyle name="Normal 16 7 8" xfId="7682"/>
    <cellStyle name="Normal 16 7 8 2" xfId="10582"/>
    <cellStyle name="Normal 16 7 9" xfId="9142"/>
    <cellStyle name="Normal 16 8" xfId="908"/>
    <cellStyle name="Normal 16 8 2" xfId="909"/>
    <cellStyle name="Normal 16 8 2 2" xfId="910"/>
    <cellStyle name="Normal 16 8 2 2 2" xfId="7388"/>
    <cellStyle name="Normal 16 8 2 2 2 2" xfId="8865"/>
    <cellStyle name="Normal 16 8 2 2 2 2 2" xfId="11762"/>
    <cellStyle name="Normal 16 8 2 2 2 3" xfId="10322"/>
    <cellStyle name="Normal 16 8 2 2 3" xfId="8207"/>
    <cellStyle name="Normal 16 8 2 2 3 2" xfId="11104"/>
    <cellStyle name="Normal 16 8 2 2 4" xfId="9664"/>
    <cellStyle name="Normal 16 8 2 2 5" xfId="6712"/>
    <cellStyle name="Normal 16 8 2 3" xfId="7155"/>
    <cellStyle name="Normal 16 8 2 3 2" xfId="8632"/>
    <cellStyle name="Normal 16 8 2 3 2 2" xfId="11529"/>
    <cellStyle name="Normal 16 8 2 3 3" xfId="10089"/>
    <cellStyle name="Normal 16 8 2 4" xfId="7974"/>
    <cellStyle name="Normal 16 8 2 4 2" xfId="10871"/>
    <cellStyle name="Normal 16 8 2 5" xfId="9431"/>
    <cellStyle name="Normal 16 8 2 6" xfId="6479"/>
    <cellStyle name="Normal 16 8 3" xfId="911"/>
    <cellStyle name="Normal 16 8 3 2" xfId="7272"/>
    <cellStyle name="Normal 16 8 3 2 2" xfId="8749"/>
    <cellStyle name="Normal 16 8 3 2 2 2" xfId="11646"/>
    <cellStyle name="Normal 16 8 3 2 3" xfId="10206"/>
    <cellStyle name="Normal 16 8 3 3" xfId="8091"/>
    <cellStyle name="Normal 16 8 3 3 2" xfId="10988"/>
    <cellStyle name="Normal 16 8 3 4" xfId="9548"/>
    <cellStyle name="Normal 16 8 3 5" xfId="6596"/>
    <cellStyle name="Normal 16 8 4" xfId="912"/>
    <cellStyle name="Normal 16 8 4 2" xfId="7039"/>
    <cellStyle name="Normal 16 8 4 2 2" xfId="8516"/>
    <cellStyle name="Normal 16 8 4 2 2 2" xfId="11413"/>
    <cellStyle name="Normal 16 8 4 2 3" xfId="9973"/>
    <cellStyle name="Normal 16 8 4 3" xfId="7857"/>
    <cellStyle name="Normal 16 8 4 3 2" xfId="10755"/>
    <cellStyle name="Normal 16 8 4 4" xfId="9315"/>
    <cellStyle name="Normal 16 8 4 5" xfId="6360"/>
    <cellStyle name="Normal 16 8 5" xfId="6924"/>
    <cellStyle name="Normal 16 8 5 2" xfId="8401"/>
    <cellStyle name="Normal 16 8 5 2 2" xfId="11298"/>
    <cellStyle name="Normal 16 8 5 3" xfId="9858"/>
    <cellStyle name="Normal 16 8 6" xfId="7741"/>
    <cellStyle name="Normal 16 8 6 2" xfId="10640"/>
    <cellStyle name="Normal 16 8 7" xfId="9200"/>
    <cellStyle name="Normal 16 8 8" xfId="6224"/>
    <cellStyle name="Normal 16 9" xfId="913"/>
    <cellStyle name="Normal 16 9 2" xfId="914"/>
    <cellStyle name="Normal 16 9 2 2" xfId="7331"/>
    <cellStyle name="Normal 16 9 2 2 2" xfId="8808"/>
    <cellStyle name="Normal 16 9 2 2 2 2" xfId="11705"/>
    <cellStyle name="Normal 16 9 2 2 3" xfId="10265"/>
    <cellStyle name="Normal 16 9 2 3" xfId="8150"/>
    <cellStyle name="Normal 16 9 2 3 2" xfId="11047"/>
    <cellStyle name="Normal 16 9 2 4" xfId="9607"/>
    <cellStyle name="Normal 16 9 2 5" xfId="6655"/>
    <cellStyle name="Normal 16 9 3" xfId="7097"/>
    <cellStyle name="Normal 16 9 3 2" xfId="8574"/>
    <cellStyle name="Normal 16 9 3 2 2" xfId="11471"/>
    <cellStyle name="Normal 16 9 3 3" xfId="10031"/>
    <cellStyle name="Normal 16 9 4" xfId="7916"/>
    <cellStyle name="Normal 16 9 4 2" xfId="10813"/>
    <cellStyle name="Normal 16 9 5" xfId="9373"/>
    <cellStyle name="Normal 16 9 6" xfId="6420"/>
    <cellStyle name="Normal 17" xfId="915"/>
    <cellStyle name="Normal 17 10" xfId="916"/>
    <cellStyle name="Normal 17 10 2" xfId="7216"/>
    <cellStyle name="Normal 17 10 2 2" xfId="8693"/>
    <cellStyle name="Normal 17 10 2 2 2" xfId="11590"/>
    <cellStyle name="Normal 17 10 2 3" xfId="10150"/>
    <cellStyle name="Normal 17 10 3" xfId="8035"/>
    <cellStyle name="Normal 17 10 3 2" xfId="10932"/>
    <cellStyle name="Normal 17 10 4" xfId="9492"/>
    <cellStyle name="Normal 17 10 5" xfId="6540"/>
    <cellStyle name="Normal 17 11" xfId="917"/>
    <cellStyle name="Normal 17 11 2" xfId="6983"/>
    <cellStyle name="Normal 17 11 2 2" xfId="8460"/>
    <cellStyle name="Normal 17 11 2 2 2" xfId="11357"/>
    <cellStyle name="Normal 17 11 2 3" xfId="9917"/>
    <cellStyle name="Normal 17 11 3" xfId="7801"/>
    <cellStyle name="Normal 17 11 3 2" xfId="10699"/>
    <cellStyle name="Normal 17 11 4" xfId="9259"/>
    <cellStyle name="Normal 17 11 5" xfId="6298"/>
    <cellStyle name="Normal 17 12" xfId="3286"/>
    <cellStyle name="Normal 17 12 2" xfId="8923"/>
    <cellStyle name="Normal 17 12 2 2" xfId="11820"/>
    <cellStyle name="Normal 17 12 3" xfId="10380"/>
    <cellStyle name="Normal 17 12 4" xfId="7447"/>
    <cellStyle name="Normal 17 13" xfId="7507"/>
    <cellStyle name="Normal 17 13 2" xfId="8980"/>
    <cellStyle name="Normal 17 13 2 2" xfId="11877"/>
    <cellStyle name="Normal 17 13 3" xfId="10437"/>
    <cellStyle name="Normal 17 14" xfId="6782"/>
    <cellStyle name="Normal 17 14 2" xfId="8265"/>
    <cellStyle name="Normal 17 14 2 2" xfId="11162"/>
    <cellStyle name="Normal 17 14 3" xfId="9722"/>
    <cellStyle name="Normal 17 15" xfId="7604"/>
    <cellStyle name="Normal 17 15 2" xfId="10505"/>
    <cellStyle name="Normal 17 16" xfId="9064"/>
    <cellStyle name="Normal 17 17" xfId="6060"/>
    <cellStyle name="Normal 17 2" xfId="918"/>
    <cellStyle name="Normal 17 2 10" xfId="7452"/>
    <cellStyle name="Normal 17 2 10 2" xfId="8926"/>
    <cellStyle name="Normal 17 2 10 2 2" xfId="11823"/>
    <cellStyle name="Normal 17 2 10 3" xfId="10383"/>
    <cellStyle name="Normal 17 2 11" xfId="7511"/>
    <cellStyle name="Normal 17 2 11 2" xfId="8983"/>
    <cellStyle name="Normal 17 2 11 2 2" xfId="11880"/>
    <cellStyle name="Normal 17 2 11 3" xfId="10440"/>
    <cellStyle name="Normal 17 2 12" xfId="6789"/>
    <cellStyle name="Normal 17 2 12 2" xfId="8270"/>
    <cellStyle name="Normal 17 2 12 2 2" xfId="11167"/>
    <cellStyle name="Normal 17 2 12 3" xfId="9727"/>
    <cellStyle name="Normal 17 2 13" xfId="7610"/>
    <cellStyle name="Normal 17 2 13 2" xfId="10510"/>
    <cellStyle name="Normal 17 2 14" xfId="9070"/>
    <cellStyle name="Normal 17 2 15" xfId="6073"/>
    <cellStyle name="Normal 17 2 2" xfId="919"/>
    <cellStyle name="Normal 17 2 2 10" xfId="7617"/>
    <cellStyle name="Normal 17 2 2 10 2" xfId="10517"/>
    <cellStyle name="Normal 17 2 2 11" xfId="9077"/>
    <cellStyle name="Normal 17 2 2 12" xfId="6082"/>
    <cellStyle name="Normal 17 2 2 2" xfId="920"/>
    <cellStyle name="Normal 17 2 2 2 10" xfId="9107"/>
    <cellStyle name="Normal 17 2 2 2 11" xfId="6119"/>
    <cellStyle name="Normal 17 2 2 2 2" xfId="921"/>
    <cellStyle name="Normal 17 2 2 2 2 2" xfId="922"/>
    <cellStyle name="Normal 17 2 2 2 2 2 2" xfId="923"/>
    <cellStyle name="Normal 17 2 2 2 2 2 2 2" xfId="7432"/>
    <cellStyle name="Normal 17 2 2 2 2 2 2 2 2" xfId="8909"/>
    <cellStyle name="Normal 17 2 2 2 2 2 2 2 2 2" xfId="11806"/>
    <cellStyle name="Normal 17 2 2 2 2 2 2 2 3" xfId="10366"/>
    <cellStyle name="Normal 17 2 2 2 2 2 2 3" xfId="8251"/>
    <cellStyle name="Normal 17 2 2 2 2 2 2 3 2" xfId="11148"/>
    <cellStyle name="Normal 17 2 2 2 2 2 2 4" xfId="9708"/>
    <cellStyle name="Normal 17 2 2 2 2 2 2 5" xfId="6756"/>
    <cellStyle name="Normal 17 2 2 2 2 2 3" xfId="7199"/>
    <cellStyle name="Normal 17 2 2 2 2 2 3 2" xfId="8676"/>
    <cellStyle name="Normal 17 2 2 2 2 2 3 2 2" xfId="11573"/>
    <cellStyle name="Normal 17 2 2 2 2 2 3 3" xfId="10133"/>
    <cellStyle name="Normal 17 2 2 2 2 2 4" xfId="8018"/>
    <cellStyle name="Normal 17 2 2 2 2 2 4 2" xfId="10915"/>
    <cellStyle name="Normal 17 2 2 2 2 2 5" xfId="9475"/>
    <cellStyle name="Normal 17 2 2 2 2 2 6" xfId="6523"/>
    <cellStyle name="Normal 17 2 2 2 2 3" xfId="924"/>
    <cellStyle name="Normal 17 2 2 2 2 3 2" xfId="7316"/>
    <cellStyle name="Normal 17 2 2 2 2 3 2 2" xfId="8793"/>
    <cellStyle name="Normal 17 2 2 2 2 3 2 2 2" xfId="11690"/>
    <cellStyle name="Normal 17 2 2 2 2 3 2 3" xfId="10250"/>
    <cellStyle name="Normal 17 2 2 2 2 3 3" xfId="8135"/>
    <cellStyle name="Normal 17 2 2 2 2 3 3 2" xfId="11032"/>
    <cellStyle name="Normal 17 2 2 2 2 3 4" xfId="9592"/>
    <cellStyle name="Normal 17 2 2 2 2 3 5" xfId="6640"/>
    <cellStyle name="Normal 17 2 2 2 2 4" xfId="925"/>
    <cellStyle name="Normal 17 2 2 2 2 4 2" xfId="7083"/>
    <cellStyle name="Normal 17 2 2 2 2 4 2 2" xfId="8560"/>
    <cellStyle name="Normal 17 2 2 2 2 4 2 2 2" xfId="11457"/>
    <cellStyle name="Normal 17 2 2 2 2 4 2 3" xfId="10017"/>
    <cellStyle name="Normal 17 2 2 2 2 4 3" xfId="7901"/>
    <cellStyle name="Normal 17 2 2 2 2 4 3 2" xfId="10799"/>
    <cellStyle name="Normal 17 2 2 2 2 4 4" xfId="9359"/>
    <cellStyle name="Normal 17 2 2 2 2 4 5" xfId="6404"/>
    <cellStyle name="Normal 17 2 2 2 2 5" xfId="6911"/>
    <cellStyle name="Normal 17 2 2 2 2 5 2" xfId="8389"/>
    <cellStyle name="Normal 17 2 2 2 2 5 2 2" xfId="11286"/>
    <cellStyle name="Normal 17 2 2 2 2 5 3" xfId="9846"/>
    <cellStyle name="Normal 17 2 2 2 2 6" xfId="7728"/>
    <cellStyle name="Normal 17 2 2 2 2 6 2" xfId="10628"/>
    <cellStyle name="Normal 17 2 2 2 2 7" xfId="9188"/>
    <cellStyle name="Normal 17 2 2 2 2 8" xfId="6207"/>
    <cellStyle name="Normal 17 2 2 2 3" xfId="926"/>
    <cellStyle name="Normal 17 2 2 2 3 2" xfId="927"/>
    <cellStyle name="Normal 17 2 2 2 3 2 2" xfId="7376"/>
    <cellStyle name="Normal 17 2 2 2 3 2 2 2" xfId="8853"/>
    <cellStyle name="Normal 17 2 2 2 3 2 2 2 2" xfId="11750"/>
    <cellStyle name="Normal 17 2 2 2 3 2 2 3" xfId="10310"/>
    <cellStyle name="Normal 17 2 2 2 3 2 3" xfId="8195"/>
    <cellStyle name="Normal 17 2 2 2 3 2 3 2" xfId="11092"/>
    <cellStyle name="Normal 17 2 2 2 3 2 4" xfId="9652"/>
    <cellStyle name="Normal 17 2 2 2 3 2 5" xfId="6700"/>
    <cellStyle name="Normal 17 2 2 2 3 3" xfId="928"/>
    <cellStyle name="Normal 17 2 2 2 3 3 2" xfId="7143"/>
    <cellStyle name="Normal 17 2 2 2 3 3 2 2" xfId="8620"/>
    <cellStyle name="Normal 17 2 2 2 3 3 2 2 2" xfId="11517"/>
    <cellStyle name="Normal 17 2 2 2 3 3 2 3" xfId="10077"/>
    <cellStyle name="Normal 17 2 2 2 3 3 3" xfId="7962"/>
    <cellStyle name="Normal 17 2 2 2 3 3 3 2" xfId="10859"/>
    <cellStyle name="Normal 17 2 2 2 3 3 4" xfId="9419"/>
    <cellStyle name="Normal 17 2 2 2 3 3 5" xfId="6467"/>
    <cellStyle name="Normal 17 2 2 2 3 4" xfId="6968"/>
    <cellStyle name="Normal 17 2 2 2 3 4 2" xfId="8445"/>
    <cellStyle name="Normal 17 2 2 2 3 4 2 2" xfId="11342"/>
    <cellStyle name="Normal 17 2 2 2 3 4 3" xfId="9902"/>
    <cellStyle name="Normal 17 2 2 2 3 5" xfId="7785"/>
    <cellStyle name="Normal 17 2 2 2 3 5 2" xfId="10684"/>
    <cellStyle name="Normal 17 2 2 2 3 6" xfId="9244"/>
    <cellStyle name="Normal 17 2 2 2 3 7" xfId="6269"/>
    <cellStyle name="Normal 17 2 2 2 4" xfId="929"/>
    <cellStyle name="Normal 17 2 2 2 4 2" xfId="7260"/>
    <cellStyle name="Normal 17 2 2 2 4 2 2" xfId="8737"/>
    <cellStyle name="Normal 17 2 2 2 4 2 2 2" xfId="11634"/>
    <cellStyle name="Normal 17 2 2 2 4 2 3" xfId="10194"/>
    <cellStyle name="Normal 17 2 2 2 4 3" xfId="8079"/>
    <cellStyle name="Normal 17 2 2 2 4 3 2" xfId="10976"/>
    <cellStyle name="Normal 17 2 2 2 4 4" xfId="9536"/>
    <cellStyle name="Normal 17 2 2 2 4 5" xfId="6584"/>
    <cellStyle name="Normal 17 2 2 2 5" xfId="930"/>
    <cellStyle name="Normal 17 2 2 2 5 2" xfId="7027"/>
    <cellStyle name="Normal 17 2 2 2 5 2 2" xfId="8504"/>
    <cellStyle name="Normal 17 2 2 2 5 2 2 2" xfId="11401"/>
    <cellStyle name="Normal 17 2 2 2 5 2 3" xfId="9961"/>
    <cellStyle name="Normal 17 2 2 2 5 3" xfId="7845"/>
    <cellStyle name="Normal 17 2 2 2 5 3 2" xfId="10743"/>
    <cellStyle name="Normal 17 2 2 2 5 4" xfId="9303"/>
    <cellStyle name="Normal 17 2 2 2 5 5" xfId="6348"/>
    <cellStyle name="Normal 17 2 2 2 6" xfId="7493"/>
    <cellStyle name="Normal 17 2 2 2 6 2" xfId="8967"/>
    <cellStyle name="Normal 17 2 2 2 6 2 2" xfId="11864"/>
    <cellStyle name="Normal 17 2 2 2 6 3" xfId="10424"/>
    <cellStyle name="Normal 17 2 2 2 7" xfId="7552"/>
    <cellStyle name="Normal 17 2 2 2 7 2" xfId="9024"/>
    <cellStyle name="Normal 17 2 2 2 7 2 2" xfId="11921"/>
    <cellStyle name="Normal 17 2 2 2 7 3" xfId="10481"/>
    <cellStyle name="Normal 17 2 2 2 8" xfId="6828"/>
    <cellStyle name="Normal 17 2 2 2 8 2" xfId="8308"/>
    <cellStyle name="Normal 17 2 2 2 8 2 2" xfId="11205"/>
    <cellStyle name="Normal 17 2 2 2 8 3" xfId="9765"/>
    <cellStyle name="Normal 17 2 2 2 9" xfId="7647"/>
    <cellStyle name="Normal 17 2 2 2 9 2" xfId="10547"/>
    <cellStyle name="Normal 17 2 2 3" xfId="931"/>
    <cellStyle name="Normal 17 2 2 3 2" xfId="932"/>
    <cellStyle name="Normal 17 2 2 3 2 2" xfId="933"/>
    <cellStyle name="Normal 17 2 2 3 2 2 2" xfId="7402"/>
    <cellStyle name="Normal 17 2 2 3 2 2 2 2" xfId="8879"/>
    <cellStyle name="Normal 17 2 2 3 2 2 2 2 2" xfId="11776"/>
    <cellStyle name="Normal 17 2 2 3 2 2 2 3" xfId="10336"/>
    <cellStyle name="Normal 17 2 2 3 2 2 3" xfId="8221"/>
    <cellStyle name="Normal 17 2 2 3 2 2 3 2" xfId="11118"/>
    <cellStyle name="Normal 17 2 2 3 2 2 4" xfId="9678"/>
    <cellStyle name="Normal 17 2 2 3 2 2 5" xfId="6726"/>
    <cellStyle name="Normal 17 2 2 3 2 3" xfId="7169"/>
    <cellStyle name="Normal 17 2 2 3 2 3 2" xfId="8646"/>
    <cellStyle name="Normal 17 2 2 3 2 3 2 2" xfId="11543"/>
    <cellStyle name="Normal 17 2 2 3 2 3 3" xfId="10103"/>
    <cellStyle name="Normal 17 2 2 3 2 4" xfId="7988"/>
    <cellStyle name="Normal 17 2 2 3 2 4 2" xfId="10885"/>
    <cellStyle name="Normal 17 2 2 3 2 5" xfId="9445"/>
    <cellStyle name="Normal 17 2 2 3 2 6" xfId="6493"/>
    <cellStyle name="Normal 17 2 2 3 3" xfId="934"/>
    <cellStyle name="Normal 17 2 2 3 3 2" xfId="7286"/>
    <cellStyle name="Normal 17 2 2 3 3 2 2" xfId="8763"/>
    <cellStyle name="Normal 17 2 2 3 3 2 2 2" xfId="11660"/>
    <cellStyle name="Normal 17 2 2 3 3 2 3" xfId="10220"/>
    <cellStyle name="Normal 17 2 2 3 3 3" xfId="8105"/>
    <cellStyle name="Normal 17 2 2 3 3 3 2" xfId="11002"/>
    <cellStyle name="Normal 17 2 2 3 3 4" xfId="9562"/>
    <cellStyle name="Normal 17 2 2 3 3 5" xfId="6610"/>
    <cellStyle name="Normal 17 2 2 3 4" xfId="935"/>
    <cellStyle name="Normal 17 2 2 3 4 2" xfId="7053"/>
    <cellStyle name="Normal 17 2 2 3 4 2 2" xfId="8530"/>
    <cellStyle name="Normal 17 2 2 3 4 2 2 2" xfId="11427"/>
    <cellStyle name="Normal 17 2 2 3 4 2 3" xfId="9987"/>
    <cellStyle name="Normal 17 2 2 3 4 3" xfId="7871"/>
    <cellStyle name="Normal 17 2 2 3 4 3 2" xfId="10769"/>
    <cellStyle name="Normal 17 2 2 3 4 4" xfId="9329"/>
    <cellStyle name="Normal 17 2 2 3 4 5" xfId="6374"/>
    <cellStyle name="Normal 17 2 2 3 5" xfId="6881"/>
    <cellStyle name="Normal 17 2 2 3 5 2" xfId="8359"/>
    <cellStyle name="Normal 17 2 2 3 5 2 2" xfId="11256"/>
    <cellStyle name="Normal 17 2 2 3 5 3" xfId="9816"/>
    <cellStyle name="Normal 17 2 2 3 6" xfId="7698"/>
    <cellStyle name="Normal 17 2 2 3 6 2" xfId="10598"/>
    <cellStyle name="Normal 17 2 2 3 7" xfId="9158"/>
    <cellStyle name="Normal 17 2 2 3 8" xfId="6176"/>
    <cellStyle name="Normal 17 2 2 4" xfId="936"/>
    <cellStyle name="Normal 17 2 2 4 2" xfId="937"/>
    <cellStyle name="Normal 17 2 2 4 2 2" xfId="7350"/>
    <cellStyle name="Normal 17 2 2 4 2 2 2" xfId="8827"/>
    <cellStyle name="Normal 17 2 2 4 2 2 2 2" xfId="11724"/>
    <cellStyle name="Normal 17 2 2 4 2 2 3" xfId="10284"/>
    <cellStyle name="Normal 17 2 2 4 2 3" xfId="8169"/>
    <cellStyle name="Normal 17 2 2 4 2 3 2" xfId="11066"/>
    <cellStyle name="Normal 17 2 2 4 2 4" xfId="9626"/>
    <cellStyle name="Normal 17 2 2 4 2 5" xfId="6674"/>
    <cellStyle name="Normal 17 2 2 4 3" xfId="938"/>
    <cellStyle name="Normal 17 2 2 4 3 2" xfId="7117"/>
    <cellStyle name="Normal 17 2 2 4 3 2 2" xfId="8594"/>
    <cellStyle name="Normal 17 2 2 4 3 2 2 2" xfId="11491"/>
    <cellStyle name="Normal 17 2 2 4 3 2 3" xfId="10051"/>
    <cellStyle name="Normal 17 2 2 4 3 3" xfId="7936"/>
    <cellStyle name="Normal 17 2 2 4 3 3 2" xfId="10833"/>
    <cellStyle name="Normal 17 2 2 4 3 4" xfId="9393"/>
    <cellStyle name="Normal 17 2 2 4 3 5" xfId="6441"/>
    <cellStyle name="Normal 17 2 2 4 4" xfId="6938"/>
    <cellStyle name="Normal 17 2 2 4 4 2" xfId="8415"/>
    <cellStyle name="Normal 17 2 2 4 4 2 2" xfId="11312"/>
    <cellStyle name="Normal 17 2 2 4 4 3" xfId="9872"/>
    <cellStyle name="Normal 17 2 2 4 5" xfId="7755"/>
    <cellStyle name="Normal 17 2 2 4 5 2" xfId="10654"/>
    <cellStyle name="Normal 17 2 2 4 6" xfId="9214"/>
    <cellStyle name="Normal 17 2 2 4 7" xfId="6239"/>
    <cellStyle name="Normal 17 2 2 5" xfId="939"/>
    <cellStyle name="Normal 17 2 2 5 2" xfId="7234"/>
    <cellStyle name="Normal 17 2 2 5 2 2" xfId="8711"/>
    <cellStyle name="Normal 17 2 2 5 2 2 2" xfId="11608"/>
    <cellStyle name="Normal 17 2 2 5 2 3" xfId="10168"/>
    <cellStyle name="Normal 17 2 2 5 3" xfId="8053"/>
    <cellStyle name="Normal 17 2 2 5 3 2" xfId="10950"/>
    <cellStyle name="Normal 17 2 2 5 4" xfId="9510"/>
    <cellStyle name="Normal 17 2 2 5 5" xfId="6558"/>
    <cellStyle name="Normal 17 2 2 6" xfId="940"/>
    <cellStyle name="Normal 17 2 2 6 2" xfId="7001"/>
    <cellStyle name="Normal 17 2 2 6 2 2" xfId="8478"/>
    <cellStyle name="Normal 17 2 2 6 2 2 2" xfId="11375"/>
    <cellStyle name="Normal 17 2 2 6 2 3" xfId="9935"/>
    <cellStyle name="Normal 17 2 2 6 3" xfId="7819"/>
    <cellStyle name="Normal 17 2 2 6 3 2" xfId="10717"/>
    <cellStyle name="Normal 17 2 2 6 4" xfId="9277"/>
    <cellStyle name="Normal 17 2 2 6 5" xfId="6322"/>
    <cellStyle name="Normal 17 2 2 7" xfId="7467"/>
    <cellStyle name="Normal 17 2 2 7 2" xfId="8941"/>
    <cellStyle name="Normal 17 2 2 7 2 2" xfId="11838"/>
    <cellStyle name="Normal 17 2 2 7 3" xfId="10398"/>
    <cellStyle name="Normal 17 2 2 8" xfId="7526"/>
    <cellStyle name="Normal 17 2 2 8 2" xfId="8998"/>
    <cellStyle name="Normal 17 2 2 8 2 2" xfId="11895"/>
    <cellStyle name="Normal 17 2 2 8 3" xfId="10455"/>
    <cellStyle name="Normal 17 2 2 9" xfId="6797"/>
    <cellStyle name="Normal 17 2 2 9 2" xfId="8278"/>
    <cellStyle name="Normal 17 2 2 9 2 2" xfId="11175"/>
    <cellStyle name="Normal 17 2 2 9 3" xfId="9735"/>
    <cellStyle name="Normal 17 2 3" xfId="941"/>
    <cellStyle name="Normal 17 2 3 10" xfId="7625"/>
    <cellStyle name="Normal 17 2 3 10 2" xfId="10525"/>
    <cellStyle name="Normal 17 2 3 11" xfId="9085"/>
    <cellStyle name="Normal 17 2 3 12" xfId="6090"/>
    <cellStyle name="Normal 17 2 3 2" xfId="942"/>
    <cellStyle name="Normal 17 2 3 2 10" xfId="9115"/>
    <cellStyle name="Normal 17 2 3 2 11" xfId="6127"/>
    <cellStyle name="Normal 17 2 3 2 2" xfId="943"/>
    <cellStyle name="Normal 17 2 3 2 2 2" xfId="944"/>
    <cellStyle name="Normal 17 2 3 2 2 2 2" xfId="945"/>
    <cellStyle name="Normal 17 2 3 2 2 2 2 2" xfId="7440"/>
    <cellStyle name="Normal 17 2 3 2 2 2 2 2 2" xfId="8917"/>
    <cellStyle name="Normal 17 2 3 2 2 2 2 2 2 2" xfId="11814"/>
    <cellStyle name="Normal 17 2 3 2 2 2 2 2 3" xfId="10374"/>
    <cellStyle name="Normal 17 2 3 2 2 2 2 3" xfId="8259"/>
    <cellStyle name="Normal 17 2 3 2 2 2 2 3 2" xfId="11156"/>
    <cellStyle name="Normal 17 2 3 2 2 2 2 4" xfId="9716"/>
    <cellStyle name="Normal 17 2 3 2 2 2 2 5" xfId="6764"/>
    <cellStyle name="Normal 17 2 3 2 2 2 3" xfId="7207"/>
    <cellStyle name="Normal 17 2 3 2 2 2 3 2" xfId="8684"/>
    <cellStyle name="Normal 17 2 3 2 2 2 3 2 2" xfId="11581"/>
    <cellStyle name="Normal 17 2 3 2 2 2 3 3" xfId="10141"/>
    <cellStyle name="Normal 17 2 3 2 2 2 4" xfId="8026"/>
    <cellStyle name="Normal 17 2 3 2 2 2 4 2" xfId="10923"/>
    <cellStyle name="Normal 17 2 3 2 2 2 5" xfId="9483"/>
    <cellStyle name="Normal 17 2 3 2 2 2 6" xfId="6531"/>
    <cellStyle name="Normal 17 2 3 2 2 3" xfId="946"/>
    <cellStyle name="Normal 17 2 3 2 2 3 2" xfId="7324"/>
    <cellStyle name="Normal 17 2 3 2 2 3 2 2" xfId="8801"/>
    <cellStyle name="Normal 17 2 3 2 2 3 2 2 2" xfId="11698"/>
    <cellStyle name="Normal 17 2 3 2 2 3 2 3" xfId="10258"/>
    <cellStyle name="Normal 17 2 3 2 2 3 3" xfId="8143"/>
    <cellStyle name="Normal 17 2 3 2 2 3 3 2" xfId="11040"/>
    <cellStyle name="Normal 17 2 3 2 2 3 4" xfId="9600"/>
    <cellStyle name="Normal 17 2 3 2 2 3 5" xfId="6648"/>
    <cellStyle name="Normal 17 2 3 2 2 4" xfId="947"/>
    <cellStyle name="Normal 17 2 3 2 2 4 2" xfId="7091"/>
    <cellStyle name="Normal 17 2 3 2 2 4 2 2" xfId="8568"/>
    <cellStyle name="Normal 17 2 3 2 2 4 2 2 2" xfId="11465"/>
    <cellStyle name="Normal 17 2 3 2 2 4 2 3" xfId="10025"/>
    <cellStyle name="Normal 17 2 3 2 2 4 3" xfId="7909"/>
    <cellStyle name="Normal 17 2 3 2 2 4 3 2" xfId="10807"/>
    <cellStyle name="Normal 17 2 3 2 2 4 4" xfId="9367"/>
    <cellStyle name="Normal 17 2 3 2 2 4 5" xfId="6412"/>
    <cellStyle name="Normal 17 2 3 2 2 5" xfId="6919"/>
    <cellStyle name="Normal 17 2 3 2 2 5 2" xfId="8397"/>
    <cellStyle name="Normal 17 2 3 2 2 5 2 2" xfId="11294"/>
    <cellStyle name="Normal 17 2 3 2 2 5 3" xfId="9854"/>
    <cellStyle name="Normal 17 2 3 2 2 6" xfId="7736"/>
    <cellStyle name="Normal 17 2 3 2 2 6 2" xfId="10636"/>
    <cellStyle name="Normal 17 2 3 2 2 7" xfId="9196"/>
    <cellStyle name="Normal 17 2 3 2 2 8" xfId="6215"/>
    <cellStyle name="Normal 17 2 3 2 3" xfId="948"/>
    <cellStyle name="Normal 17 2 3 2 3 2" xfId="949"/>
    <cellStyle name="Normal 17 2 3 2 3 2 2" xfId="7384"/>
    <cellStyle name="Normal 17 2 3 2 3 2 2 2" xfId="8861"/>
    <cellStyle name="Normal 17 2 3 2 3 2 2 2 2" xfId="11758"/>
    <cellStyle name="Normal 17 2 3 2 3 2 2 3" xfId="10318"/>
    <cellStyle name="Normal 17 2 3 2 3 2 3" xfId="8203"/>
    <cellStyle name="Normal 17 2 3 2 3 2 3 2" xfId="11100"/>
    <cellStyle name="Normal 17 2 3 2 3 2 4" xfId="9660"/>
    <cellStyle name="Normal 17 2 3 2 3 2 5" xfId="6708"/>
    <cellStyle name="Normal 17 2 3 2 3 3" xfId="950"/>
    <cellStyle name="Normal 17 2 3 2 3 3 2" xfId="7151"/>
    <cellStyle name="Normal 17 2 3 2 3 3 2 2" xfId="8628"/>
    <cellStyle name="Normal 17 2 3 2 3 3 2 2 2" xfId="11525"/>
    <cellStyle name="Normal 17 2 3 2 3 3 2 3" xfId="10085"/>
    <cellStyle name="Normal 17 2 3 2 3 3 3" xfId="7970"/>
    <cellStyle name="Normal 17 2 3 2 3 3 3 2" xfId="10867"/>
    <cellStyle name="Normal 17 2 3 2 3 3 4" xfId="9427"/>
    <cellStyle name="Normal 17 2 3 2 3 3 5" xfId="6475"/>
    <cellStyle name="Normal 17 2 3 2 3 4" xfId="6976"/>
    <cellStyle name="Normal 17 2 3 2 3 4 2" xfId="8453"/>
    <cellStyle name="Normal 17 2 3 2 3 4 2 2" xfId="11350"/>
    <cellStyle name="Normal 17 2 3 2 3 4 3" xfId="9910"/>
    <cellStyle name="Normal 17 2 3 2 3 5" xfId="7793"/>
    <cellStyle name="Normal 17 2 3 2 3 5 2" xfId="10692"/>
    <cellStyle name="Normal 17 2 3 2 3 6" xfId="9252"/>
    <cellStyle name="Normal 17 2 3 2 3 7" xfId="6277"/>
    <cellStyle name="Normal 17 2 3 2 4" xfId="951"/>
    <cellStyle name="Normal 17 2 3 2 4 2" xfId="7268"/>
    <cellStyle name="Normal 17 2 3 2 4 2 2" xfId="8745"/>
    <cellStyle name="Normal 17 2 3 2 4 2 2 2" xfId="11642"/>
    <cellStyle name="Normal 17 2 3 2 4 2 3" xfId="10202"/>
    <cellStyle name="Normal 17 2 3 2 4 3" xfId="8087"/>
    <cellStyle name="Normal 17 2 3 2 4 3 2" xfId="10984"/>
    <cellStyle name="Normal 17 2 3 2 4 4" xfId="9544"/>
    <cellStyle name="Normal 17 2 3 2 4 5" xfId="6592"/>
    <cellStyle name="Normal 17 2 3 2 5" xfId="952"/>
    <cellStyle name="Normal 17 2 3 2 5 2" xfId="7035"/>
    <cellStyle name="Normal 17 2 3 2 5 2 2" xfId="8512"/>
    <cellStyle name="Normal 17 2 3 2 5 2 2 2" xfId="11409"/>
    <cellStyle name="Normal 17 2 3 2 5 2 3" xfId="9969"/>
    <cellStyle name="Normal 17 2 3 2 5 3" xfId="7853"/>
    <cellStyle name="Normal 17 2 3 2 5 3 2" xfId="10751"/>
    <cellStyle name="Normal 17 2 3 2 5 4" xfId="9311"/>
    <cellStyle name="Normal 17 2 3 2 5 5" xfId="6356"/>
    <cellStyle name="Normal 17 2 3 2 6" xfId="7501"/>
    <cellStyle name="Normal 17 2 3 2 6 2" xfId="8975"/>
    <cellStyle name="Normal 17 2 3 2 6 2 2" xfId="11872"/>
    <cellStyle name="Normal 17 2 3 2 6 3" xfId="10432"/>
    <cellStyle name="Normal 17 2 3 2 7" xfId="7560"/>
    <cellStyle name="Normal 17 2 3 2 7 2" xfId="9032"/>
    <cellStyle name="Normal 17 2 3 2 7 2 2" xfId="11929"/>
    <cellStyle name="Normal 17 2 3 2 7 3" xfId="10489"/>
    <cellStyle name="Normal 17 2 3 2 8" xfId="6836"/>
    <cellStyle name="Normal 17 2 3 2 8 2" xfId="8316"/>
    <cellStyle name="Normal 17 2 3 2 8 2 2" xfId="11213"/>
    <cellStyle name="Normal 17 2 3 2 8 3" xfId="9773"/>
    <cellStyle name="Normal 17 2 3 2 9" xfId="7655"/>
    <cellStyle name="Normal 17 2 3 2 9 2" xfId="10555"/>
    <cellStyle name="Normal 17 2 3 3" xfId="953"/>
    <cellStyle name="Normal 17 2 3 3 2" xfId="954"/>
    <cellStyle name="Normal 17 2 3 3 2 2" xfId="955"/>
    <cellStyle name="Normal 17 2 3 3 2 2 2" xfId="7410"/>
    <cellStyle name="Normal 17 2 3 3 2 2 2 2" xfId="8887"/>
    <cellStyle name="Normal 17 2 3 3 2 2 2 2 2" xfId="11784"/>
    <cellStyle name="Normal 17 2 3 3 2 2 2 3" xfId="10344"/>
    <cellStyle name="Normal 17 2 3 3 2 2 3" xfId="8229"/>
    <cellStyle name="Normal 17 2 3 3 2 2 3 2" xfId="11126"/>
    <cellStyle name="Normal 17 2 3 3 2 2 4" xfId="9686"/>
    <cellStyle name="Normal 17 2 3 3 2 2 5" xfId="6734"/>
    <cellStyle name="Normal 17 2 3 3 2 3" xfId="7177"/>
    <cellStyle name="Normal 17 2 3 3 2 3 2" xfId="8654"/>
    <cellStyle name="Normal 17 2 3 3 2 3 2 2" xfId="11551"/>
    <cellStyle name="Normal 17 2 3 3 2 3 3" xfId="10111"/>
    <cellStyle name="Normal 17 2 3 3 2 4" xfId="7996"/>
    <cellStyle name="Normal 17 2 3 3 2 4 2" xfId="10893"/>
    <cellStyle name="Normal 17 2 3 3 2 5" xfId="9453"/>
    <cellStyle name="Normal 17 2 3 3 2 6" xfId="6501"/>
    <cellStyle name="Normal 17 2 3 3 3" xfId="956"/>
    <cellStyle name="Normal 17 2 3 3 3 2" xfId="7294"/>
    <cellStyle name="Normal 17 2 3 3 3 2 2" xfId="8771"/>
    <cellStyle name="Normal 17 2 3 3 3 2 2 2" xfId="11668"/>
    <cellStyle name="Normal 17 2 3 3 3 2 3" xfId="10228"/>
    <cellStyle name="Normal 17 2 3 3 3 3" xfId="8113"/>
    <cellStyle name="Normal 17 2 3 3 3 3 2" xfId="11010"/>
    <cellStyle name="Normal 17 2 3 3 3 4" xfId="9570"/>
    <cellStyle name="Normal 17 2 3 3 3 5" xfId="6618"/>
    <cellStyle name="Normal 17 2 3 3 4" xfId="957"/>
    <cellStyle name="Normal 17 2 3 3 4 2" xfId="7061"/>
    <cellStyle name="Normal 17 2 3 3 4 2 2" xfId="8538"/>
    <cellStyle name="Normal 17 2 3 3 4 2 2 2" xfId="11435"/>
    <cellStyle name="Normal 17 2 3 3 4 2 3" xfId="9995"/>
    <cellStyle name="Normal 17 2 3 3 4 3" xfId="7879"/>
    <cellStyle name="Normal 17 2 3 3 4 3 2" xfId="10777"/>
    <cellStyle name="Normal 17 2 3 3 4 4" xfId="9337"/>
    <cellStyle name="Normal 17 2 3 3 4 5" xfId="6382"/>
    <cellStyle name="Normal 17 2 3 3 5" xfId="6889"/>
    <cellStyle name="Normal 17 2 3 3 5 2" xfId="8367"/>
    <cellStyle name="Normal 17 2 3 3 5 2 2" xfId="11264"/>
    <cellStyle name="Normal 17 2 3 3 5 3" xfId="9824"/>
    <cellStyle name="Normal 17 2 3 3 6" xfId="7706"/>
    <cellStyle name="Normal 17 2 3 3 6 2" xfId="10606"/>
    <cellStyle name="Normal 17 2 3 3 7" xfId="9166"/>
    <cellStyle name="Normal 17 2 3 3 8" xfId="6184"/>
    <cellStyle name="Normal 17 2 3 4" xfId="958"/>
    <cellStyle name="Normal 17 2 3 4 2" xfId="959"/>
    <cellStyle name="Normal 17 2 3 4 2 2" xfId="7358"/>
    <cellStyle name="Normal 17 2 3 4 2 2 2" xfId="8835"/>
    <cellStyle name="Normal 17 2 3 4 2 2 2 2" xfId="11732"/>
    <cellStyle name="Normal 17 2 3 4 2 2 3" xfId="10292"/>
    <cellStyle name="Normal 17 2 3 4 2 3" xfId="8177"/>
    <cellStyle name="Normal 17 2 3 4 2 3 2" xfId="11074"/>
    <cellStyle name="Normal 17 2 3 4 2 4" xfId="9634"/>
    <cellStyle name="Normal 17 2 3 4 2 5" xfId="6682"/>
    <cellStyle name="Normal 17 2 3 4 3" xfId="960"/>
    <cellStyle name="Normal 17 2 3 4 3 2" xfId="7125"/>
    <cellStyle name="Normal 17 2 3 4 3 2 2" xfId="8602"/>
    <cellStyle name="Normal 17 2 3 4 3 2 2 2" xfId="11499"/>
    <cellStyle name="Normal 17 2 3 4 3 2 3" xfId="10059"/>
    <cellStyle name="Normal 17 2 3 4 3 3" xfId="7944"/>
    <cellStyle name="Normal 17 2 3 4 3 3 2" xfId="10841"/>
    <cellStyle name="Normal 17 2 3 4 3 4" xfId="9401"/>
    <cellStyle name="Normal 17 2 3 4 3 5" xfId="6449"/>
    <cellStyle name="Normal 17 2 3 4 4" xfId="6946"/>
    <cellStyle name="Normal 17 2 3 4 4 2" xfId="8423"/>
    <cellStyle name="Normal 17 2 3 4 4 2 2" xfId="11320"/>
    <cellStyle name="Normal 17 2 3 4 4 3" xfId="9880"/>
    <cellStyle name="Normal 17 2 3 4 5" xfId="7763"/>
    <cellStyle name="Normal 17 2 3 4 5 2" xfId="10662"/>
    <cellStyle name="Normal 17 2 3 4 6" xfId="9222"/>
    <cellStyle name="Normal 17 2 3 4 7" xfId="6247"/>
    <cellStyle name="Normal 17 2 3 5" xfId="961"/>
    <cellStyle name="Normal 17 2 3 5 2" xfId="7242"/>
    <cellStyle name="Normal 17 2 3 5 2 2" xfId="8719"/>
    <cellStyle name="Normal 17 2 3 5 2 2 2" xfId="11616"/>
    <cellStyle name="Normal 17 2 3 5 2 3" xfId="10176"/>
    <cellStyle name="Normal 17 2 3 5 3" xfId="8061"/>
    <cellStyle name="Normal 17 2 3 5 3 2" xfId="10958"/>
    <cellStyle name="Normal 17 2 3 5 4" xfId="9518"/>
    <cellStyle name="Normal 17 2 3 5 5" xfId="6566"/>
    <cellStyle name="Normal 17 2 3 6" xfId="962"/>
    <cellStyle name="Normal 17 2 3 6 2" xfId="7009"/>
    <cellStyle name="Normal 17 2 3 6 2 2" xfId="8486"/>
    <cellStyle name="Normal 17 2 3 6 2 2 2" xfId="11383"/>
    <cellStyle name="Normal 17 2 3 6 2 3" xfId="9943"/>
    <cellStyle name="Normal 17 2 3 6 3" xfId="7827"/>
    <cellStyle name="Normal 17 2 3 6 3 2" xfId="10725"/>
    <cellStyle name="Normal 17 2 3 6 4" xfId="9285"/>
    <cellStyle name="Normal 17 2 3 6 5" xfId="6330"/>
    <cellStyle name="Normal 17 2 3 7" xfId="7475"/>
    <cellStyle name="Normal 17 2 3 7 2" xfId="8949"/>
    <cellStyle name="Normal 17 2 3 7 2 2" xfId="11846"/>
    <cellStyle name="Normal 17 2 3 7 3" xfId="10406"/>
    <cellStyle name="Normal 17 2 3 8" xfId="7534"/>
    <cellStyle name="Normal 17 2 3 8 2" xfId="9006"/>
    <cellStyle name="Normal 17 2 3 8 2 2" xfId="11903"/>
    <cellStyle name="Normal 17 2 3 8 3" xfId="10463"/>
    <cellStyle name="Normal 17 2 3 9" xfId="6805"/>
    <cellStyle name="Normal 17 2 3 9 2" xfId="8286"/>
    <cellStyle name="Normal 17 2 3 9 2 2" xfId="11183"/>
    <cellStyle name="Normal 17 2 3 9 3" xfId="9743"/>
    <cellStyle name="Normal 17 2 4" xfId="963"/>
    <cellStyle name="Normal 17 2 4 10" xfId="9099"/>
    <cellStyle name="Normal 17 2 4 11" xfId="6111"/>
    <cellStyle name="Normal 17 2 4 2" xfId="964"/>
    <cellStyle name="Normal 17 2 4 2 2" xfId="965"/>
    <cellStyle name="Normal 17 2 4 2 2 2" xfId="966"/>
    <cellStyle name="Normal 17 2 4 2 2 2 2" xfId="7424"/>
    <cellStyle name="Normal 17 2 4 2 2 2 2 2" xfId="8901"/>
    <cellStyle name="Normal 17 2 4 2 2 2 2 2 2" xfId="11798"/>
    <cellStyle name="Normal 17 2 4 2 2 2 2 3" xfId="10358"/>
    <cellStyle name="Normal 17 2 4 2 2 2 3" xfId="8243"/>
    <cellStyle name="Normal 17 2 4 2 2 2 3 2" xfId="11140"/>
    <cellStyle name="Normal 17 2 4 2 2 2 4" xfId="9700"/>
    <cellStyle name="Normal 17 2 4 2 2 2 5" xfId="6748"/>
    <cellStyle name="Normal 17 2 4 2 2 3" xfId="7191"/>
    <cellStyle name="Normal 17 2 4 2 2 3 2" xfId="8668"/>
    <cellStyle name="Normal 17 2 4 2 2 3 2 2" xfId="11565"/>
    <cellStyle name="Normal 17 2 4 2 2 3 3" xfId="10125"/>
    <cellStyle name="Normal 17 2 4 2 2 4" xfId="8010"/>
    <cellStyle name="Normal 17 2 4 2 2 4 2" xfId="10907"/>
    <cellStyle name="Normal 17 2 4 2 2 5" xfId="9467"/>
    <cellStyle name="Normal 17 2 4 2 2 6" xfId="6515"/>
    <cellStyle name="Normal 17 2 4 2 3" xfId="967"/>
    <cellStyle name="Normal 17 2 4 2 3 2" xfId="7308"/>
    <cellStyle name="Normal 17 2 4 2 3 2 2" xfId="8785"/>
    <cellStyle name="Normal 17 2 4 2 3 2 2 2" xfId="11682"/>
    <cellStyle name="Normal 17 2 4 2 3 2 3" xfId="10242"/>
    <cellStyle name="Normal 17 2 4 2 3 3" xfId="8127"/>
    <cellStyle name="Normal 17 2 4 2 3 3 2" xfId="11024"/>
    <cellStyle name="Normal 17 2 4 2 3 4" xfId="9584"/>
    <cellStyle name="Normal 17 2 4 2 3 5" xfId="6632"/>
    <cellStyle name="Normal 17 2 4 2 4" xfId="968"/>
    <cellStyle name="Normal 17 2 4 2 4 2" xfId="7075"/>
    <cellStyle name="Normal 17 2 4 2 4 2 2" xfId="8552"/>
    <cellStyle name="Normal 17 2 4 2 4 2 2 2" xfId="11449"/>
    <cellStyle name="Normal 17 2 4 2 4 2 3" xfId="10009"/>
    <cellStyle name="Normal 17 2 4 2 4 3" xfId="7893"/>
    <cellStyle name="Normal 17 2 4 2 4 3 2" xfId="10791"/>
    <cellStyle name="Normal 17 2 4 2 4 4" xfId="9351"/>
    <cellStyle name="Normal 17 2 4 2 4 5" xfId="6396"/>
    <cellStyle name="Normal 17 2 4 2 5" xfId="6903"/>
    <cellStyle name="Normal 17 2 4 2 5 2" xfId="8381"/>
    <cellStyle name="Normal 17 2 4 2 5 2 2" xfId="11278"/>
    <cellStyle name="Normal 17 2 4 2 5 3" xfId="9838"/>
    <cellStyle name="Normal 17 2 4 2 6" xfId="7720"/>
    <cellStyle name="Normal 17 2 4 2 6 2" xfId="10620"/>
    <cellStyle name="Normal 17 2 4 2 7" xfId="9180"/>
    <cellStyle name="Normal 17 2 4 2 8" xfId="6199"/>
    <cellStyle name="Normal 17 2 4 3" xfId="969"/>
    <cellStyle name="Normal 17 2 4 3 2" xfId="970"/>
    <cellStyle name="Normal 17 2 4 3 2 2" xfId="7342"/>
    <cellStyle name="Normal 17 2 4 3 2 2 2" xfId="8819"/>
    <cellStyle name="Normal 17 2 4 3 2 2 2 2" xfId="11716"/>
    <cellStyle name="Normal 17 2 4 3 2 2 3" xfId="10276"/>
    <cellStyle name="Normal 17 2 4 3 2 3" xfId="8161"/>
    <cellStyle name="Normal 17 2 4 3 2 3 2" xfId="11058"/>
    <cellStyle name="Normal 17 2 4 3 2 4" xfId="9618"/>
    <cellStyle name="Normal 17 2 4 3 2 5" xfId="6666"/>
    <cellStyle name="Normal 17 2 4 3 3" xfId="971"/>
    <cellStyle name="Normal 17 2 4 3 3 2" xfId="7109"/>
    <cellStyle name="Normal 17 2 4 3 3 2 2" xfId="8586"/>
    <cellStyle name="Normal 17 2 4 3 3 2 2 2" xfId="11483"/>
    <cellStyle name="Normal 17 2 4 3 3 2 3" xfId="10043"/>
    <cellStyle name="Normal 17 2 4 3 3 3" xfId="7928"/>
    <cellStyle name="Normal 17 2 4 3 3 3 2" xfId="10825"/>
    <cellStyle name="Normal 17 2 4 3 3 4" xfId="9385"/>
    <cellStyle name="Normal 17 2 4 3 3 5" xfId="6433"/>
    <cellStyle name="Normal 17 2 4 3 4" xfId="6960"/>
    <cellStyle name="Normal 17 2 4 3 4 2" xfId="8437"/>
    <cellStyle name="Normal 17 2 4 3 4 2 2" xfId="11334"/>
    <cellStyle name="Normal 17 2 4 3 4 3" xfId="9894"/>
    <cellStyle name="Normal 17 2 4 3 5" xfId="7777"/>
    <cellStyle name="Normal 17 2 4 3 5 2" xfId="10676"/>
    <cellStyle name="Normal 17 2 4 3 6" xfId="9236"/>
    <cellStyle name="Normal 17 2 4 3 7" xfId="6261"/>
    <cellStyle name="Normal 17 2 4 4" xfId="972"/>
    <cellStyle name="Normal 17 2 4 4 2" xfId="7226"/>
    <cellStyle name="Normal 17 2 4 4 2 2" xfId="8703"/>
    <cellStyle name="Normal 17 2 4 4 2 2 2" xfId="11600"/>
    <cellStyle name="Normal 17 2 4 4 2 3" xfId="10160"/>
    <cellStyle name="Normal 17 2 4 4 3" xfId="8045"/>
    <cellStyle name="Normal 17 2 4 4 3 2" xfId="10942"/>
    <cellStyle name="Normal 17 2 4 4 4" xfId="9502"/>
    <cellStyle name="Normal 17 2 4 4 5" xfId="6550"/>
    <cellStyle name="Normal 17 2 4 5" xfId="973"/>
    <cellStyle name="Normal 17 2 4 5 2" xfId="6993"/>
    <cellStyle name="Normal 17 2 4 5 2 2" xfId="8470"/>
    <cellStyle name="Normal 17 2 4 5 2 2 2" xfId="11367"/>
    <cellStyle name="Normal 17 2 4 5 2 3" xfId="9927"/>
    <cellStyle name="Normal 17 2 4 5 3" xfId="7811"/>
    <cellStyle name="Normal 17 2 4 5 3 2" xfId="10709"/>
    <cellStyle name="Normal 17 2 4 5 4" xfId="9269"/>
    <cellStyle name="Normal 17 2 4 5 5" xfId="6314"/>
    <cellStyle name="Normal 17 2 4 6" xfId="7459"/>
    <cellStyle name="Normal 17 2 4 6 2" xfId="8933"/>
    <cellStyle name="Normal 17 2 4 6 2 2" xfId="11830"/>
    <cellStyle name="Normal 17 2 4 6 3" xfId="10390"/>
    <cellStyle name="Normal 17 2 4 7" xfId="7518"/>
    <cellStyle name="Normal 17 2 4 7 2" xfId="8990"/>
    <cellStyle name="Normal 17 2 4 7 2 2" xfId="11887"/>
    <cellStyle name="Normal 17 2 4 7 3" xfId="10447"/>
    <cellStyle name="Normal 17 2 4 8" xfId="6820"/>
    <cellStyle name="Normal 17 2 4 8 2" xfId="8300"/>
    <cellStyle name="Normal 17 2 4 8 2 2" xfId="11197"/>
    <cellStyle name="Normal 17 2 4 8 3" xfId="9757"/>
    <cellStyle name="Normal 17 2 4 9" xfId="7639"/>
    <cellStyle name="Normal 17 2 4 9 2" xfId="10539"/>
    <cellStyle name="Normal 17 2 5" xfId="974"/>
    <cellStyle name="Normal 17 2 5 10" xfId="6168"/>
    <cellStyle name="Normal 17 2 5 2" xfId="975"/>
    <cellStyle name="Normal 17 2 5 2 2" xfId="976"/>
    <cellStyle name="Normal 17 2 5 2 2 2" xfId="7368"/>
    <cellStyle name="Normal 17 2 5 2 2 2 2" xfId="8845"/>
    <cellStyle name="Normal 17 2 5 2 2 2 2 2" xfId="11742"/>
    <cellStyle name="Normal 17 2 5 2 2 2 3" xfId="10302"/>
    <cellStyle name="Normal 17 2 5 2 2 3" xfId="8187"/>
    <cellStyle name="Normal 17 2 5 2 2 3 2" xfId="11084"/>
    <cellStyle name="Normal 17 2 5 2 2 4" xfId="9644"/>
    <cellStyle name="Normal 17 2 5 2 2 5" xfId="6692"/>
    <cellStyle name="Normal 17 2 5 2 3" xfId="7135"/>
    <cellStyle name="Normal 17 2 5 2 3 2" xfId="8612"/>
    <cellStyle name="Normal 17 2 5 2 3 2 2" xfId="11509"/>
    <cellStyle name="Normal 17 2 5 2 3 3" xfId="10069"/>
    <cellStyle name="Normal 17 2 5 2 4" xfId="7954"/>
    <cellStyle name="Normal 17 2 5 2 4 2" xfId="10851"/>
    <cellStyle name="Normal 17 2 5 2 5" xfId="9411"/>
    <cellStyle name="Normal 17 2 5 2 6" xfId="6459"/>
    <cellStyle name="Normal 17 2 5 3" xfId="977"/>
    <cellStyle name="Normal 17 2 5 3 2" xfId="7252"/>
    <cellStyle name="Normal 17 2 5 3 2 2" xfId="8729"/>
    <cellStyle name="Normal 17 2 5 3 2 2 2" xfId="11626"/>
    <cellStyle name="Normal 17 2 5 3 2 3" xfId="10186"/>
    <cellStyle name="Normal 17 2 5 3 3" xfId="8071"/>
    <cellStyle name="Normal 17 2 5 3 3 2" xfId="10968"/>
    <cellStyle name="Normal 17 2 5 3 4" xfId="9528"/>
    <cellStyle name="Normal 17 2 5 3 5" xfId="6576"/>
    <cellStyle name="Normal 17 2 5 4" xfId="978"/>
    <cellStyle name="Normal 17 2 5 4 2" xfId="7019"/>
    <cellStyle name="Normal 17 2 5 4 2 2" xfId="8496"/>
    <cellStyle name="Normal 17 2 5 4 2 2 2" xfId="11393"/>
    <cellStyle name="Normal 17 2 5 4 2 3" xfId="9953"/>
    <cellStyle name="Normal 17 2 5 4 3" xfId="7837"/>
    <cellStyle name="Normal 17 2 5 4 3 2" xfId="10735"/>
    <cellStyle name="Normal 17 2 5 4 4" xfId="9295"/>
    <cellStyle name="Normal 17 2 5 4 5" xfId="6340"/>
    <cellStyle name="Normal 17 2 5 5" xfId="7485"/>
    <cellStyle name="Normal 17 2 5 5 2" xfId="8959"/>
    <cellStyle name="Normal 17 2 5 5 2 2" xfId="11856"/>
    <cellStyle name="Normal 17 2 5 5 3" xfId="10416"/>
    <cellStyle name="Normal 17 2 5 6" xfId="7544"/>
    <cellStyle name="Normal 17 2 5 6 2" xfId="9016"/>
    <cellStyle name="Normal 17 2 5 6 2 2" xfId="11913"/>
    <cellStyle name="Normal 17 2 5 6 3" xfId="10473"/>
    <cellStyle name="Normal 17 2 5 7" xfId="6873"/>
    <cellStyle name="Normal 17 2 5 7 2" xfId="8351"/>
    <cellStyle name="Normal 17 2 5 7 2 2" xfId="11248"/>
    <cellStyle name="Normal 17 2 5 7 3" xfId="9808"/>
    <cellStyle name="Normal 17 2 5 8" xfId="7690"/>
    <cellStyle name="Normal 17 2 5 8 2" xfId="10590"/>
    <cellStyle name="Normal 17 2 5 9" xfId="9150"/>
    <cellStyle name="Normal 17 2 6" xfId="979"/>
    <cellStyle name="Normal 17 2 6 2" xfId="980"/>
    <cellStyle name="Normal 17 2 6 2 2" xfId="981"/>
    <cellStyle name="Normal 17 2 6 2 2 2" xfId="7394"/>
    <cellStyle name="Normal 17 2 6 2 2 2 2" xfId="8871"/>
    <cellStyle name="Normal 17 2 6 2 2 2 2 2" xfId="11768"/>
    <cellStyle name="Normal 17 2 6 2 2 2 3" xfId="10328"/>
    <cellStyle name="Normal 17 2 6 2 2 3" xfId="8213"/>
    <cellStyle name="Normal 17 2 6 2 2 3 2" xfId="11110"/>
    <cellStyle name="Normal 17 2 6 2 2 4" xfId="9670"/>
    <cellStyle name="Normal 17 2 6 2 2 5" xfId="6718"/>
    <cellStyle name="Normal 17 2 6 2 3" xfId="7161"/>
    <cellStyle name="Normal 17 2 6 2 3 2" xfId="8638"/>
    <cellStyle name="Normal 17 2 6 2 3 2 2" xfId="11535"/>
    <cellStyle name="Normal 17 2 6 2 3 3" xfId="10095"/>
    <cellStyle name="Normal 17 2 6 2 4" xfId="7980"/>
    <cellStyle name="Normal 17 2 6 2 4 2" xfId="10877"/>
    <cellStyle name="Normal 17 2 6 2 5" xfId="9437"/>
    <cellStyle name="Normal 17 2 6 2 6" xfId="6485"/>
    <cellStyle name="Normal 17 2 6 3" xfId="982"/>
    <cellStyle name="Normal 17 2 6 3 2" xfId="7278"/>
    <cellStyle name="Normal 17 2 6 3 2 2" xfId="8755"/>
    <cellStyle name="Normal 17 2 6 3 2 2 2" xfId="11652"/>
    <cellStyle name="Normal 17 2 6 3 2 3" xfId="10212"/>
    <cellStyle name="Normal 17 2 6 3 3" xfId="8097"/>
    <cellStyle name="Normal 17 2 6 3 3 2" xfId="10994"/>
    <cellStyle name="Normal 17 2 6 3 4" xfId="9554"/>
    <cellStyle name="Normal 17 2 6 3 5" xfId="6602"/>
    <cellStyle name="Normal 17 2 6 4" xfId="983"/>
    <cellStyle name="Normal 17 2 6 4 2" xfId="7045"/>
    <cellStyle name="Normal 17 2 6 4 2 2" xfId="8522"/>
    <cellStyle name="Normal 17 2 6 4 2 2 2" xfId="11419"/>
    <cellStyle name="Normal 17 2 6 4 2 3" xfId="9979"/>
    <cellStyle name="Normal 17 2 6 4 3" xfId="7863"/>
    <cellStyle name="Normal 17 2 6 4 3 2" xfId="10761"/>
    <cellStyle name="Normal 17 2 6 4 4" xfId="9321"/>
    <cellStyle name="Normal 17 2 6 4 5" xfId="6366"/>
    <cellStyle name="Normal 17 2 6 5" xfId="6930"/>
    <cellStyle name="Normal 17 2 6 5 2" xfId="8407"/>
    <cellStyle name="Normal 17 2 6 5 2 2" xfId="11304"/>
    <cellStyle name="Normal 17 2 6 5 3" xfId="9864"/>
    <cellStyle name="Normal 17 2 6 6" xfId="7747"/>
    <cellStyle name="Normal 17 2 6 6 2" xfId="10646"/>
    <cellStyle name="Normal 17 2 6 7" xfId="9206"/>
    <cellStyle name="Normal 17 2 6 8" xfId="6231"/>
    <cellStyle name="Normal 17 2 7" xfId="984"/>
    <cellStyle name="Normal 17 2 7 2" xfId="985"/>
    <cellStyle name="Normal 17 2 7 2 2" xfId="7335"/>
    <cellStyle name="Normal 17 2 7 2 2 2" xfId="8812"/>
    <cellStyle name="Normal 17 2 7 2 2 2 2" xfId="11709"/>
    <cellStyle name="Normal 17 2 7 2 2 3" xfId="10269"/>
    <cellStyle name="Normal 17 2 7 2 3" xfId="8154"/>
    <cellStyle name="Normal 17 2 7 2 3 2" xfId="11051"/>
    <cellStyle name="Normal 17 2 7 2 4" xfId="9611"/>
    <cellStyle name="Normal 17 2 7 2 5" xfId="6659"/>
    <cellStyle name="Normal 17 2 7 3" xfId="7102"/>
    <cellStyle name="Normal 17 2 7 3 2" xfId="8579"/>
    <cellStyle name="Normal 17 2 7 3 2 2" xfId="11476"/>
    <cellStyle name="Normal 17 2 7 3 3" xfId="10036"/>
    <cellStyle name="Normal 17 2 7 4" xfId="7921"/>
    <cellStyle name="Normal 17 2 7 4 2" xfId="10818"/>
    <cellStyle name="Normal 17 2 7 5" xfId="9378"/>
    <cellStyle name="Normal 17 2 7 6" xfId="6426"/>
    <cellStyle name="Normal 17 2 8" xfId="986"/>
    <cellStyle name="Normal 17 2 8 2" xfId="7219"/>
    <cellStyle name="Normal 17 2 8 2 2" xfId="8696"/>
    <cellStyle name="Normal 17 2 8 2 2 2" xfId="11593"/>
    <cellStyle name="Normal 17 2 8 2 3" xfId="10153"/>
    <cellStyle name="Normal 17 2 8 3" xfId="8038"/>
    <cellStyle name="Normal 17 2 8 3 2" xfId="10935"/>
    <cellStyle name="Normal 17 2 8 4" xfId="9495"/>
    <cellStyle name="Normal 17 2 8 5" xfId="6543"/>
    <cellStyle name="Normal 17 2 9" xfId="987"/>
    <cellStyle name="Normal 17 2 9 2" xfId="6986"/>
    <cellStyle name="Normal 17 2 9 2 2" xfId="8463"/>
    <cellStyle name="Normal 17 2 9 2 2 2" xfId="11360"/>
    <cellStyle name="Normal 17 2 9 2 3" xfId="9920"/>
    <cellStyle name="Normal 17 2 9 3" xfId="7804"/>
    <cellStyle name="Normal 17 2 9 3 2" xfId="10702"/>
    <cellStyle name="Normal 17 2 9 4" xfId="9262"/>
    <cellStyle name="Normal 17 2 9 5" xfId="6307"/>
    <cellStyle name="Normal 17 3" xfId="988"/>
    <cellStyle name="Normal 17 3 10" xfId="7607"/>
    <cellStyle name="Normal 17 3 10 2" xfId="10507"/>
    <cellStyle name="Normal 17 3 11" xfId="9067"/>
    <cellStyle name="Normal 17 3 12" xfId="6069"/>
    <cellStyle name="Normal 17 3 2" xfId="989"/>
    <cellStyle name="Normal 17 3 2 10" xfId="9096"/>
    <cellStyle name="Normal 17 3 2 11" xfId="6108"/>
    <cellStyle name="Normal 17 3 2 2" xfId="990"/>
    <cellStyle name="Normal 17 3 2 2 2" xfId="991"/>
    <cellStyle name="Normal 17 3 2 2 2 2" xfId="992"/>
    <cellStyle name="Normal 17 3 2 2 2 2 2" xfId="7421"/>
    <cellStyle name="Normal 17 3 2 2 2 2 2 2" xfId="8898"/>
    <cellStyle name="Normal 17 3 2 2 2 2 2 2 2" xfId="11795"/>
    <cellStyle name="Normal 17 3 2 2 2 2 2 3" xfId="10355"/>
    <cellStyle name="Normal 17 3 2 2 2 2 3" xfId="8240"/>
    <cellStyle name="Normal 17 3 2 2 2 2 3 2" xfId="11137"/>
    <cellStyle name="Normal 17 3 2 2 2 2 4" xfId="9697"/>
    <cellStyle name="Normal 17 3 2 2 2 2 5" xfId="6745"/>
    <cellStyle name="Normal 17 3 2 2 2 3" xfId="7188"/>
    <cellStyle name="Normal 17 3 2 2 2 3 2" xfId="8665"/>
    <cellStyle name="Normal 17 3 2 2 2 3 2 2" xfId="11562"/>
    <cellStyle name="Normal 17 3 2 2 2 3 3" xfId="10122"/>
    <cellStyle name="Normal 17 3 2 2 2 4" xfId="8007"/>
    <cellStyle name="Normal 17 3 2 2 2 4 2" xfId="10904"/>
    <cellStyle name="Normal 17 3 2 2 2 5" xfId="9464"/>
    <cellStyle name="Normal 17 3 2 2 2 6" xfId="6512"/>
    <cellStyle name="Normal 17 3 2 2 3" xfId="993"/>
    <cellStyle name="Normal 17 3 2 2 3 2" xfId="7305"/>
    <cellStyle name="Normal 17 3 2 2 3 2 2" xfId="8782"/>
    <cellStyle name="Normal 17 3 2 2 3 2 2 2" xfId="11679"/>
    <cellStyle name="Normal 17 3 2 2 3 2 3" xfId="10239"/>
    <cellStyle name="Normal 17 3 2 2 3 3" xfId="8124"/>
    <cellStyle name="Normal 17 3 2 2 3 3 2" xfId="11021"/>
    <cellStyle name="Normal 17 3 2 2 3 4" xfId="9581"/>
    <cellStyle name="Normal 17 3 2 2 3 5" xfId="6629"/>
    <cellStyle name="Normal 17 3 2 2 4" xfId="994"/>
    <cellStyle name="Normal 17 3 2 2 4 2" xfId="7072"/>
    <cellStyle name="Normal 17 3 2 2 4 2 2" xfId="8549"/>
    <cellStyle name="Normal 17 3 2 2 4 2 2 2" xfId="11446"/>
    <cellStyle name="Normal 17 3 2 2 4 2 3" xfId="10006"/>
    <cellStyle name="Normal 17 3 2 2 4 3" xfId="7890"/>
    <cellStyle name="Normal 17 3 2 2 4 3 2" xfId="10788"/>
    <cellStyle name="Normal 17 3 2 2 4 4" xfId="9348"/>
    <cellStyle name="Normal 17 3 2 2 4 5" xfId="6393"/>
    <cellStyle name="Normal 17 3 2 2 5" xfId="6900"/>
    <cellStyle name="Normal 17 3 2 2 5 2" xfId="8378"/>
    <cellStyle name="Normal 17 3 2 2 5 2 2" xfId="11275"/>
    <cellStyle name="Normal 17 3 2 2 5 3" xfId="9835"/>
    <cellStyle name="Normal 17 3 2 2 6" xfId="7717"/>
    <cellStyle name="Normal 17 3 2 2 6 2" xfId="10617"/>
    <cellStyle name="Normal 17 3 2 2 7" xfId="9177"/>
    <cellStyle name="Normal 17 3 2 2 8" xfId="6196"/>
    <cellStyle name="Normal 17 3 2 3" xfId="995"/>
    <cellStyle name="Normal 17 3 2 3 2" xfId="996"/>
    <cellStyle name="Normal 17 3 2 3 2 2" xfId="7365"/>
    <cellStyle name="Normal 17 3 2 3 2 2 2" xfId="8842"/>
    <cellStyle name="Normal 17 3 2 3 2 2 2 2" xfId="11739"/>
    <cellStyle name="Normal 17 3 2 3 2 2 3" xfId="10299"/>
    <cellStyle name="Normal 17 3 2 3 2 3" xfId="8184"/>
    <cellStyle name="Normal 17 3 2 3 2 3 2" xfId="11081"/>
    <cellStyle name="Normal 17 3 2 3 2 4" xfId="9641"/>
    <cellStyle name="Normal 17 3 2 3 2 5" xfId="6689"/>
    <cellStyle name="Normal 17 3 2 3 3" xfId="997"/>
    <cellStyle name="Normal 17 3 2 3 3 2" xfId="7132"/>
    <cellStyle name="Normal 17 3 2 3 3 2 2" xfId="8609"/>
    <cellStyle name="Normal 17 3 2 3 3 2 2 2" xfId="11506"/>
    <cellStyle name="Normal 17 3 2 3 3 2 3" xfId="10066"/>
    <cellStyle name="Normal 17 3 2 3 3 3" xfId="7951"/>
    <cellStyle name="Normal 17 3 2 3 3 3 2" xfId="10848"/>
    <cellStyle name="Normal 17 3 2 3 3 4" xfId="9408"/>
    <cellStyle name="Normal 17 3 2 3 3 5" xfId="6456"/>
    <cellStyle name="Normal 17 3 2 3 4" xfId="6957"/>
    <cellStyle name="Normal 17 3 2 3 4 2" xfId="8434"/>
    <cellStyle name="Normal 17 3 2 3 4 2 2" xfId="11331"/>
    <cellStyle name="Normal 17 3 2 3 4 3" xfId="9891"/>
    <cellStyle name="Normal 17 3 2 3 5" xfId="7774"/>
    <cellStyle name="Normal 17 3 2 3 5 2" xfId="10673"/>
    <cellStyle name="Normal 17 3 2 3 6" xfId="9233"/>
    <cellStyle name="Normal 17 3 2 3 7" xfId="6258"/>
    <cellStyle name="Normal 17 3 2 4" xfId="998"/>
    <cellStyle name="Normal 17 3 2 4 2" xfId="7249"/>
    <cellStyle name="Normal 17 3 2 4 2 2" xfId="8726"/>
    <cellStyle name="Normal 17 3 2 4 2 2 2" xfId="11623"/>
    <cellStyle name="Normal 17 3 2 4 2 3" xfId="10183"/>
    <cellStyle name="Normal 17 3 2 4 3" xfId="8068"/>
    <cellStyle name="Normal 17 3 2 4 3 2" xfId="10965"/>
    <cellStyle name="Normal 17 3 2 4 4" xfId="9525"/>
    <cellStyle name="Normal 17 3 2 4 5" xfId="6573"/>
    <cellStyle name="Normal 17 3 2 5" xfId="999"/>
    <cellStyle name="Normal 17 3 2 5 2" xfId="7016"/>
    <cellStyle name="Normal 17 3 2 5 2 2" xfId="8493"/>
    <cellStyle name="Normal 17 3 2 5 2 2 2" xfId="11390"/>
    <cellStyle name="Normal 17 3 2 5 2 3" xfId="9950"/>
    <cellStyle name="Normal 17 3 2 5 3" xfId="7834"/>
    <cellStyle name="Normal 17 3 2 5 3 2" xfId="10732"/>
    <cellStyle name="Normal 17 3 2 5 4" xfId="9292"/>
    <cellStyle name="Normal 17 3 2 5 5" xfId="6337"/>
    <cellStyle name="Normal 17 3 2 6" xfId="7482"/>
    <cellStyle name="Normal 17 3 2 6 2" xfId="8956"/>
    <cellStyle name="Normal 17 3 2 6 2 2" xfId="11853"/>
    <cellStyle name="Normal 17 3 2 6 3" xfId="10413"/>
    <cellStyle name="Normal 17 3 2 7" xfId="7541"/>
    <cellStyle name="Normal 17 3 2 7 2" xfId="9013"/>
    <cellStyle name="Normal 17 3 2 7 2 2" xfId="11910"/>
    <cellStyle name="Normal 17 3 2 7 3" xfId="10470"/>
    <cellStyle name="Normal 17 3 2 8" xfId="6817"/>
    <cellStyle name="Normal 17 3 2 8 2" xfId="8297"/>
    <cellStyle name="Normal 17 3 2 8 2 2" xfId="11194"/>
    <cellStyle name="Normal 17 3 2 8 3" xfId="9754"/>
    <cellStyle name="Normal 17 3 2 9" xfId="7636"/>
    <cellStyle name="Normal 17 3 2 9 2" xfId="10536"/>
    <cellStyle name="Normal 17 3 3" xfId="1000"/>
    <cellStyle name="Normal 17 3 3 2" xfId="1001"/>
    <cellStyle name="Normal 17 3 3 2 2" xfId="1002"/>
    <cellStyle name="Normal 17 3 3 2 2 2" xfId="7391"/>
    <cellStyle name="Normal 17 3 3 2 2 2 2" xfId="8868"/>
    <cellStyle name="Normal 17 3 3 2 2 2 2 2" xfId="11765"/>
    <cellStyle name="Normal 17 3 3 2 2 2 3" xfId="10325"/>
    <cellStyle name="Normal 17 3 3 2 2 3" xfId="8210"/>
    <cellStyle name="Normal 17 3 3 2 2 3 2" xfId="11107"/>
    <cellStyle name="Normal 17 3 3 2 2 4" xfId="9667"/>
    <cellStyle name="Normal 17 3 3 2 2 5" xfId="6715"/>
    <cellStyle name="Normal 17 3 3 2 3" xfId="7158"/>
    <cellStyle name="Normal 17 3 3 2 3 2" xfId="8635"/>
    <cellStyle name="Normal 17 3 3 2 3 2 2" xfId="11532"/>
    <cellStyle name="Normal 17 3 3 2 3 3" xfId="10092"/>
    <cellStyle name="Normal 17 3 3 2 4" xfId="7977"/>
    <cellStyle name="Normal 17 3 3 2 4 2" xfId="10874"/>
    <cellStyle name="Normal 17 3 3 2 5" xfId="9434"/>
    <cellStyle name="Normal 17 3 3 2 6" xfId="6482"/>
    <cellStyle name="Normal 17 3 3 3" xfId="1003"/>
    <cellStyle name="Normal 17 3 3 3 2" xfId="7275"/>
    <cellStyle name="Normal 17 3 3 3 2 2" xfId="8752"/>
    <cellStyle name="Normal 17 3 3 3 2 2 2" xfId="11649"/>
    <cellStyle name="Normal 17 3 3 3 2 3" xfId="10209"/>
    <cellStyle name="Normal 17 3 3 3 3" xfId="8094"/>
    <cellStyle name="Normal 17 3 3 3 3 2" xfId="10991"/>
    <cellStyle name="Normal 17 3 3 3 4" xfId="9551"/>
    <cellStyle name="Normal 17 3 3 3 5" xfId="6599"/>
    <cellStyle name="Normal 17 3 3 4" xfId="1004"/>
    <cellStyle name="Normal 17 3 3 4 2" xfId="7042"/>
    <cellStyle name="Normal 17 3 3 4 2 2" xfId="8519"/>
    <cellStyle name="Normal 17 3 3 4 2 2 2" xfId="11416"/>
    <cellStyle name="Normal 17 3 3 4 2 3" xfId="9976"/>
    <cellStyle name="Normal 17 3 3 4 3" xfId="7860"/>
    <cellStyle name="Normal 17 3 3 4 3 2" xfId="10758"/>
    <cellStyle name="Normal 17 3 3 4 4" xfId="9318"/>
    <cellStyle name="Normal 17 3 3 4 5" xfId="6363"/>
    <cellStyle name="Normal 17 3 3 5" xfId="6868"/>
    <cellStyle name="Normal 17 3 3 5 2" xfId="8346"/>
    <cellStyle name="Normal 17 3 3 5 2 2" xfId="11243"/>
    <cellStyle name="Normal 17 3 3 5 3" xfId="9803"/>
    <cellStyle name="Normal 17 3 3 6" xfId="7685"/>
    <cellStyle name="Normal 17 3 3 6 2" xfId="10585"/>
    <cellStyle name="Normal 17 3 3 7" xfId="9145"/>
    <cellStyle name="Normal 17 3 3 8" xfId="6163"/>
    <cellStyle name="Normal 17 3 4" xfId="1005"/>
    <cellStyle name="Normal 17 3 4 2" xfId="1006"/>
    <cellStyle name="Normal 17 3 4 2 2" xfId="7339"/>
    <cellStyle name="Normal 17 3 4 2 2 2" xfId="8816"/>
    <cellStyle name="Normal 17 3 4 2 2 2 2" xfId="11713"/>
    <cellStyle name="Normal 17 3 4 2 2 3" xfId="10273"/>
    <cellStyle name="Normal 17 3 4 2 3" xfId="8158"/>
    <cellStyle name="Normal 17 3 4 2 3 2" xfId="11055"/>
    <cellStyle name="Normal 17 3 4 2 4" xfId="9615"/>
    <cellStyle name="Normal 17 3 4 2 5" xfId="6663"/>
    <cellStyle name="Normal 17 3 4 3" xfId="1007"/>
    <cellStyle name="Normal 17 3 4 3 2" xfId="7106"/>
    <cellStyle name="Normal 17 3 4 3 2 2" xfId="8583"/>
    <cellStyle name="Normal 17 3 4 3 2 2 2" xfId="11480"/>
    <cellStyle name="Normal 17 3 4 3 2 3" xfId="10040"/>
    <cellStyle name="Normal 17 3 4 3 3" xfId="7925"/>
    <cellStyle name="Normal 17 3 4 3 3 2" xfId="10822"/>
    <cellStyle name="Normal 17 3 4 3 4" xfId="9382"/>
    <cellStyle name="Normal 17 3 4 3 5" xfId="6430"/>
    <cellStyle name="Normal 17 3 4 4" xfId="6927"/>
    <cellStyle name="Normal 17 3 4 4 2" xfId="8404"/>
    <cellStyle name="Normal 17 3 4 4 2 2" xfId="11301"/>
    <cellStyle name="Normal 17 3 4 4 3" xfId="9861"/>
    <cellStyle name="Normal 17 3 4 5" xfId="7744"/>
    <cellStyle name="Normal 17 3 4 5 2" xfId="10643"/>
    <cellStyle name="Normal 17 3 4 6" xfId="9203"/>
    <cellStyle name="Normal 17 3 4 7" xfId="6228"/>
    <cellStyle name="Normal 17 3 5" xfId="1008"/>
    <cellStyle name="Normal 17 3 5 2" xfId="7223"/>
    <cellStyle name="Normal 17 3 5 2 2" xfId="8700"/>
    <cellStyle name="Normal 17 3 5 2 2 2" xfId="11597"/>
    <cellStyle name="Normal 17 3 5 2 3" xfId="10157"/>
    <cellStyle name="Normal 17 3 5 3" xfId="8042"/>
    <cellStyle name="Normal 17 3 5 3 2" xfId="10939"/>
    <cellStyle name="Normal 17 3 5 4" xfId="9499"/>
    <cellStyle name="Normal 17 3 5 5" xfId="6547"/>
    <cellStyle name="Normal 17 3 6" xfId="1009"/>
    <cellStyle name="Normal 17 3 6 2" xfId="6990"/>
    <cellStyle name="Normal 17 3 6 2 2" xfId="8467"/>
    <cellStyle name="Normal 17 3 6 2 2 2" xfId="11364"/>
    <cellStyle name="Normal 17 3 6 2 3" xfId="9924"/>
    <cellStyle name="Normal 17 3 6 3" xfId="7808"/>
    <cellStyle name="Normal 17 3 6 3 2" xfId="10706"/>
    <cellStyle name="Normal 17 3 6 4" xfId="9266"/>
    <cellStyle name="Normal 17 3 6 5" xfId="6311"/>
    <cellStyle name="Normal 17 3 7" xfId="7456"/>
    <cellStyle name="Normal 17 3 7 2" xfId="8930"/>
    <cellStyle name="Normal 17 3 7 2 2" xfId="11827"/>
    <cellStyle name="Normal 17 3 7 3" xfId="10387"/>
    <cellStyle name="Normal 17 3 8" xfId="7515"/>
    <cellStyle name="Normal 17 3 8 2" xfId="8987"/>
    <cellStyle name="Normal 17 3 8 2 2" xfId="11884"/>
    <cellStyle name="Normal 17 3 8 3" xfId="10444"/>
    <cellStyle name="Normal 17 3 9" xfId="6786"/>
    <cellStyle name="Normal 17 3 9 2" xfId="8267"/>
    <cellStyle name="Normal 17 3 9 2 2" xfId="11164"/>
    <cellStyle name="Normal 17 3 9 3" xfId="9724"/>
    <cellStyle name="Normal 17 4" xfId="1010"/>
    <cellStyle name="Normal 17 4 10" xfId="7614"/>
    <cellStyle name="Normal 17 4 10 2" xfId="10514"/>
    <cellStyle name="Normal 17 4 11" xfId="9074"/>
    <cellStyle name="Normal 17 4 12" xfId="6079"/>
    <cellStyle name="Normal 17 4 2" xfId="1011"/>
    <cellStyle name="Normal 17 4 2 10" xfId="9104"/>
    <cellStyle name="Normal 17 4 2 11" xfId="6116"/>
    <cellStyle name="Normal 17 4 2 2" xfId="1012"/>
    <cellStyle name="Normal 17 4 2 2 2" xfId="1013"/>
    <cellStyle name="Normal 17 4 2 2 2 2" xfId="1014"/>
    <cellStyle name="Normal 17 4 2 2 2 2 2" xfId="7429"/>
    <cellStyle name="Normal 17 4 2 2 2 2 2 2" xfId="8906"/>
    <cellStyle name="Normal 17 4 2 2 2 2 2 2 2" xfId="11803"/>
    <cellStyle name="Normal 17 4 2 2 2 2 2 3" xfId="10363"/>
    <cellStyle name="Normal 17 4 2 2 2 2 3" xfId="8248"/>
    <cellStyle name="Normal 17 4 2 2 2 2 3 2" xfId="11145"/>
    <cellStyle name="Normal 17 4 2 2 2 2 4" xfId="9705"/>
    <cellStyle name="Normal 17 4 2 2 2 2 5" xfId="6753"/>
    <cellStyle name="Normal 17 4 2 2 2 3" xfId="7196"/>
    <cellStyle name="Normal 17 4 2 2 2 3 2" xfId="8673"/>
    <cellStyle name="Normal 17 4 2 2 2 3 2 2" xfId="11570"/>
    <cellStyle name="Normal 17 4 2 2 2 3 3" xfId="10130"/>
    <cellStyle name="Normal 17 4 2 2 2 4" xfId="8015"/>
    <cellStyle name="Normal 17 4 2 2 2 4 2" xfId="10912"/>
    <cellStyle name="Normal 17 4 2 2 2 5" xfId="9472"/>
    <cellStyle name="Normal 17 4 2 2 2 6" xfId="6520"/>
    <cellStyle name="Normal 17 4 2 2 3" xfId="1015"/>
    <cellStyle name="Normal 17 4 2 2 3 2" xfId="7313"/>
    <cellStyle name="Normal 17 4 2 2 3 2 2" xfId="8790"/>
    <cellStyle name="Normal 17 4 2 2 3 2 2 2" xfId="11687"/>
    <cellStyle name="Normal 17 4 2 2 3 2 3" xfId="10247"/>
    <cellStyle name="Normal 17 4 2 2 3 3" xfId="8132"/>
    <cellStyle name="Normal 17 4 2 2 3 3 2" xfId="11029"/>
    <cellStyle name="Normal 17 4 2 2 3 4" xfId="9589"/>
    <cellStyle name="Normal 17 4 2 2 3 5" xfId="6637"/>
    <cellStyle name="Normal 17 4 2 2 4" xfId="1016"/>
    <cellStyle name="Normal 17 4 2 2 4 2" xfId="7080"/>
    <cellStyle name="Normal 17 4 2 2 4 2 2" xfId="8557"/>
    <cellStyle name="Normal 17 4 2 2 4 2 2 2" xfId="11454"/>
    <cellStyle name="Normal 17 4 2 2 4 2 3" xfId="10014"/>
    <cellStyle name="Normal 17 4 2 2 4 3" xfId="7898"/>
    <cellStyle name="Normal 17 4 2 2 4 3 2" xfId="10796"/>
    <cellStyle name="Normal 17 4 2 2 4 4" xfId="9356"/>
    <cellStyle name="Normal 17 4 2 2 4 5" xfId="6401"/>
    <cellStyle name="Normal 17 4 2 2 5" xfId="6908"/>
    <cellStyle name="Normal 17 4 2 2 5 2" xfId="8386"/>
    <cellStyle name="Normal 17 4 2 2 5 2 2" xfId="11283"/>
    <cellStyle name="Normal 17 4 2 2 5 3" xfId="9843"/>
    <cellStyle name="Normal 17 4 2 2 6" xfId="7725"/>
    <cellStyle name="Normal 17 4 2 2 6 2" xfId="10625"/>
    <cellStyle name="Normal 17 4 2 2 7" xfId="9185"/>
    <cellStyle name="Normal 17 4 2 2 8" xfId="6204"/>
    <cellStyle name="Normal 17 4 2 3" xfId="1017"/>
    <cellStyle name="Normal 17 4 2 3 2" xfId="1018"/>
    <cellStyle name="Normal 17 4 2 3 2 2" xfId="7373"/>
    <cellStyle name="Normal 17 4 2 3 2 2 2" xfId="8850"/>
    <cellStyle name="Normal 17 4 2 3 2 2 2 2" xfId="11747"/>
    <cellStyle name="Normal 17 4 2 3 2 2 3" xfId="10307"/>
    <cellStyle name="Normal 17 4 2 3 2 3" xfId="8192"/>
    <cellStyle name="Normal 17 4 2 3 2 3 2" xfId="11089"/>
    <cellStyle name="Normal 17 4 2 3 2 4" xfId="9649"/>
    <cellStyle name="Normal 17 4 2 3 2 5" xfId="6697"/>
    <cellStyle name="Normal 17 4 2 3 3" xfId="1019"/>
    <cellStyle name="Normal 17 4 2 3 3 2" xfId="7140"/>
    <cellStyle name="Normal 17 4 2 3 3 2 2" xfId="8617"/>
    <cellStyle name="Normal 17 4 2 3 3 2 2 2" xfId="11514"/>
    <cellStyle name="Normal 17 4 2 3 3 2 3" xfId="10074"/>
    <cellStyle name="Normal 17 4 2 3 3 3" xfId="7959"/>
    <cellStyle name="Normal 17 4 2 3 3 3 2" xfId="10856"/>
    <cellStyle name="Normal 17 4 2 3 3 4" xfId="9416"/>
    <cellStyle name="Normal 17 4 2 3 3 5" xfId="6464"/>
    <cellStyle name="Normal 17 4 2 3 4" xfId="6965"/>
    <cellStyle name="Normal 17 4 2 3 4 2" xfId="8442"/>
    <cellStyle name="Normal 17 4 2 3 4 2 2" xfId="11339"/>
    <cellStyle name="Normal 17 4 2 3 4 3" xfId="9899"/>
    <cellStyle name="Normal 17 4 2 3 5" xfId="7782"/>
    <cellStyle name="Normal 17 4 2 3 5 2" xfId="10681"/>
    <cellStyle name="Normal 17 4 2 3 6" xfId="9241"/>
    <cellStyle name="Normal 17 4 2 3 7" xfId="6266"/>
    <cellStyle name="Normal 17 4 2 4" xfId="1020"/>
    <cellStyle name="Normal 17 4 2 4 2" xfId="7257"/>
    <cellStyle name="Normal 17 4 2 4 2 2" xfId="8734"/>
    <cellStyle name="Normal 17 4 2 4 2 2 2" xfId="11631"/>
    <cellStyle name="Normal 17 4 2 4 2 3" xfId="10191"/>
    <cellStyle name="Normal 17 4 2 4 3" xfId="8076"/>
    <cellStyle name="Normal 17 4 2 4 3 2" xfId="10973"/>
    <cellStyle name="Normal 17 4 2 4 4" xfId="9533"/>
    <cellStyle name="Normal 17 4 2 4 5" xfId="6581"/>
    <cellStyle name="Normal 17 4 2 5" xfId="1021"/>
    <cellStyle name="Normal 17 4 2 5 2" xfId="7024"/>
    <cellStyle name="Normal 17 4 2 5 2 2" xfId="8501"/>
    <cellStyle name="Normal 17 4 2 5 2 2 2" xfId="11398"/>
    <cellStyle name="Normal 17 4 2 5 2 3" xfId="9958"/>
    <cellStyle name="Normal 17 4 2 5 3" xfId="7842"/>
    <cellStyle name="Normal 17 4 2 5 3 2" xfId="10740"/>
    <cellStyle name="Normal 17 4 2 5 4" xfId="9300"/>
    <cellStyle name="Normal 17 4 2 5 5" xfId="6345"/>
    <cellStyle name="Normal 17 4 2 6" xfId="7490"/>
    <cellStyle name="Normal 17 4 2 6 2" xfId="8964"/>
    <cellStyle name="Normal 17 4 2 6 2 2" xfId="11861"/>
    <cellStyle name="Normal 17 4 2 6 3" xfId="10421"/>
    <cellStyle name="Normal 17 4 2 7" xfId="7549"/>
    <cellStyle name="Normal 17 4 2 7 2" xfId="9021"/>
    <cellStyle name="Normal 17 4 2 7 2 2" xfId="11918"/>
    <cellStyle name="Normal 17 4 2 7 3" xfId="10478"/>
    <cellStyle name="Normal 17 4 2 8" xfId="6825"/>
    <cellStyle name="Normal 17 4 2 8 2" xfId="8305"/>
    <cellStyle name="Normal 17 4 2 8 2 2" xfId="11202"/>
    <cellStyle name="Normal 17 4 2 8 3" xfId="9762"/>
    <cellStyle name="Normal 17 4 2 9" xfId="7644"/>
    <cellStyle name="Normal 17 4 2 9 2" xfId="10544"/>
    <cellStyle name="Normal 17 4 3" xfId="1022"/>
    <cellStyle name="Normal 17 4 3 2" xfId="1023"/>
    <cellStyle name="Normal 17 4 3 2 2" xfId="1024"/>
    <cellStyle name="Normal 17 4 3 2 2 2" xfId="7399"/>
    <cellStyle name="Normal 17 4 3 2 2 2 2" xfId="8876"/>
    <cellStyle name="Normal 17 4 3 2 2 2 2 2" xfId="11773"/>
    <cellStyle name="Normal 17 4 3 2 2 2 3" xfId="10333"/>
    <cellStyle name="Normal 17 4 3 2 2 3" xfId="8218"/>
    <cellStyle name="Normal 17 4 3 2 2 3 2" xfId="11115"/>
    <cellStyle name="Normal 17 4 3 2 2 4" xfId="9675"/>
    <cellStyle name="Normal 17 4 3 2 2 5" xfId="6723"/>
    <cellStyle name="Normal 17 4 3 2 3" xfId="7166"/>
    <cellStyle name="Normal 17 4 3 2 3 2" xfId="8643"/>
    <cellStyle name="Normal 17 4 3 2 3 2 2" xfId="11540"/>
    <cellStyle name="Normal 17 4 3 2 3 3" xfId="10100"/>
    <cellStyle name="Normal 17 4 3 2 4" xfId="7985"/>
    <cellStyle name="Normal 17 4 3 2 4 2" xfId="10882"/>
    <cellStyle name="Normal 17 4 3 2 5" xfId="9442"/>
    <cellStyle name="Normal 17 4 3 2 6" xfId="6490"/>
    <cellStyle name="Normal 17 4 3 3" xfId="1025"/>
    <cellStyle name="Normal 17 4 3 3 2" xfId="7283"/>
    <cellStyle name="Normal 17 4 3 3 2 2" xfId="8760"/>
    <cellStyle name="Normal 17 4 3 3 2 2 2" xfId="11657"/>
    <cellStyle name="Normal 17 4 3 3 2 3" xfId="10217"/>
    <cellStyle name="Normal 17 4 3 3 3" xfId="8102"/>
    <cellStyle name="Normal 17 4 3 3 3 2" xfId="10999"/>
    <cellStyle name="Normal 17 4 3 3 4" xfId="9559"/>
    <cellStyle name="Normal 17 4 3 3 5" xfId="6607"/>
    <cellStyle name="Normal 17 4 3 4" xfId="1026"/>
    <cellStyle name="Normal 17 4 3 4 2" xfId="7050"/>
    <cellStyle name="Normal 17 4 3 4 2 2" xfId="8527"/>
    <cellStyle name="Normal 17 4 3 4 2 2 2" xfId="11424"/>
    <cellStyle name="Normal 17 4 3 4 2 3" xfId="9984"/>
    <cellStyle name="Normal 17 4 3 4 3" xfId="7868"/>
    <cellStyle name="Normal 17 4 3 4 3 2" xfId="10766"/>
    <cellStyle name="Normal 17 4 3 4 4" xfId="9326"/>
    <cellStyle name="Normal 17 4 3 4 5" xfId="6371"/>
    <cellStyle name="Normal 17 4 3 5" xfId="6878"/>
    <cellStyle name="Normal 17 4 3 5 2" xfId="8356"/>
    <cellStyle name="Normal 17 4 3 5 2 2" xfId="11253"/>
    <cellStyle name="Normal 17 4 3 5 3" xfId="9813"/>
    <cellStyle name="Normal 17 4 3 6" xfId="7695"/>
    <cellStyle name="Normal 17 4 3 6 2" xfId="10595"/>
    <cellStyle name="Normal 17 4 3 7" xfId="9155"/>
    <cellStyle name="Normal 17 4 3 8" xfId="6173"/>
    <cellStyle name="Normal 17 4 4" xfId="1027"/>
    <cellStyle name="Normal 17 4 4 2" xfId="1028"/>
    <cellStyle name="Normal 17 4 4 2 2" xfId="7347"/>
    <cellStyle name="Normal 17 4 4 2 2 2" xfId="8824"/>
    <cellStyle name="Normal 17 4 4 2 2 2 2" xfId="11721"/>
    <cellStyle name="Normal 17 4 4 2 2 3" xfId="10281"/>
    <cellStyle name="Normal 17 4 4 2 3" xfId="8166"/>
    <cellStyle name="Normal 17 4 4 2 3 2" xfId="11063"/>
    <cellStyle name="Normal 17 4 4 2 4" xfId="9623"/>
    <cellStyle name="Normal 17 4 4 2 5" xfId="6671"/>
    <cellStyle name="Normal 17 4 4 3" xfId="1029"/>
    <cellStyle name="Normal 17 4 4 3 2" xfId="7114"/>
    <cellStyle name="Normal 17 4 4 3 2 2" xfId="8591"/>
    <cellStyle name="Normal 17 4 4 3 2 2 2" xfId="11488"/>
    <cellStyle name="Normal 17 4 4 3 2 3" xfId="10048"/>
    <cellStyle name="Normal 17 4 4 3 3" xfId="7933"/>
    <cellStyle name="Normal 17 4 4 3 3 2" xfId="10830"/>
    <cellStyle name="Normal 17 4 4 3 4" xfId="9390"/>
    <cellStyle name="Normal 17 4 4 3 5" xfId="6438"/>
    <cellStyle name="Normal 17 4 4 4" xfId="6935"/>
    <cellStyle name="Normal 17 4 4 4 2" xfId="8412"/>
    <cellStyle name="Normal 17 4 4 4 2 2" xfId="11309"/>
    <cellStyle name="Normal 17 4 4 4 3" xfId="9869"/>
    <cellStyle name="Normal 17 4 4 5" xfId="7752"/>
    <cellStyle name="Normal 17 4 4 5 2" xfId="10651"/>
    <cellStyle name="Normal 17 4 4 6" xfId="9211"/>
    <cellStyle name="Normal 17 4 4 7" xfId="6236"/>
    <cellStyle name="Normal 17 4 5" xfId="1030"/>
    <cellStyle name="Normal 17 4 5 2" xfId="7231"/>
    <cellStyle name="Normal 17 4 5 2 2" xfId="8708"/>
    <cellStyle name="Normal 17 4 5 2 2 2" xfId="11605"/>
    <cellStyle name="Normal 17 4 5 2 3" xfId="10165"/>
    <cellStyle name="Normal 17 4 5 3" xfId="8050"/>
    <cellStyle name="Normal 17 4 5 3 2" xfId="10947"/>
    <cellStyle name="Normal 17 4 5 4" xfId="9507"/>
    <cellStyle name="Normal 17 4 5 5" xfId="6555"/>
    <cellStyle name="Normal 17 4 6" xfId="1031"/>
    <cellStyle name="Normal 17 4 6 2" xfId="6998"/>
    <cellStyle name="Normal 17 4 6 2 2" xfId="8475"/>
    <cellStyle name="Normal 17 4 6 2 2 2" xfId="11372"/>
    <cellStyle name="Normal 17 4 6 2 3" xfId="9932"/>
    <cellStyle name="Normal 17 4 6 3" xfId="7816"/>
    <cellStyle name="Normal 17 4 6 3 2" xfId="10714"/>
    <cellStyle name="Normal 17 4 6 4" xfId="9274"/>
    <cellStyle name="Normal 17 4 6 5" xfId="6319"/>
    <cellStyle name="Normal 17 4 7" xfId="7464"/>
    <cellStyle name="Normal 17 4 7 2" xfId="8938"/>
    <cellStyle name="Normal 17 4 7 2 2" xfId="11835"/>
    <cellStyle name="Normal 17 4 7 3" xfId="10395"/>
    <cellStyle name="Normal 17 4 8" xfId="7523"/>
    <cellStyle name="Normal 17 4 8 2" xfId="8995"/>
    <cellStyle name="Normal 17 4 8 2 2" xfId="11892"/>
    <cellStyle name="Normal 17 4 8 3" xfId="10452"/>
    <cellStyle name="Normal 17 4 9" xfId="6794"/>
    <cellStyle name="Normal 17 4 9 2" xfId="8275"/>
    <cellStyle name="Normal 17 4 9 2 2" xfId="11172"/>
    <cellStyle name="Normal 17 4 9 3" xfId="9732"/>
    <cellStyle name="Normal 17 5" xfId="1032"/>
    <cellStyle name="Normal 17 5 10" xfId="7622"/>
    <cellStyle name="Normal 17 5 10 2" xfId="10522"/>
    <cellStyle name="Normal 17 5 11" xfId="9082"/>
    <cellStyle name="Normal 17 5 12" xfId="6087"/>
    <cellStyle name="Normal 17 5 2" xfId="1033"/>
    <cellStyle name="Normal 17 5 2 10" xfId="9112"/>
    <cellStyle name="Normal 17 5 2 11" xfId="6124"/>
    <cellStyle name="Normal 17 5 2 2" xfId="1034"/>
    <cellStyle name="Normal 17 5 2 2 2" xfId="1035"/>
    <cellStyle name="Normal 17 5 2 2 2 2" xfId="1036"/>
    <cellStyle name="Normal 17 5 2 2 2 2 2" xfId="7437"/>
    <cellStyle name="Normal 17 5 2 2 2 2 2 2" xfId="8914"/>
    <cellStyle name="Normal 17 5 2 2 2 2 2 2 2" xfId="11811"/>
    <cellStyle name="Normal 17 5 2 2 2 2 2 3" xfId="10371"/>
    <cellStyle name="Normal 17 5 2 2 2 2 3" xfId="8256"/>
    <cellStyle name="Normal 17 5 2 2 2 2 3 2" xfId="11153"/>
    <cellStyle name="Normal 17 5 2 2 2 2 4" xfId="9713"/>
    <cellStyle name="Normal 17 5 2 2 2 2 5" xfId="6761"/>
    <cellStyle name="Normal 17 5 2 2 2 3" xfId="7204"/>
    <cellStyle name="Normal 17 5 2 2 2 3 2" xfId="8681"/>
    <cellStyle name="Normal 17 5 2 2 2 3 2 2" xfId="11578"/>
    <cellStyle name="Normal 17 5 2 2 2 3 3" xfId="10138"/>
    <cellStyle name="Normal 17 5 2 2 2 4" xfId="8023"/>
    <cellStyle name="Normal 17 5 2 2 2 4 2" xfId="10920"/>
    <cellStyle name="Normal 17 5 2 2 2 5" xfId="9480"/>
    <cellStyle name="Normal 17 5 2 2 2 6" xfId="6528"/>
    <cellStyle name="Normal 17 5 2 2 3" xfId="1037"/>
    <cellStyle name="Normal 17 5 2 2 3 2" xfId="7321"/>
    <cellStyle name="Normal 17 5 2 2 3 2 2" xfId="8798"/>
    <cellStyle name="Normal 17 5 2 2 3 2 2 2" xfId="11695"/>
    <cellStyle name="Normal 17 5 2 2 3 2 3" xfId="10255"/>
    <cellStyle name="Normal 17 5 2 2 3 3" xfId="8140"/>
    <cellStyle name="Normal 17 5 2 2 3 3 2" xfId="11037"/>
    <cellStyle name="Normal 17 5 2 2 3 4" xfId="9597"/>
    <cellStyle name="Normal 17 5 2 2 3 5" xfId="6645"/>
    <cellStyle name="Normal 17 5 2 2 4" xfId="1038"/>
    <cellStyle name="Normal 17 5 2 2 4 2" xfId="7088"/>
    <cellStyle name="Normal 17 5 2 2 4 2 2" xfId="8565"/>
    <cellStyle name="Normal 17 5 2 2 4 2 2 2" xfId="11462"/>
    <cellStyle name="Normal 17 5 2 2 4 2 3" xfId="10022"/>
    <cellStyle name="Normal 17 5 2 2 4 3" xfId="7906"/>
    <cellStyle name="Normal 17 5 2 2 4 3 2" xfId="10804"/>
    <cellStyle name="Normal 17 5 2 2 4 4" xfId="9364"/>
    <cellStyle name="Normal 17 5 2 2 4 5" xfId="6409"/>
    <cellStyle name="Normal 17 5 2 2 5" xfId="6916"/>
    <cellStyle name="Normal 17 5 2 2 5 2" xfId="8394"/>
    <cellStyle name="Normal 17 5 2 2 5 2 2" xfId="11291"/>
    <cellStyle name="Normal 17 5 2 2 5 3" xfId="9851"/>
    <cellStyle name="Normal 17 5 2 2 6" xfId="7733"/>
    <cellStyle name="Normal 17 5 2 2 6 2" xfId="10633"/>
    <cellStyle name="Normal 17 5 2 2 7" xfId="9193"/>
    <cellStyle name="Normal 17 5 2 2 8" xfId="6212"/>
    <cellStyle name="Normal 17 5 2 3" xfId="1039"/>
    <cellStyle name="Normal 17 5 2 3 2" xfId="1040"/>
    <cellStyle name="Normal 17 5 2 3 2 2" xfId="7381"/>
    <cellStyle name="Normal 17 5 2 3 2 2 2" xfId="8858"/>
    <cellStyle name="Normal 17 5 2 3 2 2 2 2" xfId="11755"/>
    <cellStyle name="Normal 17 5 2 3 2 2 3" xfId="10315"/>
    <cellStyle name="Normal 17 5 2 3 2 3" xfId="8200"/>
    <cellStyle name="Normal 17 5 2 3 2 3 2" xfId="11097"/>
    <cellStyle name="Normal 17 5 2 3 2 4" xfId="9657"/>
    <cellStyle name="Normal 17 5 2 3 2 5" xfId="6705"/>
    <cellStyle name="Normal 17 5 2 3 3" xfId="1041"/>
    <cellStyle name="Normal 17 5 2 3 3 2" xfId="7148"/>
    <cellStyle name="Normal 17 5 2 3 3 2 2" xfId="8625"/>
    <cellStyle name="Normal 17 5 2 3 3 2 2 2" xfId="11522"/>
    <cellStyle name="Normal 17 5 2 3 3 2 3" xfId="10082"/>
    <cellStyle name="Normal 17 5 2 3 3 3" xfId="7967"/>
    <cellStyle name="Normal 17 5 2 3 3 3 2" xfId="10864"/>
    <cellStyle name="Normal 17 5 2 3 3 4" xfId="9424"/>
    <cellStyle name="Normal 17 5 2 3 3 5" xfId="6472"/>
    <cellStyle name="Normal 17 5 2 3 4" xfId="6973"/>
    <cellStyle name="Normal 17 5 2 3 4 2" xfId="8450"/>
    <cellStyle name="Normal 17 5 2 3 4 2 2" xfId="11347"/>
    <cellStyle name="Normal 17 5 2 3 4 3" xfId="9907"/>
    <cellStyle name="Normal 17 5 2 3 5" xfId="7790"/>
    <cellStyle name="Normal 17 5 2 3 5 2" xfId="10689"/>
    <cellStyle name="Normal 17 5 2 3 6" xfId="9249"/>
    <cellStyle name="Normal 17 5 2 3 7" xfId="6274"/>
    <cellStyle name="Normal 17 5 2 4" xfId="1042"/>
    <cellStyle name="Normal 17 5 2 4 2" xfId="7265"/>
    <cellStyle name="Normal 17 5 2 4 2 2" xfId="8742"/>
    <cellStyle name="Normal 17 5 2 4 2 2 2" xfId="11639"/>
    <cellStyle name="Normal 17 5 2 4 2 3" xfId="10199"/>
    <cellStyle name="Normal 17 5 2 4 3" xfId="8084"/>
    <cellStyle name="Normal 17 5 2 4 3 2" xfId="10981"/>
    <cellStyle name="Normal 17 5 2 4 4" xfId="9541"/>
    <cellStyle name="Normal 17 5 2 4 5" xfId="6589"/>
    <cellStyle name="Normal 17 5 2 5" xfId="1043"/>
    <cellStyle name="Normal 17 5 2 5 2" xfId="7032"/>
    <cellStyle name="Normal 17 5 2 5 2 2" xfId="8509"/>
    <cellStyle name="Normal 17 5 2 5 2 2 2" xfId="11406"/>
    <cellStyle name="Normal 17 5 2 5 2 3" xfId="9966"/>
    <cellStyle name="Normal 17 5 2 5 3" xfId="7850"/>
    <cellStyle name="Normal 17 5 2 5 3 2" xfId="10748"/>
    <cellStyle name="Normal 17 5 2 5 4" xfId="9308"/>
    <cellStyle name="Normal 17 5 2 5 5" xfId="6353"/>
    <cellStyle name="Normal 17 5 2 6" xfId="7498"/>
    <cellStyle name="Normal 17 5 2 6 2" xfId="8972"/>
    <cellStyle name="Normal 17 5 2 6 2 2" xfId="11869"/>
    <cellStyle name="Normal 17 5 2 6 3" xfId="10429"/>
    <cellStyle name="Normal 17 5 2 7" xfId="7557"/>
    <cellStyle name="Normal 17 5 2 7 2" xfId="9029"/>
    <cellStyle name="Normal 17 5 2 7 2 2" xfId="11926"/>
    <cellStyle name="Normal 17 5 2 7 3" xfId="10486"/>
    <cellStyle name="Normal 17 5 2 8" xfId="6833"/>
    <cellStyle name="Normal 17 5 2 8 2" xfId="8313"/>
    <cellStyle name="Normal 17 5 2 8 2 2" xfId="11210"/>
    <cellStyle name="Normal 17 5 2 8 3" xfId="9770"/>
    <cellStyle name="Normal 17 5 2 9" xfId="7652"/>
    <cellStyle name="Normal 17 5 2 9 2" xfId="10552"/>
    <cellStyle name="Normal 17 5 3" xfId="1044"/>
    <cellStyle name="Normal 17 5 3 2" xfId="1045"/>
    <cellStyle name="Normal 17 5 3 2 2" xfId="1046"/>
    <cellStyle name="Normal 17 5 3 2 2 2" xfId="7407"/>
    <cellStyle name="Normal 17 5 3 2 2 2 2" xfId="8884"/>
    <cellStyle name="Normal 17 5 3 2 2 2 2 2" xfId="11781"/>
    <cellStyle name="Normal 17 5 3 2 2 2 3" xfId="10341"/>
    <cellStyle name="Normal 17 5 3 2 2 3" xfId="8226"/>
    <cellStyle name="Normal 17 5 3 2 2 3 2" xfId="11123"/>
    <cellStyle name="Normal 17 5 3 2 2 4" xfId="9683"/>
    <cellStyle name="Normal 17 5 3 2 2 5" xfId="6731"/>
    <cellStyle name="Normal 17 5 3 2 3" xfId="7174"/>
    <cellStyle name="Normal 17 5 3 2 3 2" xfId="8651"/>
    <cellStyle name="Normal 17 5 3 2 3 2 2" xfId="11548"/>
    <cellStyle name="Normal 17 5 3 2 3 3" xfId="10108"/>
    <cellStyle name="Normal 17 5 3 2 4" xfId="7993"/>
    <cellStyle name="Normal 17 5 3 2 4 2" xfId="10890"/>
    <cellStyle name="Normal 17 5 3 2 5" xfId="9450"/>
    <cellStyle name="Normal 17 5 3 2 6" xfId="6498"/>
    <cellStyle name="Normal 17 5 3 3" xfId="1047"/>
    <cellStyle name="Normal 17 5 3 3 2" xfId="7291"/>
    <cellStyle name="Normal 17 5 3 3 2 2" xfId="8768"/>
    <cellStyle name="Normal 17 5 3 3 2 2 2" xfId="11665"/>
    <cellStyle name="Normal 17 5 3 3 2 3" xfId="10225"/>
    <cellStyle name="Normal 17 5 3 3 3" xfId="8110"/>
    <cellStyle name="Normal 17 5 3 3 3 2" xfId="11007"/>
    <cellStyle name="Normal 17 5 3 3 4" xfId="9567"/>
    <cellStyle name="Normal 17 5 3 3 5" xfId="6615"/>
    <cellStyle name="Normal 17 5 3 4" xfId="1048"/>
    <cellStyle name="Normal 17 5 3 4 2" xfId="7058"/>
    <cellStyle name="Normal 17 5 3 4 2 2" xfId="8535"/>
    <cellStyle name="Normal 17 5 3 4 2 2 2" xfId="11432"/>
    <cellStyle name="Normal 17 5 3 4 2 3" xfId="9992"/>
    <cellStyle name="Normal 17 5 3 4 3" xfId="7876"/>
    <cellStyle name="Normal 17 5 3 4 3 2" xfId="10774"/>
    <cellStyle name="Normal 17 5 3 4 4" xfId="9334"/>
    <cellStyle name="Normal 17 5 3 4 5" xfId="6379"/>
    <cellStyle name="Normal 17 5 3 5" xfId="6886"/>
    <cellStyle name="Normal 17 5 3 5 2" xfId="8364"/>
    <cellStyle name="Normal 17 5 3 5 2 2" xfId="11261"/>
    <cellStyle name="Normal 17 5 3 5 3" xfId="9821"/>
    <cellStyle name="Normal 17 5 3 6" xfId="7703"/>
    <cellStyle name="Normal 17 5 3 6 2" xfId="10603"/>
    <cellStyle name="Normal 17 5 3 7" xfId="9163"/>
    <cellStyle name="Normal 17 5 3 8" xfId="6181"/>
    <cellStyle name="Normal 17 5 4" xfId="1049"/>
    <cellStyle name="Normal 17 5 4 2" xfId="1050"/>
    <cellStyle name="Normal 17 5 4 2 2" xfId="7355"/>
    <cellStyle name="Normal 17 5 4 2 2 2" xfId="8832"/>
    <cellStyle name="Normal 17 5 4 2 2 2 2" xfId="11729"/>
    <cellStyle name="Normal 17 5 4 2 2 3" xfId="10289"/>
    <cellStyle name="Normal 17 5 4 2 3" xfId="8174"/>
    <cellStyle name="Normal 17 5 4 2 3 2" xfId="11071"/>
    <cellStyle name="Normal 17 5 4 2 4" xfId="9631"/>
    <cellStyle name="Normal 17 5 4 2 5" xfId="6679"/>
    <cellStyle name="Normal 17 5 4 3" xfId="1051"/>
    <cellStyle name="Normal 17 5 4 3 2" xfId="7122"/>
    <cellStyle name="Normal 17 5 4 3 2 2" xfId="8599"/>
    <cellStyle name="Normal 17 5 4 3 2 2 2" xfId="11496"/>
    <cellStyle name="Normal 17 5 4 3 2 3" xfId="10056"/>
    <cellStyle name="Normal 17 5 4 3 3" xfId="7941"/>
    <cellStyle name="Normal 17 5 4 3 3 2" xfId="10838"/>
    <cellStyle name="Normal 17 5 4 3 4" xfId="9398"/>
    <cellStyle name="Normal 17 5 4 3 5" xfId="6446"/>
    <cellStyle name="Normal 17 5 4 4" xfId="6943"/>
    <cellStyle name="Normal 17 5 4 4 2" xfId="8420"/>
    <cellStyle name="Normal 17 5 4 4 2 2" xfId="11317"/>
    <cellStyle name="Normal 17 5 4 4 3" xfId="9877"/>
    <cellStyle name="Normal 17 5 4 5" xfId="7760"/>
    <cellStyle name="Normal 17 5 4 5 2" xfId="10659"/>
    <cellStyle name="Normal 17 5 4 6" xfId="9219"/>
    <cellStyle name="Normal 17 5 4 7" xfId="6244"/>
    <cellStyle name="Normal 17 5 5" xfId="1052"/>
    <cellStyle name="Normal 17 5 5 2" xfId="7239"/>
    <cellStyle name="Normal 17 5 5 2 2" xfId="8716"/>
    <cellStyle name="Normal 17 5 5 2 2 2" xfId="11613"/>
    <cellStyle name="Normal 17 5 5 2 3" xfId="10173"/>
    <cellStyle name="Normal 17 5 5 3" xfId="8058"/>
    <cellStyle name="Normal 17 5 5 3 2" xfId="10955"/>
    <cellStyle name="Normal 17 5 5 4" xfId="9515"/>
    <cellStyle name="Normal 17 5 5 5" xfId="6563"/>
    <cellStyle name="Normal 17 5 6" xfId="1053"/>
    <cellStyle name="Normal 17 5 6 2" xfId="7006"/>
    <cellStyle name="Normal 17 5 6 2 2" xfId="8483"/>
    <cellStyle name="Normal 17 5 6 2 2 2" xfId="11380"/>
    <cellStyle name="Normal 17 5 6 2 3" xfId="9940"/>
    <cellStyle name="Normal 17 5 6 3" xfId="7824"/>
    <cellStyle name="Normal 17 5 6 3 2" xfId="10722"/>
    <cellStyle name="Normal 17 5 6 4" xfId="9282"/>
    <cellStyle name="Normal 17 5 6 5" xfId="6327"/>
    <cellStyle name="Normal 17 5 7" xfId="7472"/>
    <cellStyle name="Normal 17 5 7 2" xfId="8946"/>
    <cellStyle name="Normal 17 5 7 2 2" xfId="11843"/>
    <cellStyle name="Normal 17 5 7 3" xfId="10403"/>
    <cellStyle name="Normal 17 5 8" xfId="7531"/>
    <cellStyle name="Normal 17 5 8 2" xfId="9003"/>
    <cellStyle name="Normal 17 5 8 2 2" xfId="11900"/>
    <cellStyle name="Normal 17 5 8 3" xfId="10460"/>
    <cellStyle name="Normal 17 5 9" xfId="6802"/>
    <cellStyle name="Normal 17 5 9 2" xfId="8283"/>
    <cellStyle name="Normal 17 5 9 2 2" xfId="11180"/>
    <cellStyle name="Normal 17 5 9 3" xfId="9740"/>
    <cellStyle name="Normal 17 6" xfId="1054"/>
    <cellStyle name="Normal 17 6 10" xfId="9094"/>
    <cellStyle name="Normal 17 6 11" xfId="6105"/>
    <cellStyle name="Normal 17 6 2" xfId="1055"/>
    <cellStyle name="Normal 17 6 2 2" xfId="1056"/>
    <cellStyle name="Normal 17 6 2 2 2" xfId="1057"/>
    <cellStyle name="Normal 17 6 2 2 2 2" xfId="7419"/>
    <cellStyle name="Normal 17 6 2 2 2 2 2" xfId="8896"/>
    <cellStyle name="Normal 17 6 2 2 2 2 2 2" xfId="11793"/>
    <cellStyle name="Normal 17 6 2 2 2 2 3" xfId="10353"/>
    <cellStyle name="Normal 17 6 2 2 2 3" xfId="8238"/>
    <cellStyle name="Normal 17 6 2 2 2 3 2" xfId="11135"/>
    <cellStyle name="Normal 17 6 2 2 2 4" xfId="9695"/>
    <cellStyle name="Normal 17 6 2 2 2 5" xfId="6743"/>
    <cellStyle name="Normal 17 6 2 2 3" xfId="7186"/>
    <cellStyle name="Normal 17 6 2 2 3 2" xfId="8663"/>
    <cellStyle name="Normal 17 6 2 2 3 2 2" xfId="11560"/>
    <cellStyle name="Normal 17 6 2 2 3 3" xfId="10120"/>
    <cellStyle name="Normal 17 6 2 2 4" xfId="8005"/>
    <cellStyle name="Normal 17 6 2 2 4 2" xfId="10902"/>
    <cellStyle name="Normal 17 6 2 2 5" xfId="9462"/>
    <cellStyle name="Normal 17 6 2 2 6" xfId="6510"/>
    <cellStyle name="Normal 17 6 2 3" xfId="1058"/>
    <cellStyle name="Normal 17 6 2 3 2" xfId="7303"/>
    <cellStyle name="Normal 17 6 2 3 2 2" xfId="8780"/>
    <cellStyle name="Normal 17 6 2 3 2 2 2" xfId="11677"/>
    <cellStyle name="Normal 17 6 2 3 2 3" xfId="10237"/>
    <cellStyle name="Normal 17 6 2 3 3" xfId="8122"/>
    <cellStyle name="Normal 17 6 2 3 3 2" xfId="11019"/>
    <cellStyle name="Normal 17 6 2 3 4" xfId="9579"/>
    <cellStyle name="Normal 17 6 2 3 5" xfId="6627"/>
    <cellStyle name="Normal 17 6 2 4" xfId="1059"/>
    <cellStyle name="Normal 17 6 2 4 2" xfId="7070"/>
    <cellStyle name="Normal 17 6 2 4 2 2" xfId="8547"/>
    <cellStyle name="Normal 17 6 2 4 2 2 2" xfId="11444"/>
    <cellStyle name="Normal 17 6 2 4 2 3" xfId="10004"/>
    <cellStyle name="Normal 17 6 2 4 3" xfId="7888"/>
    <cellStyle name="Normal 17 6 2 4 3 2" xfId="10786"/>
    <cellStyle name="Normal 17 6 2 4 4" xfId="9346"/>
    <cellStyle name="Normal 17 6 2 4 5" xfId="6391"/>
    <cellStyle name="Normal 17 6 2 5" xfId="6898"/>
    <cellStyle name="Normal 17 6 2 5 2" xfId="8376"/>
    <cellStyle name="Normal 17 6 2 5 2 2" xfId="11273"/>
    <cellStyle name="Normal 17 6 2 5 3" xfId="9833"/>
    <cellStyle name="Normal 17 6 2 6" xfId="7715"/>
    <cellStyle name="Normal 17 6 2 6 2" xfId="10615"/>
    <cellStyle name="Normal 17 6 2 7" xfId="9175"/>
    <cellStyle name="Normal 17 6 2 8" xfId="6194"/>
    <cellStyle name="Normal 17 6 3" xfId="1060"/>
    <cellStyle name="Normal 17 6 3 2" xfId="1061"/>
    <cellStyle name="Normal 17 6 3 2 2" xfId="7337"/>
    <cellStyle name="Normal 17 6 3 2 2 2" xfId="8814"/>
    <cellStyle name="Normal 17 6 3 2 2 2 2" xfId="11711"/>
    <cellStyle name="Normal 17 6 3 2 2 3" xfId="10271"/>
    <cellStyle name="Normal 17 6 3 2 3" xfId="8156"/>
    <cellStyle name="Normal 17 6 3 2 3 2" xfId="11053"/>
    <cellStyle name="Normal 17 6 3 2 4" xfId="9613"/>
    <cellStyle name="Normal 17 6 3 2 5" xfId="6661"/>
    <cellStyle name="Normal 17 6 3 3" xfId="1062"/>
    <cellStyle name="Normal 17 6 3 3 2" xfId="7104"/>
    <cellStyle name="Normal 17 6 3 3 2 2" xfId="8581"/>
    <cellStyle name="Normal 17 6 3 3 2 2 2" xfId="11478"/>
    <cellStyle name="Normal 17 6 3 3 2 3" xfId="10038"/>
    <cellStyle name="Normal 17 6 3 3 3" xfId="7923"/>
    <cellStyle name="Normal 17 6 3 3 3 2" xfId="10820"/>
    <cellStyle name="Normal 17 6 3 3 4" xfId="9380"/>
    <cellStyle name="Normal 17 6 3 3 5" xfId="6428"/>
    <cellStyle name="Normal 17 6 3 4" xfId="6955"/>
    <cellStyle name="Normal 17 6 3 4 2" xfId="8432"/>
    <cellStyle name="Normal 17 6 3 4 2 2" xfId="11329"/>
    <cellStyle name="Normal 17 6 3 4 3" xfId="9889"/>
    <cellStyle name="Normal 17 6 3 5" xfId="7772"/>
    <cellStyle name="Normal 17 6 3 5 2" xfId="10671"/>
    <cellStyle name="Normal 17 6 3 6" xfId="9231"/>
    <cellStyle name="Normal 17 6 3 7" xfId="6256"/>
    <cellStyle name="Normal 17 6 4" xfId="1063"/>
    <cellStyle name="Normal 17 6 4 2" xfId="7221"/>
    <cellStyle name="Normal 17 6 4 2 2" xfId="8698"/>
    <cellStyle name="Normal 17 6 4 2 2 2" xfId="11595"/>
    <cellStyle name="Normal 17 6 4 2 3" xfId="10155"/>
    <cellStyle name="Normal 17 6 4 3" xfId="8040"/>
    <cellStyle name="Normal 17 6 4 3 2" xfId="10937"/>
    <cellStyle name="Normal 17 6 4 4" xfId="9497"/>
    <cellStyle name="Normal 17 6 4 5" xfId="6545"/>
    <cellStyle name="Normal 17 6 5" xfId="1064"/>
    <cellStyle name="Normal 17 6 5 2" xfId="6988"/>
    <cellStyle name="Normal 17 6 5 2 2" xfId="8465"/>
    <cellStyle name="Normal 17 6 5 2 2 2" xfId="11362"/>
    <cellStyle name="Normal 17 6 5 2 3" xfId="9922"/>
    <cellStyle name="Normal 17 6 5 3" xfId="7806"/>
    <cellStyle name="Normal 17 6 5 3 2" xfId="10704"/>
    <cellStyle name="Normal 17 6 5 4" xfId="9264"/>
    <cellStyle name="Normal 17 6 5 5" xfId="6309"/>
    <cellStyle name="Normal 17 6 6" xfId="7454"/>
    <cellStyle name="Normal 17 6 6 2" xfId="8928"/>
    <cellStyle name="Normal 17 6 6 2 2" xfId="11825"/>
    <cellStyle name="Normal 17 6 6 3" xfId="10385"/>
    <cellStyle name="Normal 17 6 7" xfId="7513"/>
    <cellStyle name="Normal 17 6 7 2" xfId="8985"/>
    <cellStyle name="Normal 17 6 7 2 2" xfId="11882"/>
    <cellStyle name="Normal 17 6 7 3" xfId="10442"/>
    <cellStyle name="Normal 17 6 8" xfId="6815"/>
    <cellStyle name="Normal 17 6 8 2" xfId="8295"/>
    <cellStyle name="Normal 17 6 8 2 2" xfId="11192"/>
    <cellStyle name="Normal 17 6 8 3" xfId="9752"/>
    <cellStyle name="Normal 17 6 9" xfId="7634"/>
    <cellStyle name="Normal 17 6 9 2" xfId="10534"/>
    <cellStyle name="Normal 17 7" xfId="1065"/>
    <cellStyle name="Normal 17 7 10" xfId="6158"/>
    <cellStyle name="Normal 17 7 2" xfId="1066"/>
    <cellStyle name="Normal 17 7 2 2" xfId="1067"/>
    <cellStyle name="Normal 17 7 2 2 2" xfId="7363"/>
    <cellStyle name="Normal 17 7 2 2 2 2" xfId="8840"/>
    <cellStyle name="Normal 17 7 2 2 2 2 2" xfId="11737"/>
    <cellStyle name="Normal 17 7 2 2 2 3" xfId="10297"/>
    <cellStyle name="Normal 17 7 2 2 3" xfId="8182"/>
    <cellStyle name="Normal 17 7 2 2 3 2" xfId="11079"/>
    <cellStyle name="Normal 17 7 2 2 4" xfId="9639"/>
    <cellStyle name="Normal 17 7 2 2 5" xfId="6687"/>
    <cellStyle name="Normal 17 7 2 3" xfId="7130"/>
    <cellStyle name="Normal 17 7 2 3 2" xfId="8607"/>
    <cellStyle name="Normal 17 7 2 3 2 2" xfId="11504"/>
    <cellStyle name="Normal 17 7 2 3 3" xfId="10064"/>
    <cellStyle name="Normal 17 7 2 4" xfId="7949"/>
    <cellStyle name="Normal 17 7 2 4 2" xfId="10846"/>
    <cellStyle name="Normal 17 7 2 5" xfId="9406"/>
    <cellStyle name="Normal 17 7 2 6" xfId="6454"/>
    <cellStyle name="Normal 17 7 3" xfId="1068"/>
    <cellStyle name="Normal 17 7 3 2" xfId="7247"/>
    <cellStyle name="Normal 17 7 3 2 2" xfId="8724"/>
    <cellStyle name="Normal 17 7 3 2 2 2" xfId="11621"/>
    <cellStyle name="Normal 17 7 3 2 3" xfId="10181"/>
    <cellStyle name="Normal 17 7 3 3" xfId="8066"/>
    <cellStyle name="Normal 17 7 3 3 2" xfId="10963"/>
    <cellStyle name="Normal 17 7 3 4" xfId="9523"/>
    <cellStyle name="Normal 17 7 3 5" xfId="6571"/>
    <cellStyle name="Normal 17 7 4" xfId="1069"/>
    <cellStyle name="Normal 17 7 4 2" xfId="7014"/>
    <cellStyle name="Normal 17 7 4 2 2" xfId="8491"/>
    <cellStyle name="Normal 17 7 4 2 2 2" xfId="11388"/>
    <cellStyle name="Normal 17 7 4 2 3" xfId="9948"/>
    <cellStyle name="Normal 17 7 4 3" xfId="7832"/>
    <cellStyle name="Normal 17 7 4 3 2" xfId="10730"/>
    <cellStyle name="Normal 17 7 4 4" xfId="9290"/>
    <cellStyle name="Normal 17 7 4 5" xfId="6335"/>
    <cellStyle name="Normal 17 7 5" xfId="7480"/>
    <cellStyle name="Normal 17 7 5 2" xfId="8954"/>
    <cellStyle name="Normal 17 7 5 2 2" xfId="11851"/>
    <cellStyle name="Normal 17 7 5 3" xfId="10411"/>
    <cellStyle name="Normal 17 7 6" xfId="7539"/>
    <cellStyle name="Normal 17 7 6 2" xfId="9011"/>
    <cellStyle name="Normal 17 7 6 2 2" xfId="11908"/>
    <cellStyle name="Normal 17 7 6 3" xfId="10468"/>
    <cellStyle name="Normal 17 7 7" xfId="6866"/>
    <cellStyle name="Normal 17 7 7 2" xfId="8344"/>
    <cellStyle name="Normal 17 7 7 2 2" xfId="11241"/>
    <cellStyle name="Normal 17 7 7 3" xfId="9801"/>
    <cellStyle name="Normal 17 7 8" xfId="7683"/>
    <cellStyle name="Normal 17 7 8 2" xfId="10583"/>
    <cellStyle name="Normal 17 7 9" xfId="9143"/>
    <cellStyle name="Normal 17 8" xfId="1070"/>
    <cellStyle name="Normal 17 8 2" xfId="1071"/>
    <cellStyle name="Normal 17 8 2 2" xfId="1072"/>
    <cellStyle name="Normal 17 8 2 2 2" xfId="7389"/>
    <cellStyle name="Normal 17 8 2 2 2 2" xfId="8866"/>
    <cellStyle name="Normal 17 8 2 2 2 2 2" xfId="11763"/>
    <cellStyle name="Normal 17 8 2 2 2 3" xfId="10323"/>
    <cellStyle name="Normal 17 8 2 2 3" xfId="8208"/>
    <cellStyle name="Normal 17 8 2 2 3 2" xfId="11105"/>
    <cellStyle name="Normal 17 8 2 2 4" xfId="9665"/>
    <cellStyle name="Normal 17 8 2 2 5" xfId="6713"/>
    <cellStyle name="Normal 17 8 2 3" xfId="7156"/>
    <cellStyle name="Normal 17 8 2 3 2" xfId="8633"/>
    <cellStyle name="Normal 17 8 2 3 2 2" xfId="11530"/>
    <cellStyle name="Normal 17 8 2 3 3" xfId="10090"/>
    <cellStyle name="Normal 17 8 2 4" xfId="7975"/>
    <cellStyle name="Normal 17 8 2 4 2" xfId="10872"/>
    <cellStyle name="Normal 17 8 2 5" xfId="9432"/>
    <cellStyle name="Normal 17 8 2 6" xfId="6480"/>
    <cellStyle name="Normal 17 8 3" xfId="1073"/>
    <cellStyle name="Normal 17 8 3 2" xfId="7273"/>
    <cellStyle name="Normal 17 8 3 2 2" xfId="8750"/>
    <cellStyle name="Normal 17 8 3 2 2 2" xfId="11647"/>
    <cellStyle name="Normal 17 8 3 2 3" xfId="10207"/>
    <cellStyle name="Normal 17 8 3 3" xfId="8092"/>
    <cellStyle name="Normal 17 8 3 3 2" xfId="10989"/>
    <cellStyle name="Normal 17 8 3 4" xfId="9549"/>
    <cellStyle name="Normal 17 8 3 5" xfId="6597"/>
    <cellStyle name="Normal 17 8 4" xfId="1074"/>
    <cellStyle name="Normal 17 8 4 2" xfId="7040"/>
    <cellStyle name="Normal 17 8 4 2 2" xfId="8517"/>
    <cellStyle name="Normal 17 8 4 2 2 2" xfId="11414"/>
    <cellStyle name="Normal 17 8 4 2 3" xfId="9974"/>
    <cellStyle name="Normal 17 8 4 3" xfId="7858"/>
    <cellStyle name="Normal 17 8 4 3 2" xfId="10756"/>
    <cellStyle name="Normal 17 8 4 4" xfId="9316"/>
    <cellStyle name="Normal 17 8 4 5" xfId="6361"/>
    <cellStyle name="Normal 17 8 5" xfId="6925"/>
    <cellStyle name="Normal 17 8 5 2" xfId="8402"/>
    <cellStyle name="Normal 17 8 5 2 2" xfId="11299"/>
    <cellStyle name="Normal 17 8 5 3" xfId="9859"/>
    <cellStyle name="Normal 17 8 6" xfId="7742"/>
    <cellStyle name="Normal 17 8 6 2" xfId="10641"/>
    <cellStyle name="Normal 17 8 7" xfId="9201"/>
    <cellStyle name="Normal 17 8 8" xfId="6225"/>
    <cellStyle name="Normal 17 9" xfId="1075"/>
    <cellStyle name="Normal 17 9 2" xfId="1076"/>
    <cellStyle name="Normal 17 9 2 2" xfId="7332"/>
    <cellStyle name="Normal 17 9 2 2 2" xfId="8809"/>
    <cellStyle name="Normal 17 9 2 2 2 2" xfId="11706"/>
    <cellStyle name="Normal 17 9 2 2 3" xfId="10266"/>
    <cellStyle name="Normal 17 9 2 3" xfId="8151"/>
    <cellStyle name="Normal 17 9 2 3 2" xfId="11048"/>
    <cellStyle name="Normal 17 9 2 4" xfId="9608"/>
    <cellStyle name="Normal 17 9 2 5" xfId="6656"/>
    <cellStyle name="Normal 17 9 3" xfId="7098"/>
    <cellStyle name="Normal 17 9 3 2" xfId="8575"/>
    <cellStyle name="Normal 17 9 3 2 2" xfId="11472"/>
    <cellStyle name="Normal 17 9 3 3" xfId="10032"/>
    <cellStyle name="Normal 17 9 4" xfId="7917"/>
    <cellStyle name="Normal 17 9 4 2" xfId="10814"/>
    <cellStyle name="Normal 17 9 5" xfId="9374"/>
    <cellStyle name="Normal 17 9 6" xfId="6421"/>
    <cellStyle name="Normal 18" xfId="1077"/>
    <cellStyle name="Normal 18 2" xfId="3288"/>
    <cellStyle name="Normal 18 3" xfId="3287"/>
    <cellStyle name="Normal 19" xfId="1078"/>
    <cellStyle name="Normal 19 2" xfId="1079"/>
    <cellStyle name="Normal 19 3" xfId="1080"/>
    <cellStyle name="Normal 19 4" xfId="3289"/>
    <cellStyle name="Normal 2" xfId="4"/>
    <cellStyle name="Normal-- 2" xfId="3291"/>
    <cellStyle name="Normal 2 10" xfId="3292"/>
    <cellStyle name="Normal 2 10 2" xfId="3293"/>
    <cellStyle name="Normal 2 11" xfId="3294"/>
    <cellStyle name="Normal 2 11 2" xfId="3295"/>
    <cellStyle name="Normal 2 12" xfId="3296"/>
    <cellStyle name="Normal 2 12 2" xfId="3297"/>
    <cellStyle name="Normal 2 13" xfId="3298"/>
    <cellStyle name="Normal 2 13 2" xfId="3299"/>
    <cellStyle name="Normal 2 14" xfId="3300"/>
    <cellStyle name="Normal 2 14 2" xfId="3301"/>
    <cellStyle name="Normal 2 15" xfId="3302"/>
    <cellStyle name="Normal 2 15 2" xfId="3303"/>
    <cellStyle name="Normal 2 16" xfId="3304"/>
    <cellStyle name="Normal 2 16 2" xfId="3305"/>
    <cellStyle name="Normal 2 17" xfId="3306"/>
    <cellStyle name="Normal 2 17 2" xfId="3307"/>
    <cellStyle name="Normal 2 18" xfId="3308"/>
    <cellStyle name="Normal 2 18 2" xfId="3309"/>
    <cellStyle name="Normal 2 19" xfId="3310"/>
    <cellStyle name="Normal 2 19 2" xfId="3311"/>
    <cellStyle name="Normal 2 2" xfId="1081"/>
    <cellStyle name="Normal 2 2 10" xfId="1506"/>
    <cellStyle name="Normal 2 2 10 2" xfId="8924"/>
    <cellStyle name="Normal 2 2 10 2 2" xfId="11821"/>
    <cellStyle name="Normal 2 2 10 3" xfId="10381"/>
    <cellStyle name="Normal 2 2 10 4" xfId="7450"/>
    <cellStyle name="Normal 2 2 11" xfId="3312"/>
    <cellStyle name="Normal 2 2 11 2" xfId="8981"/>
    <cellStyle name="Normal 2 2 11 2 2" xfId="11878"/>
    <cellStyle name="Normal 2 2 11 3" xfId="10438"/>
    <cellStyle name="Normal 2 2 11 4" xfId="7509"/>
    <cellStyle name="Normal 2 2 12" xfId="6790"/>
    <cellStyle name="Normal 2 2 12 2" xfId="8271"/>
    <cellStyle name="Normal 2 2 12 2 2" xfId="11168"/>
    <cellStyle name="Normal 2 2 12 3" xfId="9728"/>
    <cellStyle name="Normal 2 2 13" xfId="6074"/>
    <cellStyle name="Normal 2 2 13 2" xfId="7611"/>
    <cellStyle name="Normal 2 2 13 2 2" xfId="10511"/>
    <cellStyle name="Normal 2 2 13 3" xfId="9071"/>
    <cellStyle name="Normal 2 2 14" xfId="6053"/>
    <cellStyle name="Normal 2 2 2" xfId="1082"/>
    <cellStyle name="Normal 2 2 2 10" xfId="7618"/>
    <cellStyle name="Normal 2 2 2 10 2" xfId="10518"/>
    <cellStyle name="Normal 2 2 2 11" xfId="9078"/>
    <cellStyle name="Normal 2 2 2 12" xfId="6083"/>
    <cellStyle name="Normal 2 2 2 2" xfId="1083"/>
    <cellStyle name="Normal 2 2 2 2 10" xfId="9108"/>
    <cellStyle name="Normal 2 2 2 2 11" xfId="6120"/>
    <cellStyle name="Normal 2 2 2 2 2" xfId="1084"/>
    <cellStyle name="Normal 2 2 2 2 2 2" xfId="1085"/>
    <cellStyle name="Normal 2 2 2 2 2 2 2" xfId="1086"/>
    <cellStyle name="Normal 2 2 2 2 2 2 2 2" xfId="7433"/>
    <cellStyle name="Normal 2 2 2 2 2 2 2 2 2" xfId="8910"/>
    <cellStyle name="Normal 2 2 2 2 2 2 2 2 2 2" xfId="11807"/>
    <cellStyle name="Normal 2 2 2 2 2 2 2 2 3" xfId="10367"/>
    <cellStyle name="Normal 2 2 2 2 2 2 2 3" xfId="8252"/>
    <cellStyle name="Normal 2 2 2 2 2 2 2 3 2" xfId="11149"/>
    <cellStyle name="Normal 2 2 2 2 2 2 2 4" xfId="9709"/>
    <cellStyle name="Normal 2 2 2 2 2 2 2 5" xfId="6757"/>
    <cellStyle name="Normal 2 2 2 2 2 2 3" xfId="7200"/>
    <cellStyle name="Normal 2 2 2 2 2 2 3 2" xfId="8677"/>
    <cellStyle name="Normal 2 2 2 2 2 2 3 2 2" xfId="11574"/>
    <cellStyle name="Normal 2 2 2 2 2 2 3 3" xfId="10134"/>
    <cellStyle name="Normal 2 2 2 2 2 2 4" xfId="8019"/>
    <cellStyle name="Normal 2 2 2 2 2 2 4 2" xfId="10916"/>
    <cellStyle name="Normal 2 2 2 2 2 2 5" xfId="9476"/>
    <cellStyle name="Normal 2 2 2 2 2 2 6" xfId="6524"/>
    <cellStyle name="Normal 2 2 2 2 2 3" xfId="1087"/>
    <cellStyle name="Normal 2 2 2 2 2 3 2" xfId="7317"/>
    <cellStyle name="Normal 2 2 2 2 2 3 2 2" xfId="8794"/>
    <cellStyle name="Normal 2 2 2 2 2 3 2 2 2" xfId="11691"/>
    <cellStyle name="Normal 2 2 2 2 2 3 2 3" xfId="10251"/>
    <cellStyle name="Normal 2 2 2 2 2 3 3" xfId="8136"/>
    <cellStyle name="Normal 2 2 2 2 2 3 3 2" xfId="11033"/>
    <cellStyle name="Normal 2 2 2 2 2 3 4" xfId="9593"/>
    <cellStyle name="Normal 2 2 2 2 2 3 5" xfId="6641"/>
    <cellStyle name="Normal 2 2 2 2 2 4" xfId="1088"/>
    <cellStyle name="Normal 2 2 2 2 2 4 2" xfId="7084"/>
    <cellStyle name="Normal 2 2 2 2 2 4 2 2" xfId="8561"/>
    <cellStyle name="Normal 2 2 2 2 2 4 2 2 2" xfId="11458"/>
    <cellStyle name="Normal 2 2 2 2 2 4 2 3" xfId="10018"/>
    <cellStyle name="Normal 2 2 2 2 2 4 3" xfId="7902"/>
    <cellStyle name="Normal 2 2 2 2 2 4 3 2" xfId="10800"/>
    <cellStyle name="Normal 2 2 2 2 2 4 4" xfId="9360"/>
    <cellStyle name="Normal 2 2 2 2 2 4 5" xfId="6405"/>
    <cellStyle name="Normal 2 2 2 2 2 5" xfId="3315"/>
    <cellStyle name="Normal 2 2 2 2 2 5 2" xfId="8390"/>
    <cellStyle name="Normal 2 2 2 2 2 5 2 2" xfId="11287"/>
    <cellStyle name="Normal 2 2 2 2 2 5 3" xfId="9847"/>
    <cellStyle name="Normal 2 2 2 2 2 5 4" xfId="6912"/>
    <cellStyle name="Normal 2 2 2 2 2 6" xfId="7729"/>
    <cellStyle name="Normal 2 2 2 2 2 6 2" xfId="10629"/>
    <cellStyle name="Normal 2 2 2 2 2 7" xfId="9189"/>
    <cellStyle name="Normal 2 2 2 2 2 8" xfId="6208"/>
    <cellStyle name="Normal 2 2 2 2 3" xfId="1089"/>
    <cellStyle name="Normal 2 2 2 2 3 2" xfId="1090"/>
    <cellStyle name="Normal 2 2 2 2 3 2 2" xfId="7377"/>
    <cellStyle name="Normal 2 2 2 2 3 2 2 2" xfId="8854"/>
    <cellStyle name="Normal 2 2 2 2 3 2 2 2 2" xfId="11751"/>
    <cellStyle name="Normal 2 2 2 2 3 2 2 3" xfId="10311"/>
    <cellStyle name="Normal 2 2 2 2 3 2 3" xfId="8196"/>
    <cellStyle name="Normal 2 2 2 2 3 2 3 2" xfId="11093"/>
    <cellStyle name="Normal 2 2 2 2 3 2 4" xfId="9653"/>
    <cellStyle name="Normal 2 2 2 2 3 2 5" xfId="6701"/>
    <cellStyle name="Normal 2 2 2 2 3 3" xfId="1091"/>
    <cellStyle name="Normal 2 2 2 2 3 3 2" xfId="7144"/>
    <cellStyle name="Normal 2 2 2 2 3 3 2 2" xfId="8621"/>
    <cellStyle name="Normal 2 2 2 2 3 3 2 2 2" xfId="11518"/>
    <cellStyle name="Normal 2 2 2 2 3 3 2 3" xfId="10078"/>
    <cellStyle name="Normal 2 2 2 2 3 3 3" xfId="7963"/>
    <cellStyle name="Normal 2 2 2 2 3 3 3 2" xfId="10860"/>
    <cellStyle name="Normal 2 2 2 2 3 3 4" xfId="9420"/>
    <cellStyle name="Normal 2 2 2 2 3 3 5" xfId="6468"/>
    <cellStyle name="Normal 2 2 2 2 3 4" xfId="6969"/>
    <cellStyle name="Normal 2 2 2 2 3 4 2" xfId="8446"/>
    <cellStyle name="Normal 2 2 2 2 3 4 2 2" xfId="11343"/>
    <cellStyle name="Normal 2 2 2 2 3 4 3" xfId="9903"/>
    <cellStyle name="Normal 2 2 2 2 3 5" xfId="7786"/>
    <cellStyle name="Normal 2 2 2 2 3 5 2" xfId="10685"/>
    <cellStyle name="Normal 2 2 2 2 3 6" xfId="9245"/>
    <cellStyle name="Normal 2 2 2 2 3 7" xfId="6270"/>
    <cellStyle name="Normal 2 2 2 2 4" xfId="1092"/>
    <cellStyle name="Normal 2 2 2 2 4 2" xfId="7261"/>
    <cellStyle name="Normal 2 2 2 2 4 2 2" xfId="8738"/>
    <cellStyle name="Normal 2 2 2 2 4 2 2 2" xfId="11635"/>
    <cellStyle name="Normal 2 2 2 2 4 2 3" xfId="10195"/>
    <cellStyle name="Normal 2 2 2 2 4 3" xfId="8080"/>
    <cellStyle name="Normal 2 2 2 2 4 3 2" xfId="10977"/>
    <cellStyle name="Normal 2 2 2 2 4 4" xfId="9537"/>
    <cellStyle name="Normal 2 2 2 2 4 5" xfId="6585"/>
    <cellStyle name="Normal 2 2 2 2 5" xfId="1093"/>
    <cellStyle name="Normal 2 2 2 2 5 2" xfId="7028"/>
    <cellStyle name="Normal 2 2 2 2 5 2 2" xfId="8505"/>
    <cellStyle name="Normal 2 2 2 2 5 2 2 2" xfId="11402"/>
    <cellStyle name="Normal 2 2 2 2 5 2 3" xfId="9962"/>
    <cellStyle name="Normal 2 2 2 2 5 3" xfId="7846"/>
    <cellStyle name="Normal 2 2 2 2 5 3 2" xfId="10744"/>
    <cellStyle name="Normal 2 2 2 2 5 4" xfId="9304"/>
    <cellStyle name="Normal 2 2 2 2 5 5" xfId="6349"/>
    <cellStyle name="Normal 2 2 2 2 6" xfId="3314"/>
    <cellStyle name="Normal 2 2 2 2 6 2" xfId="8968"/>
    <cellStyle name="Normal 2 2 2 2 6 2 2" xfId="11865"/>
    <cellStyle name="Normal 2 2 2 2 6 3" xfId="10425"/>
    <cellStyle name="Normal 2 2 2 2 6 4" xfId="7494"/>
    <cellStyle name="Normal 2 2 2 2 7" xfId="7553"/>
    <cellStyle name="Normal 2 2 2 2 7 2" xfId="9025"/>
    <cellStyle name="Normal 2 2 2 2 7 2 2" xfId="11922"/>
    <cellStyle name="Normal 2 2 2 2 7 3" xfId="10482"/>
    <cellStyle name="Normal 2 2 2 2 8" xfId="6829"/>
    <cellStyle name="Normal 2 2 2 2 8 2" xfId="8309"/>
    <cellStyle name="Normal 2 2 2 2 8 2 2" xfId="11206"/>
    <cellStyle name="Normal 2 2 2 2 8 3" xfId="9766"/>
    <cellStyle name="Normal 2 2 2 2 9" xfId="7648"/>
    <cellStyle name="Normal 2 2 2 2 9 2" xfId="10548"/>
    <cellStyle name="Normal 2 2 2 3" xfId="1094"/>
    <cellStyle name="Normal 2 2 2 3 2" xfId="1095"/>
    <cellStyle name="Normal 2 2 2 3 2 2" xfId="1096"/>
    <cellStyle name="Normal 2 2 2 3 2 2 2" xfId="7403"/>
    <cellStyle name="Normal 2 2 2 3 2 2 2 2" xfId="8880"/>
    <cellStyle name="Normal 2 2 2 3 2 2 2 2 2" xfId="11777"/>
    <cellStyle name="Normal 2 2 2 3 2 2 2 3" xfId="10337"/>
    <cellStyle name="Normal 2 2 2 3 2 2 3" xfId="8222"/>
    <cellStyle name="Normal 2 2 2 3 2 2 3 2" xfId="11119"/>
    <cellStyle name="Normal 2 2 2 3 2 2 4" xfId="9679"/>
    <cellStyle name="Normal 2 2 2 3 2 2 5" xfId="6727"/>
    <cellStyle name="Normal 2 2 2 3 2 3" xfId="7170"/>
    <cellStyle name="Normal 2 2 2 3 2 3 2" xfId="8647"/>
    <cellStyle name="Normal 2 2 2 3 2 3 2 2" xfId="11544"/>
    <cellStyle name="Normal 2 2 2 3 2 3 3" xfId="10104"/>
    <cellStyle name="Normal 2 2 2 3 2 4" xfId="7989"/>
    <cellStyle name="Normal 2 2 2 3 2 4 2" xfId="10886"/>
    <cellStyle name="Normal 2 2 2 3 2 5" xfId="9446"/>
    <cellStyle name="Normal 2 2 2 3 2 6" xfId="6494"/>
    <cellStyle name="Normal 2 2 2 3 3" xfId="1097"/>
    <cellStyle name="Normal 2 2 2 3 3 2" xfId="7287"/>
    <cellStyle name="Normal 2 2 2 3 3 2 2" xfId="8764"/>
    <cellStyle name="Normal 2 2 2 3 3 2 2 2" xfId="11661"/>
    <cellStyle name="Normal 2 2 2 3 3 2 3" xfId="10221"/>
    <cellStyle name="Normal 2 2 2 3 3 3" xfId="8106"/>
    <cellStyle name="Normal 2 2 2 3 3 3 2" xfId="11003"/>
    <cellStyle name="Normal 2 2 2 3 3 4" xfId="9563"/>
    <cellStyle name="Normal 2 2 2 3 3 5" xfId="6611"/>
    <cellStyle name="Normal 2 2 2 3 4" xfId="1098"/>
    <cellStyle name="Normal 2 2 2 3 4 2" xfId="7054"/>
    <cellStyle name="Normal 2 2 2 3 4 2 2" xfId="8531"/>
    <cellStyle name="Normal 2 2 2 3 4 2 2 2" xfId="11428"/>
    <cellStyle name="Normal 2 2 2 3 4 2 3" xfId="9988"/>
    <cellStyle name="Normal 2 2 2 3 4 3" xfId="7872"/>
    <cellStyle name="Normal 2 2 2 3 4 3 2" xfId="10770"/>
    <cellStyle name="Normal 2 2 2 3 4 4" xfId="9330"/>
    <cellStyle name="Normal 2 2 2 3 4 5" xfId="6375"/>
    <cellStyle name="Normal 2 2 2 3 5" xfId="3316"/>
    <cellStyle name="Normal 2 2 2 3 5 2" xfId="8360"/>
    <cellStyle name="Normal 2 2 2 3 5 2 2" xfId="11257"/>
    <cellStyle name="Normal 2 2 2 3 5 3" xfId="9817"/>
    <cellStyle name="Normal 2 2 2 3 5 4" xfId="6882"/>
    <cellStyle name="Normal 2 2 2 3 6" xfId="7699"/>
    <cellStyle name="Normal 2 2 2 3 6 2" xfId="10599"/>
    <cellStyle name="Normal 2 2 2 3 7" xfId="9159"/>
    <cellStyle name="Normal 2 2 2 3 8" xfId="6177"/>
    <cellStyle name="Normal 2 2 2 4" xfId="1099"/>
    <cellStyle name="Normal 2 2 2 4 2" xfId="1100"/>
    <cellStyle name="Normal 2 2 2 4 2 2" xfId="7351"/>
    <cellStyle name="Normal 2 2 2 4 2 2 2" xfId="8828"/>
    <cellStyle name="Normal 2 2 2 4 2 2 2 2" xfId="11725"/>
    <cellStyle name="Normal 2 2 2 4 2 2 3" xfId="10285"/>
    <cellStyle name="Normal 2 2 2 4 2 3" xfId="8170"/>
    <cellStyle name="Normal 2 2 2 4 2 3 2" xfId="11067"/>
    <cellStyle name="Normal 2 2 2 4 2 4" xfId="9627"/>
    <cellStyle name="Normal 2 2 2 4 2 5" xfId="6675"/>
    <cellStyle name="Normal 2 2 2 4 3" xfId="1101"/>
    <cellStyle name="Normal 2 2 2 4 3 2" xfId="7118"/>
    <cellStyle name="Normal 2 2 2 4 3 2 2" xfId="8595"/>
    <cellStyle name="Normal 2 2 2 4 3 2 2 2" xfId="11492"/>
    <cellStyle name="Normal 2 2 2 4 3 2 3" xfId="10052"/>
    <cellStyle name="Normal 2 2 2 4 3 3" xfId="7937"/>
    <cellStyle name="Normal 2 2 2 4 3 3 2" xfId="10834"/>
    <cellStyle name="Normal 2 2 2 4 3 4" xfId="9394"/>
    <cellStyle name="Normal 2 2 2 4 3 5" xfId="6442"/>
    <cellStyle name="Normal 2 2 2 4 4" xfId="3317"/>
    <cellStyle name="Normal 2 2 2 4 4 2" xfId="8416"/>
    <cellStyle name="Normal 2 2 2 4 4 2 2" xfId="11313"/>
    <cellStyle name="Normal 2 2 2 4 4 3" xfId="9873"/>
    <cellStyle name="Normal 2 2 2 4 4 4" xfId="6939"/>
    <cellStyle name="Normal 2 2 2 4 5" xfId="7756"/>
    <cellStyle name="Normal 2 2 2 4 5 2" xfId="10655"/>
    <cellStyle name="Normal 2 2 2 4 6" xfId="9215"/>
    <cellStyle name="Normal 2 2 2 4 7" xfId="6240"/>
    <cellStyle name="Normal 2 2 2 5" xfId="1102"/>
    <cellStyle name="Normal 2 2 2 5 2" xfId="3318"/>
    <cellStyle name="Normal 2 2 2 5 2 2" xfId="8712"/>
    <cellStyle name="Normal 2 2 2 5 2 2 2" xfId="11609"/>
    <cellStyle name="Normal 2 2 2 5 2 3" xfId="10169"/>
    <cellStyle name="Normal 2 2 2 5 2 4" xfId="7235"/>
    <cellStyle name="Normal 2 2 2 5 3" xfId="8054"/>
    <cellStyle name="Normal 2 2 2 5 3 2" xfId="10951"/>
    <cellStyle name="Normal 2 2 2 5 4" xfId="9511"/>
    <cellStyle name="Normal 2 2 2 5 5" xfId="6559"/>
    <cellStyle name="Normal 2 2 2 6" xfId="1103"/>
    <cellStyle name="Normal 2 2 2 6 2" xfId="3319"/>
    <cellStyle name="Normal 2 2 2 6 2 2" xfId="8479"/>
    <cellStyle name="Normal 2 2 2 6 2 2 2" xfId="11376"/>
    <cellStyle name="Normal 2 2 2 6 2 3" xfId="9936"/>
    <cellStyle name="Normal 2 2 2 6 2 4" xfId="7002"/>
    <cellStyle name="Normal 2 2 2 6 3" xfId="7820"/>
    <cellStyle name="Normal 2 2 2 6 3 2" xfId="10718"/>
    <cellStyle name="Normal 2 2 2 6 4" xfId="9278"/>
    <cellStyle name="Normal 2 2 2 6 5" xfId="6323"/>
    <cellStyle name="Normal 2 2 2 7" xfId="3313"/>
    <cellStyle name="Normal 2 2 2 7 2" xfId="8942"/>
    <cellStyle name="Normal 2 2 2 7 2 2" xfId="11839"/>
    <cellStyle name="Normal 2 2 2 7 3" xfId="10399"/>
    <cellStyle name="Normal 2 2 2 7 4" xfId="7468"/>
    <cellStyle name="Normal 2 2 2 8" xfId="7527"/>
    <cellStyle name="Normal 2 2 2 8 2" xfId="8999"/>
    <cellStyle name="Normal 2 2 2 8 2 2" xfId="11896"/>
    <cellStyle name="Normal 2 2 2 8 3" xfId="10456"/>
    <cellStyle name="Normal 2 2 2 9" xfId="6798"/>
    <cellStyle name="Normal 2 2 2 9 2" xfId="8279"/>
    <cellStyle name="Normal 2 2 2 9 2 2" xfId="11176"/>
    <cellStyle name="Normal 2 2 2 9 3" xfId="9736"/>
    <cellStyle name="Normal 2 2 3" xfId="1104"/>
    <cellStyle name="Normal 2 2 3 10" xfId="7626"/>
    <cellStyle name="Normal 2 2 3 10 2" xfId="10526"/>
    <cellStyle name="Normal 2 2 3 11" xfId="9086"/>
    <cellStyle name="Normal 2 2 3 12" xfId="6091"/>
    <cellStyle name="Normal 2 2 3 2" xfId="1105"/>
    <cellStyle name="Normal 2 2 3 2 10" xfId="9116"/>
    <cellStyle name="Normal 2 2 3 2 11" xfId="6128"/>
    <cellStyle name="Normal 2 2 3 2 2" xfId="1106"/>
    <cellStyle name="Normal 2 2 3 2 2 2" xfId="1107"/>
    <cellStyle name="Normal 2 2 3 2 2 2 2" xfId="1108"/>
    <cellStyle name="Normal 2 2 3 2 2 2 2 2" xfId="7441"/>
    <cellStyle name="Normal 2 2 3 2 2 2 2 2 2" xfId="8918"/>
    <cellStyle name="Normal 2 2 3 2 2 2 2 2 2 2" xfId="11815"/>
    <cellStyle name="Normal 2 2 3 2 2 2 2 2 3" xfId="10375"/>
    <cellStyle name="Normal 2 2 3 2 2 2 2 3" xfId="8260"/>
    <cellStyle name="Normal 2 2 3 2 2 2 2 3 2" xfId="11157"/>
    <cellStyle name="Normal 2 2 3 2 2 2 2 4" xfId="9717"/>
    <cellStyle name="Normal 2 2 3 2 2 2 2 5" xfId="6765"/>
    <cellStyle name="Normal 2 2 3 2 2 2 3" xfId="7208"/>
    <cellStyle name="Normal 2 2 3 2 2 2 3 2" xfId="8685"/>
    <cellStyle name="Normal 2 2 3 2 2 2 3 2 2" xfId="11582"/>
    <cellStyle name="Normal 2 2 3 2 2 2 3 3" xfId="10142"/>
    <cellStyle name="Normal 2 2 3 2 2 2 4" xfId="8027"/>
    <cellStyle name="Normal 2 2 3 2 2 2 4 2" xfId="10924"/>
    <cellStyle name="Normal 2 2 3 2 2 2 5" xfId="9484"/>
    <cellStyle name="Normal 2 2 3 2 2 2 6" xfId="6532"/>
    <cellStyle name="Normal 2 2 3 2 2 3" xfId="1109"/>
    <cellStyle name="Normal 2 2 3 2 2 3 2" xfId="7325"/>
    <cellStyle name="Normal 2 2 3 2 2 3 2 2" xfId="8802"/>
    <cellStyle name="Normal 2 2 3 2 2 3 2 2 2" xfId="11699"/>
    <cellStyle name="Normal 2 2 3 2 2 3 2 3" xfId="10259"/>
    <cellStyle name="Normal 2 2 3 2 2 3 3" xfId="8144"/>
    <cellStyle name="Normal 2 2 3 2 2 3 3 2" xfId="11041"/>
    <cellStyle name="Normal 2 2 3 2 2 3 4" xfId="9601"/>
    <cellStyle name="Normal 2 2 3 2 2 3 5" xfId="6649"/>
    <cellStyle name="Normal 2 2 3 2 2 4" xfId="1110"/>
    <cellStyle name="Normal 2 2 3 2 2 4 2" xfId="7092"/>
    <cellStyle name="Normal 2 2 3 2 2 4 2 2" xfId="8569"/>
    <cellStyle name="Normal 2 2 3 2 2 4 2 2 2" xfId="11466"/>
    <cellStyle name="Normal 2 2 3 2 2 4 2 3" xfId="10026"/>
    <cellStyle name="Normal 2 2 3 2 2 4 3" xfId="7910"/>
    <cellStyle name="Normal 2 2 3 2 2 4 3 2" xfId="10808"/>
    <cellStyle name="Normal 2 2 3 2 2 4 4" xfId="9368"/>
    <cellStyle name="Normal 2 2 3 2 2 4 5" xfId="6413"/>
    <cellStyle name="Normal 2 2 3 2 2 5" xfId="6920"/>
    <cellStyle name="Normal 2 2 3 2 2 5 2" xfId="8398"/>
    <cellStyle name="Normal 2 2 3 2 2 5 2 2" xfId="11295"/>
    <cellStyle name="Normal 2 2 3 2 2 5 3" xfId="9855"/>
    <cellStyle name="Normal 2 2 3 2 2 6" xfId="7737"/>
    <cellStyle name="Normal 2 2 3 2 2 6 2" xfId="10637"/>
    <cellStyle name="Normal 2 2 3 2 2 7" xfId="9197"/>
    <cellStyle name="Normal 2 2 3 2 2 8" xfId="6216"/>
    <cellStyle name="Normal 2 2 3 2 3" xfId="1111"/>
    <cellStyle name="Normal 2 2 3 2 3 2" xfId="1112"/>
    <cellStyle name="Normal 2 2 3 2 3 2 2" xfId="7385"/>
    <cellStyle name="Normal 2 2 3 2 3 2 2 2" xfId="8862"/>
    <cellStyle name="Normal 2 2 3 2 3 2 2 2 2" xfId="11759"/>
    <cellStyle name="Normal 2 2 3 2 3 2 2 3" xfId="10319"/>
    <cellStyle name="Normal 2 2 3 2 3 2 3" xfId="8204"/>
    <cellStyle name="Normal 2 2 3 2 3 2 3 2" xfId="11101"/>
    <cellStyle name="Normal 2 2 3 2 3 2 4" xfId="9661"/>
    <cellStyle name="Normal 2 2 3 2 3 2 5" xfId="6709"/>
    <cellStyle name="Normal 2 2 3 2 3 3" xfId="1113"/>
    <cellStyle name="Normal 2 2 3 2 3 3 2" xfId="7152"/>
    <cellStyle name="Normal 2 2 3 2 3 3 2 2" xfId="8629"/>
    <cellStyle name="Normal 2 2 3 2 3 3 2 2 2" xfId="11526"/>
    <cellStyle name="Normal 2 2 3 2 3 3 2 3" xfId="10086"/>
    <cellStyle name="Normal 2 2 3 2 3 3 3" xfId="7971"/>
    <cellStyle name="Normal 2 2 3 2 3 3 3 2" xfId="10868"/>
    <cellStyle name="Normal 2 2 3 2 3 3 4" xfId="9428"/>
    <cellStyle name="Normal 2 2 3 2 3 3 5" xfId="6476"/>
    <cellStyle name="Normal 2 2 3 2 3 4" xfId="6977"/>
    <cellStyle name="Normal 2 2 3 2 3 4 2" xfId="8454"/>
    <cellStyle name="Normal 2 2 3 2 3 4 2 2" xfId="11351"/>
    <cellStyle name="Normal 2 2 3 2 3 4 3" xfId="9911"/>
    <cellStyle name="Normal 2 2 3 2 3 5" xfId="7794"/>
    <cellStyle name="Normal 2 2 3 2 3 5 2" xfId="10693"/>
    <cellStyle name="Normal 2 2 3 2 3 6" xfId="9253"/>
    <cellStyle name="Normal 2 2 3 2 3 7" xfId="6278"/>
    <cellStyle name="Normal 2 2 3 2 4" xfId="1114"/>
    <cellStyle name="Normal 2 2 3 2 4 2" xfId="7269"/>
    <cellStyle name="Normal 2 2 3 2 4 2 2" xfId="8746"/>
    <cellStyle name="Normal 2 2 3 2 4 2 2 2" xfId="11643"/>
    <cellStyle name="Normal 2 2 3 2 4 2 3" xfId="10203"/>
    <cellStyle name="Normal 2 2 3 2 4 3" xfId="8088"/>
    <cellStyle name="Normal 2 2 3 2 4 3 2" xfId="10985"/>
    <cellStyle name="Normal 2 2 3 2 4 4" xfId="9545"/>
    <cellStyle name="Normal 2 2 3 2 4 5" xfId="6593"/>
    <cellStyle name="Normal 2 2 3 2 5" xfId="1115"/>
    <cellStyle name="Normal 2 2 3 2 5 2" xfId="7036"/>
    <cellStyle name="Normal 2 2 3 2 5 2 2" xfId="8513"/>
    <cellStyle name="Normal 2 2 3 2 5 2 2 2" xfId="11410"/>
    <cellStyle name="Normal 2 2 3 2 5 2 3" xfId="9970"/>
    <cellStyle name="Normal 2 2 3 2 5 3" xfId="7854"/>
    <cellStyle name="Normal 2 2 3 2 5 3 2" xfId="10752"/>
    <cellStyle name="Normal 2 2 3 2 5 4" xfId="9312"/>
    <cellStyle name="Normal 2 2 3 2 5 5" xfId="6357"/>
    <cellStyle name="Normal 2 2 3 2 6" xfId="7502"/>
    <cellStyle name="Normal 2 2 3 2 6 2" xfId="8976"/>
    <cellStyle name="Normal 2 2 3 2 6 2 2" xfId="11873"/>
    <cellStyle name="Normal 2 2 3 2 6 3" xfId="10433"/>
    <cellStyle name="Normal 2 2 3 2 7" xfId="7561"/>
    <cellStyle name="Normal 2 2 3 2 7 2" xfId="9033"/>
    <cellStyle name="Normal 2 2 3 2 7 2 2" xfId="11930"/>
    <cellStyle name="Normal 2 2 3 2 7 3" xfId="10490"/>
    <cellStyle name="Normal 2 2 3 2 8" xfId="6837"/>
    <cellStyle name="Normal 2 2 3 2 8 2" xfId="8317"/>
    <cellStyle name="Normal 2 2 3 2 8 2 2" xfId="11214"/>
    <cellStyle name="Normal 2 2 3 2 8 3" xfId="9774"/>
    <cellStyle name="Normal 2 2 3 2 9" xfId="7656"/>
    <cellStyle name="Normal 2 2 3 2 9 2" xfId="10556"/>
    <cellStyle name="Normal 2 2 3 3" xfId="1116"/>
    <cellStyle name="Normal 2 2 3 3 2" xfId="1117"/>
    <cellStyle name="Normal 2 2 3 3 2 2" xfId="1118"/>
    <cellStyle name="Normal 2 2 3 3 2 2 2" xfId="7411"/>
    <cellStyle name="Normal 2 2 3 3 2 2 2 2" xfId="8888"/>
    <cellStyle name="Normal 2 2 3 3 2 2 2 2 2" xfId="11785"/>
    <cellStyle name="Normal 2 2 3 3 2 2 2 3" xfId="10345"/>
    <cellStyle name="Normal 2 2 3 3 2 2 3" xfId="8230"/>
    <cellStyle name="Normal 2 2 3 3 2 2 3 2" xfId="11127"/>
    <cellStyle name="Normal 2 2 3 3 2 2 4" xfId="9687"/>
    <cellStyle name="Normal 2 2 3 3 2 2 5" xfId="6735"/>
    <cellStyle name="Normal 2 2 3 3 2 3" xfId="7178"/>
    <cellStyle name="Normal 2 2 3 3 2 3 2" xfId="8655"/>
    <cellStyle name="Normal 2 2 3 3 2 3 2 2" xfId="11552"/>
    <cellStyle name="Normal 2 2 3 3 2 3 3" xfId="10112"/>
    <cellStyle name="Normal 2 2 3 3 2 4" xfId="7997"/>
    <cellStyle name="Normal 2 2 3 3 2 4 2" xfId="10894"/>
    <cellStyle name="Normal 2 2 3 3 2 5" xfId="9454"/>
    <cellStyle name="Normal 2 2 3 3 2 6" xfId="6502"/>
    <cellStyle name="Normal 2 2 3 3 3" xfId="1119"/>
    <cellStyle name="Normal 2 2 3 3 3 2" xfId="7295"/>
    <cellStyle name="Normal 2 2 3 3 3 2 2" xfId="8772"/>
    <cellStyle name="Normal 2 2 3 3 3 2 2 2" xfId="11669"/>
    <cellStyle name="Normal 2 2 3 3 3 2 3" xfId="10229"/>
    <cellStyle name="Normal 2 2 3 3 3 3" xfId="8114"/>
    <cellStyle name="Normal 2 2 3 3 3 3 2" xfId="11011"/>
    <cellStyle name="Normal 2 2 3 3 3 4" xfId="9571"/>
    <cellStyle name="Normal 2 2 3 3 3 5" xfId="6619"/>
    <cellStyle name="Normal 2 2 3 3 4" xfId="1120"/>
    <cellStyle name="Normal 2 2 3 3 4 2" xfId="7062"/>
    <cellStyle name="Normal 2 2 3 3 4 2 2" xfId="8539"/>
    <cellStyle name="Normal 2 2 3 3 4 2 2 2" xfId="11436"/>
    <cellStyle name="Normal 2 2 3 3 4 2 3" xfId="9996"/>
    <cellStyle name="Normal 2 2 3 3 4 3" xfId="7880"/>
    <cellStyle name="Normal 2 2 3 3 4 3 2" xfId="10778"/>
    <cellStyle name="Normal 2 2 3 3 4 4" xfId="9338"/>
    <cellStyle name="Normal 2 2 3 3 4 5" xfId="6383"/>
    <cellStyle name="Normal 2 2 3 3 5" xfId="6890"/>
    <cellStyle name="Normal 2 2 3 3 5 2" xfId="8368"/>
    <cellStyle name="Normal 2 2 3 3 5 2 2" xfId="11265"/>
    <cellStyle name="Normal 2 2 3 3 5 3" xfId="9825"/>
    <cellStyle name="Normal 2 2 3 3 6" xfId="7707"/>
    <cellStyle name="Normal 2 2 3 3 6 2" xfId="10607"/>
    <cellStyle name="Normal 2 2 3 3 7" xfId="9167"/>
    <cellStyle name="Normal 2 2 3 3 8" xfId="6185"/>
    <cellStyle name="Normal 2 2 3 4" xfId="1121"/>
    <cellStyle name="Normal 2 2 3 4 2" xfId="1122"/>
    <cellStyle name="Normal 2 2 3 4 2 2" xfId="7359"/>
    <cellStyle name="Normal 2 2 3 4 2 2 2" xfId="8836"/>
    <cellStyle name="Normal 2 2 3 4 2 2 2 2" xfId="11733"/>
    <cellStyle name="Normal 2 2 3 4 2 2 3" xfId="10293"/>
    <cellStyle name="Normal 2 2 3 4 2 3" xfId="8178"/>
    <cellStyle name="Normal 2 2 3 4 2 3 2" xfId="11075"/>
    <cellStyle name="Normal 2 2 3 4 2 4" xfId="9635"/>
    <cellStyle name="Normal 2 2 3 4 2 5" xfId="6683"/>
    <cellStyle name="Normal 2 2 3 4 3" xfId="1123"/>
    <cellStyle name="Normal 2 2 3 4 3 2" xfId="7126"/>
    <cellStyle name="Normal 2 2 3 4 3 2 2" xfId="8603"/>
    <cellStyle name="Normal 2 2 3 4 3 2 2 2" xfId="11500"/>
    <cellStyle name="Normal 2 2 3 4 3 2 3" xfId="10060"/>
    <cellStyle name="Normal 2 2 3 4 3 3" xfId="7945"/>
    <cellStyle name="Normal 2 2 3 4 3 3 2" xfId="10842"/>
    <cellStyle name="Normal 2 2 3 4 3 4" xfId="9402"/>
    <cellStyle name="Normal 2 2 3 4 3 5" xfId="6450"/>
    <cellStyle name="Normal 2 2 3 4 4" xfId="6947"/>
    <cellStyle name="Normal 2 2 3 4 4 2" xfId="8424"/>
    <cellStyle name="Normal 2 2 3 4 4 2 2" xfId="11321"/>
    <cellStyle name="Normal 2 2 3 4 4 3" xfId="9881"/>
    <cellStyle name="Normal 2 2 3 4 5" xfId="7764"/>
    <cellStyle name="Normal 2 2 3 4 5 2" xfId="10663"/>
    <cellStyle name="Normal 2 2 3 4 6" xfId="9223"/>
    <cellStyle name="Normal 2 2 3 4 7" xfId="6248"/>
    <cellStyle name="Normal 2 2 3 5" xfId="1124"/>
    <cellStyle name="Normal 2 2 3 5 2" xfId="7243"/>
    <cellStyle name="Normal 2 2 3 5 2 2" xfId="8720"/>
    <cellStyle name="Normal 2 2 3 5 2 2 2" xfId="11617"/>
    <cellStyle name="Normal 2 2 3 5 2 3" xfId="10177"/>
    <cellStyle name="Normal 2 2 3 5 3" xfId="8062"/>
    <cellStyle name="Normal 2 2 3 5 3 2" xfId="10959"/>
    <cellStyle name="Normal 2 2 3 5 4" xfId="9519"/>
    <cellStyle name="Normal 2 2 3 5 5" xfId="6567"/>
    <cellStyle name="Normal 2 2 3 6" xfId="1125"/>
    <cellStyle name="Normal 2 2 3 6 2" xfId="7010"/>
    <cellStyle name="Normal 2 2 3 6 2 2" xfId="8487"/>
    <cellStyle name="Normal 2 2 3 6 2 2 2" xfId="11384"/>
    <cellStyle name="Normal 2 2 3 6 2 3" xfId="9944"/>
    <cellStyle name="Normal 2 2 3 6 3" xfId="7828"/>
    <cellStyle name="Normal 2 2 3 6 3 2" xfId="10726"/>
    <cellStyle name="Normal 2 2 3 6 4" xfId="9286"/>
    <cellStyle name="Normal 2 2 3 6 5" xfId="6331"/>
    <cellStyle name="Normal 2 2 3 7" xfId="3320"/>
    <cellStyle name="Normal 2 2 3 7 2" xfId="8950"/>
    <cellStyle name="Normal 2 2 3 7 2 2" xfId="11847"/>
    <cellStyle name="Normal 2 2 3 7 3" xfId="10407"/>
    <cellStyle name="Normal 2 2 3 7 4" xfId="7476"/>
    <cellStyle name="Normal 2 2 3 8" xfId="7535"/>
    <cellStyle name="Normal 2 2 3 8 2" xfId="9007"/>
    <cellStyle name="Normal 2 2 3 8 2 2" xfId="11904"/>
    <cellStyle name="Normal 2 2 3 8 3" xfId="10464"/>
    <cellStyle name="Normal 2 2 3 9" xfId="6806"/>
    <cellStyle name="Normal 2 2 3 9 2" xfId="8287"/>
    <cellStyle name="Normal 2 2 3 9 2 2" xfId="11184"/>
    <cellStyle name="Normal 2 2 3 9 3" xfId="9744"/>
    <cellStyle name="Normal 2 2 4" xfId="1126"/>
    <cellStyle name="Normal 2 2 4 10" xfId="9100"/>
    <cellStyle name="Normal 2 2 4 11" xfId="6112"/>
    <cellStyle name="Normal 2 2 4 2" xfId="1127"/>
    <cellStyle name="Normal 2 2 4 2 2" xfId="1128"/>
    <cellStyle name="Normal 2 2 4 2 2 2" xfId="1129"/>
    <cellStyle name="Normal 2 2 4 2 2 2 2" xfId="7425"/>
    <cellStyle name="Normal 2 2 4 2 2 2 2 2" xfId="8902"/>
    <cellStyle name="Normal 2 2 4 2 2 2 2 2 2" xfId="11799"/>
    <cellStyle name="Normal 2 2 4 2 2 2 2 3" xfId="10359"/>
    <cellStyle name="Normal 2 2 4 2 2 2 3" xfId="8244"/>
    <cellStyle name="Normal 2 2 4 2 2 2 3 2" xfId="11141"/>
    <cellStyle name="Normal 2 2 4 2 2 2 4" xfId="9701"/>
    <cellStyle name="Normal 2 2 4 2 2 2 5" xfId="6749"/>
    <cellStyle name="Normal 2 2 4 2 2 3" xfId="7192"/>
    <cellStyle name="Normal 2 2 4 2 2 3 2" xfId="8669"/>
    <cellStyle name="Normal 2 2 4 2 2 3 2 2" xfId="11566"/>
    <cellStyle name="Normal 2 2 4 2 2 3 3" xfId="10126"/>
    <cellStyle name="Normal 2 2 4 2 2 4" xfId="8011"/>
    <cellStyle name="Normal 2 2 4 2 2 4 2" xfId="10908"/>
    <cellStyle name="Normal 2 2 4 2 2 5" xfId="9468"/>
    <cellStyle name="Normal 2 2 4 2 2 6" xfId="6516"/>
    <cellStyle name="Normal 2 2 4 2 3" xfId="1130"/>
    <cellStyle name="Normal 2 2 4 2 3 2" xfId="7309"/>
    <cellStyle name="Normal 2 2 4 2 3 2 2" xfId="8786"/>
    <cellStyle name="Normal 2 2 4 2 3 2 2 2" xfId="11683"/>
    <cellStyle name="Normal 2 2 4 2 3 2 3" xfId="10243"/>
    <cellStyle name="Normal 2 2 4 2 3 3" xfId="8128"/>
    <cellStyle name="Normal 2 2 4 2 3 3 2" xfId="11025"/>
    <cellStyle name="Normal 2 2 4 2 3 4" xfId="9585"/>
    <cellStyle name="Normal 2 2 4 2 3 5" xfId="6633"/>
    <cellStyle name="Normal 2 2 4 2 4" xfId="1131"/>
    <cellStyle name="Normal 2 2 4 2 4 2" xfId="7076"/>
    <cellStyle name="Normal 2 2 4 2 4 2 2" xfId="8553"/>
    <cellStyle name="Normal 2 2 4 2 4 2 2 2" xfId="11450"/>
    <cellStyle name="Normal 2 2 4 2 4 2 3" xfId="10010"/>
    <cellStyle name="Normal 2 2 4 2 4 3" xfId="7894"/>
    <cellStyle name="Normal 2 2 4 2 4 3 2" xfId="10792"/>
    <cellStyle name="Normal 2 2 4 2 4 4" xfId="9352"/>
    <cellStyle name="Normal 2 2 4 2 4 5" xfId="6397"/>
    <cellStyle name="Normal 2 2 4 2 5" xfId="3322"/>
    <cellStyle name="Normal 2 2 4 2 5 2" xfId="8382"/>
    <cellStyle name="Normal 2 2 4 2 5 2 2" xfId="11279"/>
    <cellStyle name="Normal 2 2 4 2 5 3" xfId="9839"/>
    <cellStyle name="Normal 2 2 4 2 5 4" xfId="6904"/>
    <cellStyle name="Normal 2 2 4 2 6" xfId="7721"/>
    <cellStyle name="Normal 2 2 4 2 6 2" xfId="10621"/>
    <cellStyle name="Normal 2 2 4 2 7" xfId="9181"/>
    <cellStyle name="Normal 2 2 4 2 8" xfId="6200"/>
    <cellStyle name="Normal 2 2 4 3" xfId="1132"/>
    <cellStyle name="Normal 2 2 4 3 2" xfId="1133"/>
    <cellStyle name="Normal 2 2 4 3 2 2" xfId="7343"/>
    <cellStyle name="Normal 2 2 4 3 2 2 2" xfId="8820"/>
    <cellStyle name="Normal 2 2 4 3 2 2 2 2" xfId="11717"/>
    <cellStyle name="Normal 2 2 4 3 2 2 3" xfId="10277"/>
    <cellStyle name="Normal 2 2 4 3 2 3" xfId="8162"/>
    <cellStyle name="Normal 2 2 4 3 2 3 2" xfId="11059"/>
    <cellStyle name="Normal 2 2 4 3 2 4" xfId="9619"/>
    <cellStyle name="Normal 2 2 4 3 2 5" xfId="6667"/>
    <cellStyle name="Normal 2 2 4 3 3" xfId="1134"/>
    <cellStyle name="Normal 2 2 4 3 3 2" xfId="7110"/>
    <cellStyle name="Normal 2 2 4 3 3 2 2" xfId="8587"/>
    <cellStyle name="Normal 2 2 4 3 3 2 2 2" xfId="11484"/>
    <cellStyle name="Normal 2 2 4 3 3 2 3" xfId="10044"/>
    <cellStyle name="Normal 2 2 4 3 3 3" xfId="7929"/>
    <cellStyle name="Normal 2 2 4 3 3 3 2" xfId="10826"/>
    <cellStyle name="Normal 2 2 4 3 3 4" xfId="9386"/>
    <cellStyle name="Normal 2 2 4 3 3 5" xfId="6434"/>
    <cellStyle name="Normal 2 2 4 3 4" xfId="3323"/>
    <cellStyle name="Normal 2 2 4 3 4 2" xfId="8438"/>
    <cellStyle name="Normal 2 2 4 3 4 2 2" xfId="11335"/>
    <cellStyle name="Normal 2 2 4 3 4 3" xfId="9895"/>
    <cellStyle name="Normal 2 2 4 3 4 4" xfId="6961"/>
    <cellStyle name="Normal 2 2 4 3 5" xfId="7778"/>
    <cellStyle name="Normal 2 2 4 3 5 2" xfId="10677"/>
    <cellStyle name="Normal 2 2 4 3 6" xfId="9237"/>
    <cellStyle name="Normal 2 2 4 3 7" xfId="6262"/>
    <cellStyle name="Normal 2 2 4 4" xfId="1135"/>
    <cellStyle name="Normal 2 2 4 4 2" xfId="7227"/>
    <cellStyle name="Normal 2 2 4 4 2 2" xfId="8704"/>
    <cellStyle name="Normal 2 2 4 4 2 2 2" xfId="11601"/>
    <cellStyle name="Normal 2 2 4 4 2 3" xfId="10161"/>
    <cellStyle name="Normal 2 2 4 4 3" xfId="8046"/>
    <cellStyle name="Normal 2 2 4 4 3 2" xfId="10943"/>
    <cellStyle name="Normal 2 2 4 4 4" xfId="9503"/>
    <cellStyle name="Normal 2 2 4 4 5" xfId="6551"/>
    <cellStyle name="Normal 2 2 4 5" xfId="1136"/>
    <cellStyle name="Normal 2 2 4 5 2" xfId="6994"/>
    <cellStyle name="Normal 2 2 4 5 2 2" xfId="8471"/>
    <cellStyle name="Normal 2 2 4 5 2 2 2" xfId="11368"/>
    <cellStyle name="Normal 2 2 4 5 2 3" xfId="9928"/>
    <cellStyle name="Normal 2 2 4 5 3" xfId="7812"/>
    <cellStyle name="Normal 2 2 4 5 3 2" xfId="10710"/>
    <cellStyle name="Normal 2 2 4 5 4" xfId="9270"/>
    <cellStyle name="Normal 2 2 4 5 5" xfId="6315"/>
    <cellStyle name="Normal 2 2 4 6" xfId="3321"/>
    <cellStyle name="Normal 2 2 4 6 2" xfId="8934"/>
    <cellStyle name="Normal 2 2 4 6 2 2" xfId="11831"/>
    <cellStyle name="Normal 2 2 4 6 3" xfId="10391"/>
    <cellStyle name="Normal 2 2 4 6 4" xfId="7460"/>
    <cellStyle name="Normal 2 2 4 7" xfId="7519"/>
    <cellStyle name="Normal 2 2 4 7 2" xfId="8991"/>
    <cellStyle name="Normal 2 2 4 7 2 2" xfId="11888"/>
    <cellStyle name="Normal 2 2 4 7 3" xfId="10448"/>
    <cellStyle name="Normal 2 2 4 8" xfId="6821"/>
    <cellStyle name="Normal 2 2 4 8 2" xfId="8301"/>
    <cellStyle name="Normal 2 2 4 8 2 2" xfId="11198"/>
    <cellStyle name="Normal 2 2 4 8 3" xfId="9758"/>
    <cellStyle name="Normal 2 2 4 9" xfId="7640"/>
    <cellStyle name="Normal 2 2 4 9 2" xfId="10540"/>
    <cellStyle name="Normal 2 2 5" xfId="1137"/>
    <cellStyle name="Normal 2 2 5 10" xfId="6169"/>
    <cellStyle name="Normal 2 2 5 2" xfId="1138"/>
    <cellStyle name="Normal 2 2 5 2 2" xfId="1139"/>
    <cellStyle name="Normal 2 2 5 2 2 2" xfId="7369"/>
    <cellStyle name="Normal 2 2 5 2 2 2 2" xfId="8846"/>
    <cellStyle name="Normal 2 2 5 2 2 2 2 2" xfId="11743"/>
    <cellStyle name="Normal 2 2 5 2 2 2 3" xfId="10303"/>
    <cellStyle name="Normal 2 2 5 2 2 3" xfId="8188"/>
    <cellStyle name="Normal 2 2 5 2 2 3 2" xfId="11085"/>
    <cellStyle name="Normal 2 2 5 2 2 4" xfId="9645"/>
    <cellStyle name="Normal 2 2 5 2 2 5" xfId="6693"/>
    <cellStyle name="Normal 2 2 5 2 3" xfId="7136"/>
    <cellStyle name="Normal 2 2 5 2 3 2" xfId="8613"/>
    <cellStyle name="Normal 2 2 5 2 3 2 2" xfId="11510"/>
    <cellStyle name="Normal 2 2 5 2 3 3" xfId="10070"/>
    <cellStyle name="Normal 2 2 5 2 4" xfId="7955"/>
    <cellStyle name="Normal 2 2 5 2 4 2" xfId="10852"/>
    <cellStyle name="Normal 2 2 5 2 5" xfId="9412"/>
    <cellStyle name="Normal 2 2 5 2 6" xfId="6460"/>
    <cellStyle name="Normal 2 2 5 3" xfId="1140"/>
    <cellStyle name="Normal 2 2 5 3 2" xfId="7253"/>
    <cellStyle name="Normal 2 2 5 3 2 2" xfId="8730"/>
    <cellStyle name="Normal 2 2 5 3 2 2 2" xfId="11627"/>
    <cellStyle name="Normal 2 2 5 3 2 3" xfId="10187"/>
    <cellStyle name="Normal 2 2 5 3 3" xfId="8072"/>
    <cellStyle name="Normal 2 2 5 3 3 2" xfId="10969"/>
    <cellStyle name="Normal 2 2 5 3 4" xfId="9529"/>
    <cellStyle name="Normal 2 2 5 3 5" xfId="6577"/>
    <cellStyle name="Normal 2 2 5 4" xfId="1141"/>
    <cellStyle name="Normal 2 2 5 4 2" xfId="7020"/>
    <cellStyle name="Normal 2 2 5 4 2 2" xfId="8497"/>
    <cellStyle name="Normal 2 2 5 4 2 2 2" xfId="11394"/>
    <cellStyle name="Normal 2 2 5 4 2 3" xfId="9954"/>
    <cellStyle name="Normal 2 2 5 4 3" xfId="7838"/>
    <cellStyle name="Normal 2 2 5 4 3 2" xfId="10736"/>
    <cellStyle name="Normal 2 2 5 4 4" xfId="9296"/>
    <cellStyle name="Normal 2 2 5 4 5" xfId="6341"/>
    <cellStyle name="Normal 2 2 5 5" xfId="3324"/>
    <cellStyle name="Normal 2 2 5 5 2" xfId="8960"/>
    <cellStyle name="Normal 2 2 5 5 2 2" xfId="11857"/>
    <cellStyle name="Normal 2 2 5 5 3" xfId="10417"/>
    <cellStyle name="Normal 2 2 5 5 4" xfId="7486"/>
    <cellStyle name="Normal 2 2 5 6" xfId="7545"/>
    <cellStyle name="Normal 2 2 5 6 2" xfId="9017"/>
    <cellStyle name="Normal 2 2 5 6 2 2" xfId="11914"/>
    <cellStyle name="Normal 2 2 5 6 3" xfId="10474"/>
    <cellStyle name="Normal 2 2 5 7" xfId="6874"/>
    <cellStyle name="Normal 2 2 5 7 2" xfId="8352"/>
    <cellStyle name="Normal 2 2 5 7 2 2" xfId="11249"/>
    <cellStyle name="Normal 2 2 5 7 3" xfId="9809"/>
    <cellStyle name="Normal 2 2 5 8" xfId="7691"/>
    <cellStyle name="Normal 2 2 5 8 2" xfId="10591"/>
    <cellStyle name="Normal 2 2 5 9" xfId="9151"/>
    <cellStyle name="Normal 2 2 6" xfId="1142"/>
    <cellStyle name="Normal 2 2 6 2" xfId="1143"/>
    <cellStyle name="Normal 2 2 6 2 2" xfId="1144"/>
    <cellStyle name="Normal 2 2 6 2 2 2" xfId="7395"/>
    <cellStyle name="Normal 2 2 6 2 2 2 2" xfId="8872"/>
    <cellStyle name="Normal 2 2 6 2 2 2 2 2" xfId="11769"/>
    <cellStyle name="Normal 2 2 6 2 2 2 3" xfId="10329"/>
    <cellStyle name="Normal 2 2 6 2 2 3" xfId="8214"/>
    <cellStyle name="Normal 2 2 6 2 2 3 2" xfId="11111"/>
    <cellStyle name="Normal 2 2 6 2 2 4" xfId="9671"/>
    <cellStyle name="Normal 2 2 6 2 2 5" xfId="6719"/>
    <cellStyle name="Normal 2 2 6 2 3" xfId="7162"/>
    <cellStyle name="Normal 2 2 6 2 3 2" xfId="8639"/>
    <cellStyle name="Normal 2 2 6 2 3 2 2" xfId="11536"/>
    <cellStyle name="Normal 2 2 6 2 3 3" xfId="10096"/>
    <cellStyle name="Normal 2 2 6 2 4" xfId="7981"/>
    <cellStyle name="Normal 2 2 6 2 4 2" xfId="10878"/>
    <cellStyle name="Normal 2 2 6 2 5" xfId="9438"/>
    <cellStyle name="Normal 2 2 6 2 6" xfId="6486"/>
    <cellStyle name="Normal 2 2 6 3" xfId="1145"/>
    <cellStyle name="Normal 2 2 6 3 2" xfId="7279"/>
    <cellStyle name="Normal 2 2 6 3 2 2" xfId="8756"/>
    <cellStyle name="Normal 2 2 6 3 2 2 2" xfId="11653"/>
    <cellStyle name="Normal 2 2 6 3 2 3" xfId="10213"/>
    <cellStyle name="Normal 2 2 6 3 3" xfId="8098"/>
    <cellStyle name="Normal 2 2 6 3 3 2" xfId="10995"/>
    <cellStyle name="Normal 2 2 6 3 4" xfId="9555"/>
    <cellStyle name="Normal 2 2 6 3 5" xfId="6603"/>
    <cellStyle name="Normal 2 2 6 4" xfId="1146"/>
    <cellStyle name="Normal 2 2 6 4 2" xfId="7046"/>
    <cellStyle name="Normal 2 2 6 4 2 2" xfId="8523"/>
    <cellStyle name="Normal 2 2 6 4 2 2 2" xfId="11420"/>
    <cellStyle name="Normal 2 2 6 4 2 3" xfId="9980"/>
    <cellStyle name="Normal 2 2 6 4 3" xfId="7864"/>
    <cellStyle name="Normal 2 2 6 4 3 2" xfId="10762"/>
    <cellStyle name="Normal 2 2 6 4 4" xfId="9322"/>
    <cellStyle name="Normal 2 2 6 4 5" xfId="6367"/>
    <cellStyle name="Normal 2 2 6 5" xfId="3325"/>
    <cellStyle name="Normal 2 2 6 5 2" xfId="8408"/>
    <cellStyle name="Normal 2 2 6 5 2 2" xfId="11305"/>
    <cellStyle name="Normal 2 2 6 5 3" xfId="9865"/>
    <cellStyle name="Normal 2 2 6 5 4" xfId="6931"/>
    <cellStyle name="Normal 2 2 6 6" xfId="7748"/>
    <cellStyle name="Normal 2 2 6 6 2" xfId="10647"/>
    <cellStyle name="Normal 2 2 6 7" xfId="9207"/>
    <cellStyle name="Normal 2 2 6 8" xfId="6232"/>
    <cellStyle name="Normal 2 2 7" xfId="1147"/>
    <cellStyle name="Normal 2 2 7 2" xfId="1148"/>
    <cellStyle name="Normal 2 2 7 2 2" xfId="7333"/>
    <cellStyle name="Normal 2 2 7 2 2 2" xfId="8810"/>
    <cellStyle name="Normal 2 2 7 2 2 2 2" xfId="11707"/>
    <cellStyle name="Normal 2 2 7 2 2 3" xfId="10267"/>
    <cellStyle name="Normal 2 2 7 2 3" xfId="8152"/>
    <cellStyle name="Normal 2 2 7 2 3 2" xfId="11049"/>
    <cellStyle name="Normal 2 2 7 2 4" xfId="9609"/>
    <cellStyle name="Normal 2 2 7 2 5" xfId="6657"/>
    <cellStyle name="Normal 2 2 7 3" xfId="7100"/>
    <cellStyle name="Normal 2 2 7 3 2" xfId="8577"/>
    <cellStyle name="Normal 2 2 7 3 2 2" xfId="11474"/>
    <cellStyle name="Normal 2 2 7 3 3" xfId="10034"/>
    <cellStyle name="Normal 2 2 7 4" xfId="7919"/>
    <cellStyle name="Normal 2 2 7 4 2" xfId="10816"/>
    <cellStyle name="Normal 2 2 7 5" xfId="9376"/>
    <cellStyle name="Normal 2 2 7 6" xfId="6424"/>
    <cellStyle name="Normal 2 2 8" xfId="1149"/>
    <cellStyle name="Normal 2 2 8 2" xfId="7217"/>
    <cellStyle name="Normal 2 2 8 2 2" xfId="8694"/>
    <cellStyle name="Normal 2 2 8 2 2 2" xfId="11591"/>
    <cellStyle name="Normal 2 2 8 2 3" xfId="10151"/>
    <cellStyle name="Normal 2 2 8 3" xfId="8036"/>
    <cellStyle name="Normal 2 2 8 3 2" xfId="10933"/>
    <cellStyle name="Normal 2 2 8 4" xfId="9493"/>
    <cellStyle name="Normal 2 2 8 5" xfId="6541"/>
    <cellStyle name="Normal 2 2 9" xfId="1150"/>
    <cellStyle name="Normal 2 2 9 2" xfId="6984"/>
    <cellStyle name="Normal 2 2 9 2 2" xfId="8461"/>
    <cellStyle name="Normal 2 2 9 2 2 2" xfId="11358"/>
    <cellStyle name="Normal 2 2 9 2 3" xfId="9918"/>
    <cellStyle name="Normal 2 2 9 3" xfId="7802"/>
    <cellStyle name="Normal 2 2 9 3 2" xfId="10700"/>
    <cellStyle name="Normal 2 2 9 4" xfId="9260"/>
    <cellStyle name="Normal 2 2 9 5" xfId="6304"/>
    <cellStyle name="Normal 2 20" xfId="3326"/>
    <cellStyle name="Normal 2 20 2" xfId="3327"/>
    <cellStyle name="Normal 2 21" xfId="3328"/>
    <cellStyle name="Normal 2 21 2" xfId="3329"/>
    <cellStyle name="Normal 2 22" xfId="3330"/>
    <cellStyle name="Normal 2 22 2" xfId="3331"/>
    <cellStyle name="Normal 2 23" xfId="3332"/>
    <cellStyle name="Normal 2 23 2" xfId="3333"/>
    <cellStyle name="Normal 2 24" xfId="3334"/>
    <cellStyle name="Normal 2 24 2" xfId="3335"/>
    <cellStyle name="Normal 2 24 2 2" xfId="3336"/>
    <cellStyle name="Normal 2 24 3" xfId="3337"/>
    <cellStyle name="Normal 2 24 4" xfId="3338"/>
    <cellStyle name="Normal 2 25" xfId="3339"/>
    <cellStyle name="Normal 2 25 2" xfId="3340"/>
    <cellStyle name="Normal 2 26" xfId="3341"/>
    <cellStyle name="Normal 2 26 2" xfId="3342"/>
    <cellStyle name="Normal 2 27" xfId="3343"/>
    <cellStyle name="Normal 2 27 2" xfId="3344"/>
    <cellStyle name="Normal 2 28" xfId="3345"/>
    <cellStyle name="Normal 2 28 2" xfId="3346"/>
    <cellStyle name="Normal 2 29" xfId="3347"/>
    <cellStyle name="Normal 2 29 2" xfId="3348"/>
    <cellStyle name="Normal 2 3" xfId="1151"/>
    <cellStyle name="Normal 2 3 2" xfId="3350"/>
    <cellStyle name="Normal 2 3 3" xfId="3351"/>
    <cellStyle name="Normal 2 3 4" xfId="3349"/>
    <cellStyle name="Normal 2 3 5" xfId="6098"/>
    <cellStyle name="Normal 2 30" xfId="3352"/>
    <cellStyle name="Normal 2 30 2" xfId="3353"/>
    <cellStyle name="Normal 2 31" xfId="3354"/>
    <cellStyle name="Normal 2 31 2" xfId="3355"/>
    <cellStyle name="Normal 2 32" xfId="3356"/>
    <cellStyle name="Normal 2 33" xfId="3357"/>
    <cellStyle name="Normal 2 34" xfId="3358"/>
    <cellStyle name="Normal 2 35" xfId="3359"/>
    <cellStyle name="Normal 2 36" xfId="3360"/>
    <cellStyle name="Normal 2 37" xfId="3361"/>
    <cellStyle name="Normal 2 38" xfId="3362"/>
    <cellStyle name="Normal 2 39" xfId="3363"/>
    <cellStyle name="Normal 2 4" xfId="1152"/>
    <cellStyle name="Normal 2 4 2" xfId="3364"/>
    <cellStyle name="Normal 2 4 3" xfId="3365"/>
    <cellStyle name="Normal 2 4 4" xfId="3366"/>
    <cellStyle name="Normal 2 40" xfId="3367"/>
    <cellStyle name="Normal 2 41" xfId="3368"/>
    <cellStyle name="Normal 2 42" xfId="3369"/>
    <cellStyle name="Normal 2 43" xfId="3370"/>
    <cellStyle name="Normal 2 44" xfId="3371"/>
    <cellStyle name="Normal 2 45" xfId="3372"/>
    <cellStyle name="Normal 2 46" xfId="3373"/>
    <cellStyle name="Normal 2 47" xfId="3374"/>
    <cellStyle name="Normal 2 48" xfId="3290"/>
    <cellStyle name="Normal 2 49" xfId="6002"/>
    <cellStyle name="Normal 2 5" xfId="3375"/>
    <cellStyle name="Normal 2 5 2" xfId="3376"/>
    <cellStyle name="Normal 2 5 3" xfId="3377"/>
    <cellStyle name="Normal 2 5 4" xfId="6061"/>
    <cellStyle name="Normal 2 50" xfId="6005"/>
    <cellStyle name="Normal 2 6" xfId="3378"/>
    <cellStyle name="Normal 2 6 2" xfId="3379"/>
    <cellStyle name="Normal 2 7" xfId="3380"/>
    <cellStyle name="Normal 2 7 2" xfId="3381"/>
    <cellStyle name="Normal 2 8" xfId="3382"/>
    <cellStyle name="Normal 2 8 2" xfId="3383"/>
    <cellStyle name="Normal 2 9" xfId="3384"/>
    <cellStyle name="Normal 2 9 2" xfId="3385"/>
    <cellStyle name="Normal 20" xfId="16"/>
    <cellStyle name="Normal 20 2" xfId="3386"/>
    <cellStyle name="Normal 20 3" xfId="6062"/>
    <cellStyle name="Normal 21" xfId="1153"/>
    <cellStyle name="Normal 21 2" xfId="3387"/>
    <cellStyle name="Normal 22" xfId="1154"/>
    <cellStyle name="Normal 22 2" xfId="1155"/>
    <cellStyle name="Normal 22 2 2" xfId="6102"/>
    <cellStyle name="Normal 22 3" xfId="1156"/>
    <cellStyle name="Normal 22 3 2" xfId="1157"/>
    <cellStyle name="Normal 22 3 2 2" xfId="7414"/>
    <cellStyle name="Normal 22 3 2 2 2" xfId="8891"/>
    <cellStyle name="Normal 22 3 2 2 2 2" xfId="11788"/>
    <cellStyle name="Normal 22 3 2 2 3" xfId="10348"/>
    <cellStyle name="Normal 22 3 2 3" xfId="8233"/>
    <cellStyle name="Normal 22 3 2 3 2" xfId="11130"/>
    <cellStyle name="Normal 22 3 2 4" xfId="9690"/>
    <cellStyle name="Normal 22 3 2 5" xfId="6738"/>
    <cellStyle name="Normal 22 3 3" xfId="1158"/>
    <cellStyle name="Normal 22 3 3 2" xfId="7181"/>
    <cellStyle name="Normal 22 3 3 2 2" xfId="8658"/>
    <cellStyle name="Normal 22 3 3 2 2 2" xfId="11555"/>
    <cellStyle name="Normal 22 3 3 2 3" xfId="10115"/>
    <cellStyle name="Normal 22 3 3 3" xfId="8000"/>
    <cellStyle name="Normal 22 3 3 3 2" xfId="10897"/>
    <cellStyle name="Normal 22 3 3 4" xfId="9457"/>
    <cellStyle name="Normal 22 3 3 5" xfId="6505"/>
    <cellStyle name="Normal 22 3 4" xfId="6893"/>
    <cellStyle name="Normal 22 3 4 2" xfId="8371"/>
    <cellStyle name="Normal 22 3 4 2 2" xfId="11268"/>
    <cellStyle name="Normal 22 3 4 3" xfId="9828"/>
    <cellStyle name="Normal 22 3 5" xfId="7710"/>
    <cellStyle name="Normal 22 3 5 2" xfId="10610"/>
    <cellStyle name="Normal 22 3 6" xfId="9170"/>
    <cellStyle name="Normal 22 3 7" xfId="6188"/>
    <cellStyle name="Normal 22 4" xfId="1159"/>
    <cellStyle name="Normal 22 4 2" xfId="1160"/>
    <cellStyle name="Normal 22 4 2 2" xfId="7298"/>
    <cellStyle name="Normal 22 4 2 2 2" xfId="8775"/>
    <cellStyle name="Normal 22 4 2 2 2 2" xfId="11672"/>
    <cellStyle name="Normal 22 4 2 2 3" xfId="10232"/>
    <cellStyle name="Normal 22 4 2 3" xfId="8117"/>
    <cellStyle name="Normal 22 4 2 3 2" xfId="11014"/>
    <cellStyle name="Normal 22 4 2 4" xfId="9574"/>
    <cellStyle name="Normal 22 4 2 5" xfId="6622"/>
    <cellStyle name="Normal 22 4 3" xfId="6950"/>
    <cellStyle name="Normal 22 4 3 2" xfId="8427"/>
    <cellStyle name="Normal 22 4 3 2 2" xfId="11324"/>
    <cellStyle name="Normal 22 4 3 3" xfId="9884"/>
    <cellStyle name="Normal 22 4 4" xfId="7767"/>
    <cellStyle name="Normal 22 4 4 2" xfId="10666"/>
    <cellStyle name="Normal 22 4 5" xfId="9226"/>
    <cellStyle name="Normal 22 4 6" xfId="6251"/>
    <cellStyle name="Normal 22 5" xfId="1161"/>
    <cellStyle name="Normal 22 5 2" xfId="7065"/>
    <cellStyle name="Normal 22 5 2 2" xfId="8542"/>
    <cellStyle name="Normal 22 5 2 2 2" xfId="11439"/>
    <cellStyle name="Normal 22 5 2 3" xfId="9999"/>
    <cellStyle name="Normal 22 5 3" xfId="7883"/>
    <cellStyle name="Normal 22 5 3 2" xfId="10781"/>
    <cellStyle name="Normal 22 5 4" xfId="9341"/>
    <cellStyle name="Normal 22 5 5" xfId="6386"/>
    <cellStyle name="Normal 22 6" xfId="3388"/>
    <cellStyle name="Normal 22 6 2" xfId="8290"/>
    <cellStyle name="Normal 22 6 2 2" xfId="11187"/>
    <cellStyle name="Normal 22 6 3" xfId="9747"/>
    <cellStyle name="Normal 22 6 4" xfId="6809"/>
    <cellStyle name="Normal 22 7" xfId="7629"/>
    <cellStyle name="Normal 22 7 2" xfId="10529"/>
    <cellStyle name="Normal 22 8" xfId="9089"/>
    <cellStyle name="Normal 22 9" xfId="6094"/>
    <cellStyle name="Normal 23" xfId="1162"/>
    <cellStyle name="Normal 23 2" xfId="1163"/>
    <cellStyle name="Normal 23 2 2" xfId="1164"/>
    <cellStyle name="Normal 23 2 2 2" xfId="7415"/>
    <cellStyle name="Normal 23 2 2 2 2" xfId="8892"/>
    <cellStyle name="Normal 23 2 2 2 2 2" xfId="11789"/>
    <cellStyle name="Normal 23 2 2 2 3" xfId="10349"/>
    <cellStyle name="Normal 23 2 2 3" xfId="8234"/>
    <cellStyle name="Normal 23 2 2 3 2" xfId="11131"/>
    <cellStyle name="Normal 23 2 2 4" xfId="9691"/>
    <cellStyle name="Normal 23 2 2 5" xfId="6739"/>
    <cellStyle name="Normal 23 2 3" xfId="1165"/>
    <cellStyle name="Normal 23 2 3 2" xfId="7182"/>
    <cellStyle name="Normal 23 2 3 2 2" xfId="8659"/>
    <cellStyle name="Normal 23 2 3 2 2 2" xfId="11556"/>
    <cellStyle name="Normal 23 2 3 2 3" xfId="10116"/>
    <cellStyle name="Normal 23 2 3 3" xfId="8001"/>
    <cellStyle name="Normal 23 2 3 3 2" xfId="10898"/>
    <cellStyle name="Normal 23 2 3 4" xfId="9458"/>
    <cellStyle name="Normal 23 2 3 5" xfId="6506"/>
    <cellStyle name="Normal 23 2 4" xfId="6894"/>
    <cellStyle name="Normal 23 2 4 2" xfId="8372"/>
    <cellStyle name="Normal 23 2 4 2 2" xfId="11269"/>
    <cellStyle name="Normal 23 2 4 3" xfId="9829"/>
    <cellStyle name="Normal 23 2 5" xfId="7711"/>
    <cellStyle name="Normal 23 2 5 2" xfId="10611"/>
    <cellStyle name="Normal 23 2 6" xfId="9171"/>
    <cellStyle name="Normal 23 2 7" xfId="6190"/>
    <cellStyle name="Normal 23 3" xfId="1166"/>
    <cellStyle name="Normal 23 3 2" xfId="1167"/>
    <cellStyle name="Normal 23 3 2 2" xfId="7299"/>
    <cellStyle name="Normal 23 3 2 2 2" xfId="8776"/>
    <cellStyle name="Normal 23 3 2 2 2 2" xfId="11673"/>
    <cellStyle name="Normal 23 3 2 2 3" xfId="10233"/>
    <cellStyle name="Normal 23 3 2 3" xfId="8118"/>
    <cellStyle name="Normal 23 3 2 3 2" xfId="11015"/>
    <cellStyle name="Normal 23 3 2 4" xfId="9575"/>
    <cellStyle name="Normal 23 3 2 5" xfId="6623"/>
    <cellStyle name="Normal 23 3 3" xfId="6951"/>
    <cellStyle name="Normal 23 3 3 2" xfId="8428"/>
    <cellStyle name="Normal 23 3 3 2 2" xfId="11325"/>
    <cellStyle name="Normal 23 3 3 3" xfId="9885"/>
    <cellStyle name="Normal 23 3 4" xfId="7768"/>
    <cellStyle name="Normal 23 3 4 2" xfId="10667"/>
    <cellStyle name="Normal 23 3 5" xfId="9227"/>
    <cellStyle name="Normal 23 3 6" xfId="6252"/>
    <cellStyle name="Normal 23 4" xfId="1168"/>
    <cellStyle name="Normal 23 4 2" xfId="7066"/>
    <cellStyle name="Normal 23 4 2 2" xfId="8543"/>
    <cellStyle name="Normal 23 4 2 2 2" xfId="11440"/>
    <cellStyle name="Normal 23 4 2 3" xfId="10000"/>
    <cellStyle name="Normal 23 4 3" xfId="7884"/>
    <cellStyle name="Normal 23 4 3 2" xfId="10782"/>
    <cellStyle name="Normal 23 4 4" xfId="9342"/>
    <cellStyle name="Normal 23 4 5" xfId="6387"/>
    <cellStyle name="Normal 23 5" xfId="3389"/>
    <cellStyle name="Normal 23 5 2" xfId="8291"/>
    <cellStyle name="Normal 23 5 2 2" xfId="11188"/>
    <cellStyle name="Normal 23 5 3" xfId="9748"/>
    <cellStyle name="Normal 23 5 4" xfId="6810"/>
    <cellStyle name="Normal 23 6" xfId="7630"/>
    <cellStyle name="Normal 23 6 2" xfId="10530"/>
    <cellStyle name="Normal 23 7" xfId="9090"/>
    <cellStyle name="Normal 23 8" xfId="6099"/>
    <cellStyle name="Normal 24" xfId="1169"/>
    <cellStyle name="Normal 24 2" xfId="1170"/>
    <cellStyle name="Normal 24 2 2" xfId="6418"/>
    <cellStyle name="Normal 24 3" xfId="3390"/>
    <cellStyle name="Normal 25" xfId="1171"/>
    <cellStyle name="Normal 25 10" xfId="3392"/>
    <cellStyle name="Normal 25 100" xfId="3393"/>
    <cellStyle name="Normal 25 101" xfId="3394"/>
    <cellStyle name="Normal 25 102" xfId="3395"/>
    <cellStyle name="Normal 25 103" xfId="3396"/>
    <cellStyle name="Normal 25 104" xfId="3397"/>
    <cellStyle name="Normal 25 105" xfId="3398"/>
    <cellStyle name="Normal 25 106" xfId="3399"/>
    <cellStyle name="Normal 25 107" xfId="3400"/>
    <cellStyle name="Normal 25 108" xfId="3401"/>
    <cellStyle name="Normal 25 109" xfId="3402"/>
    <cellStyle name="Normal 25 11" xfId="3403"/>
    <cellStyle name="Normal 25 110" xfId="3391"/>
    <cellStyle name="Normal 25 12" xfId="3404"/>
    <cellStyle name="Normal 25 13" xfId="3405"/>
    <cellStyle name="Normal 25 14" xfId="3406"/>
    <cellStyle name="Normal 25 15" xfId="3407"/>
    <cellStyle name="Normal 25 16" xfId="3408"/>
    <cellStyle name="Normal 25 17" xfId="3409"/>
    <cellStyle name="Normal 25 18" xfId="3410"/>
    <cellStyle name="Normal 25 19" xfId="3411"/>
    <cellStyle name="Normal 25 2" xfId="1172"/>
    <cellStyle name="Normal 25 2 2" xfId="3412"/>
    <cellStyle name="Normal 25 2 2 2" xfId="8807"/>
    <cellStyle name="Normal 25 2 2 2 2" xfId="11704"/>
    <cellStyle name="Normal 25 2 2 3" xfId="10264"/>
    <cellStyle name="Normal 25 2 2 4" xfId="7330"/>
    <cellStyle name="Normal 25 2 3" xfId="8149"/>
    <cellStyle name="Normal 25 2 3 2" xfId="11046"/>
    <cellStyle name="Normal 25 2 4" xfId="9606"/>
    <cellStyle name="Normal 25 2 5" xfId="6654"/>
    <cellStyle name="Normal 25 20" xfId="3413"/>
    <cellStyle name="Normal 25 21" xfId="3414"/>
    <cellStyle name="Normal 25 22" xfId="3415"/>
    <cellStyle name="Normal 25 23" xfId="3416"/>
    <cellStyle name="Normal 25 24" xfId="3417"/>
    <cellStyle name="Normal 25 25" xfId="3418"/>
    <cellStyle name="Normal 25 26" xfId="3419"/>
    <cellStyle name="Normal 25 27" xfId="3420"/>
    <cellStyle name="Normal 25 28" xfId="3421"/>
    <cellStyle name="Normal 25 29" xfId="3422"/>
    <cellStyle name="Normal 25 3" xfId="1173"/>
    <cellStyle name="Normal 25 3 2" xfId="3423"/>
    <cellStyle name="Normal 25 3 2 2" xfId="8573"/>
    <cellStyle name="Normal 25 3 2 2 2" xfId="11470"/>
    <cellStyle name="Normal 25 3 2 3" xfId="10030"/>
    <cellStyle name="Normal 25 3 2 4" xfId="7096"/>
    <cellStyle name="Normal 25 3 3" xfId="7914"/>
    <cellStyle name="Normal 25 3 3 2" xfId="10812"/>
    <cellStyle name="Normal 25 3 4" xfId="9372"/>
    <cellStyle name="Normal 25 3 5" xfId="6417"/>
    <cellStyle name="Normal 25 30" xfId="3424"/>
    <cellStyle name="Normal 25 31" xfId="3425"/>
    <cellStyle name="Normal 25 32" xfId="3426"/>
    <cellStyle name="Normal 25 33" xfId="3427"/>
    <cellStyle name="Normal 25 34" xfId="3428"/>
    <cellStyle name="Normal 25 35" xfId="3429"/>
    <cellStyle name="Normal 25 36" xfId="3430"/>
    <cellStyle name="Normal 25 37" xfId="3431"/>
    <cellStyle name="Normal 25 38" xfId="3432"/>
    <cellStyle name="Normal 25 39" xfId="3433"/>
    <cellStyle name="Normal 25 4" xfId="3434"/>
    <cellStyle name="Normal 25 40" xfId="3435"/>
    <cellStyle name="Normal 25 41" xfId="3436"/>
    <cellStyle name="Normal 25 42" xfId="3437"/>
    <cellStyle name="Normal 25 43" xfId="3438"/>
    <cellStyle name="Normal 25 44" xfId="3439"/>
    <cellStyle name="Normal 25 45" xfId="3440"/>
    <cellStyle name="Normal 25 46" xfId="3441"/>
    <cellStyle name="Normal 25 47" xfId="3442"/>
    <cellStyle name="Normal 25 48" xfId="3443"/>
    <cellStyle name="Normal 25 49" xfId="3444"/>
    <cellStyle name="Normal 25 5" xfId="3445"/>
    <cellStyle name="Normal 25 50" xfId="3446"/>
    <cellStyle name="Normal 25 51" xfId="3447"/>
    <cellStyle name="Normal 25 52" xfId="3448"/>
    <cellStyle name="Normal 25 53" xfId="3449"/>
    <cellStyle name="Normal 25 54" xfId="3450"/>
    <cellStyle name="Normal 25 55" xfId="3451"/>
    <cellStyle name="Normal 25 56" xfId="3452"/>
    <cellStyle name="Normal 25 57" xfId="3453"/>
    <cellStyle name="Normal 25 58" xfId="3454"/>
    <cellStyle name="Normal 25 59" xfId="3455"/>
    <cellStyle name="Normal 25 6" xfId="3456"/>
    <cellStyle name="Normal 25 60" xfId="3457"/>
    <cellStyle name="Normal 25 61" xfId="3458"/>
    <cellStyle name="Normal 25 62" xfId="3459"/>
    <cellStyle name="Normal 25 63" xfId="3460"/>
    <cellStyle name="Normal 25 64" xfId="3461"/>
    <cellStyle name="Normal 25 65" xfId="3462"/>
    <cellStyle name="Normal 25 66" xfId="3463"/>
    <cellStyle name="Normal 25 67" xfId="3464"/>
    <cellStyle name="Normal 25 68" xfId="3465"/>
    <cellStyle name="Normal 25 69" xfId="3466"/>
    <cellStyle name="Normal 25 7" xfId="3467"/>
    <cellStyle name="Normal 25 70" xfId="3468"/>
    <cellStyle name="Normal 25 71" xfId="3469"/>
    <cellStyle name="Normal 25 72" xfId="3470"/>
    <cellStyle name="Normal 25 73" xfId="3471"/>
    <cellStyle name="Normal 25 74" xfId="3472"/>
    <cellStyle name="Normal 25 75" xfId="3473"/>
    <cellStyle name="Normal 25 76" xfId="3474"/>
    <cellStyle name="Normal 25 77" xfId="3475"/>
    <cellStyle name="Normal 25 78" xfId="3476"/>
    <cellStyle name="Normal 25 79" xfId="3477"/>
    <cellStyle name="Normal 25 8" xfId="3478"/>
    <cellStyle name="Normal 25 80" xfId="3479"/>
    <cellStyle name="Normal 25 81" xfId="3480"/>
    <cellStyle name="Normal 25 82" xfId="3481"/>
    <cellStyle name="Normal 25 83" xfId="3482"/>
    <cellStyle name="Normal 25 84" xfId="3483"/>
    <cellStyle name="Normal 25 85" xfId="3484"/>
    <cellStyle name="Normal 25 86" xfId="3485"/>
    <cellStyle name="Normal 25 87" xfId="3486"/>
    <cellStyle name="Normal 25 88" xfId="3487"/>
    <cellStyle name="Normal 25 89" xfId="3488"/>
    <cellStyle name="Normal 25 9" xfId="3489"/>
    <cellStyle name="Normal 25 90" xfId="3490"/>
    <cellStyle name="Normal 25 91" xfId="3491"/>
    <cellStyle name="Normal 25 92" xfId="3492"/>
    <cellStyle name="Normal 25 93" xfId="3493"/>
    <cellStyle name="Normal 25 94" xfId="3494"/>
    <cellStyle name="Normal 25 95" xfId="3495"/>
    <cellStyle name="Normal 25 96" xfId="3496"/>
    <cellStyle name="Normal 25 97" xfId="3497"/>
    <cellStyle name="Normal 25 98" xfId="3498"/>
    <cellStyle name="Normal 25 99" xfId="3499"/>
    <cellStyle name="Normal 26" xfId="1174"/>
    <cellStyle name="Normal 26 10" xfId="3501"/>
    <cellStyle name="Normal 26 100" xfId="3502"/>
    <cellStyle name="Normal 26 101" xfId="3503"/>
    <cellStyle name="Normal 26 102" xfId="3504"/>
    <cellStyle name="Normal 26 103" xfId="3505"/>
    <cellStyle name="Normal 26 104" xfId="3506"/>
    <cellStyle name="Normal 26 105" xfId="3507"/>
    <cellStyle name="Normal 26 106" xfId="3508"/>
    <cellStyle name="Normal 26 107" xfId="3509"/>
    <cellStyle name="Normal 26 108" xfId="3510"/>
    <cellStyle name="Normal 26 109" xfId="3511"/>
    <cellStyle name="Normal 26 11" xfId="3512"/>
    <cellStyle name="Normal 26 110" xfId="3500"/>
    <cellStyle name="Normal 26 12" xfId="3513"/>
    <cellStyle name="Normal 26 13" xfId="3514"/>
    <cellStyle name="Normal 26 14" xfId="3515"/>
    <cellStyle name="Normal 26 15" xfId="3516"/>
    <cellStyle name="Normal 26 16" xfId="3517"/>
    <cellStyle name="Normal 26 17" xfId="3518"/>
    <cellStyle name="Normal 26 18" xfId="3519"/>
    <cellStyle name="Normal 26 19" xfId="3520"/>
    <cellStyle name="Normal 26 2" xfId="1175"/>
    <cellStyle name="Normal 26 2 2" xfId="3521"/>
    <cellStyle name="Normal 26 2 2 2" xfId="8689"/>
    <cellStyle name="Normal 26 2 2 2 2" xfId="11586"/>
    <cellStyle name="Normal 26 2 2 3" xfId="10146"/>
    <cellStyle name="Normal 26 2 2 4" xfId="7212"/>
    <cellStyle name="Normal 26 2 3" xfId="8031"/>
    <cellStyle name="Normal 26 2 3 2" xfId="10928"/>
    <cellStyle name="Normal 26 2 4" xfId="9488"/>
    <cellStyle name="Normal 26 2 5" xfId="6536"/>
    <cellStyle name="Normal 26 20" xfId="3522"/>
    <cellStyle name="Normal 26 21" xfId="3523"/>
    <cellStyle name="Normal 26 22" xfId="3524"/>
    <cellStyle name="Normal 26 23" xfId="3525"/>
    <cellStyle name="Normal 26 24" xfId="3526"/>
    <cellStyle name="Normal 26 25" xfId="3527"/>
    <cellStyle name="Normal 26 26" xfId="3528"/>
    <cellStyle name="Normal 26 27" xfId="3529"/>
    <cellStyle name="Normal 26 28" xfId="3530"/>
    <cellStyle name="Normal 26 29" xfId="3531"/>
    <cellStyle name="Normal 26 3" xfId="3532"/>
    <cellStyle name="Normal 26 30" xfId="3533"/>
    <cellStyle name="Normal 26 31" xfId="3534"/>
    <cellStyle name="Normal 26 32" xfId="3535"/>
    <cellStyle name="Normal 26 33" xfId="3536"/>
    <cellStyle name="Normal 26 34" xfId="3537"/>
    <cellStyle name="Normal 26 35" xfId="3538"/>
    <cellStyle name="Normal 26 36" xfId="3539"/>
    <cellStyle name="Normal 26 37" xfId="3540"/>
    <cellStyle name="Normal 26 38" xfId="3541"/>
    <cellStyle name="Normal 26 39" xfId="3542"/>
    <cellStyle name="Normal 26 4" xfId="3543"/>
    <cellStyle name="Normal 26 40" xfId="3544"/>
    <cellStyle name="Normal 26 41" xfId="3545"/>
    <cellStyle name="Normal 26 42" xfId="3546"/>
    <cellStyle name="Normal 26 43" xfId="3547"/>
    <cellStyle name="Normal 26 44" xfId="3548"/>
    <cellStyle name="Normal 26 45" xfId="3549"/>
    <cellStyle name="Normal 26 46" xfId="3550"/>
    <cellStyle name="Normal 26 47" xfId="3551"/>
    <cellStyle name="Normal 26 48" xfId="3552"/>
    <cellStyle name="Normal 26 49" xfId="3553"/>
    <cellStyle name="Normal 26 5" xfId="3554"/>
    <cellStyle name="Normal 26 50" xfId="3555"/>
    <cellStyle name="Normal 26 51" xfId="3556"/>
    <cellStyle name="Normal 26 52" xfId="3557"/>
    <cellStyle name="Normal 26 53" xfId="3558"/>
    <cellStyle name="Normal 26 54" xfId="3559"/>
    <cellStyle name="Normal 26 55" xfId="3560"/>
    <cellStyle name="Normal 26 56" xfId="3561"/>
    <cellStyle name="Normal 26 57" xfId="3562"/>
    <cellStyle name="Normal 26 58" xfId="3563"/>
    <cellStyle name="Normal 26 59" xfId="3564"/>
    <cellStyle name="Normal 26 6" xfId="3565"/>
    <cellStyle name="Normal 26 60" xfId="3566"/>
    <cellStyle name="Normal 26 61" xfId="3567"/>
    <cellStyle name="Normal 26 62" xfId="3568"/>
    <cellStyle name="Normal 26 63" xfId="3569"/>
    <cellStyle name="Normal 26 64" xfId="3570"/>
    <cellStyle name="Normal 26 65" xfId="3571"/>
    <cellStyle name="Normal 26 66" xfId="3572"/>
    <cellStyle name="Normal 26 67" xfId="3573"/>
    <cellStyle name="Normal 26 68" xfId="3574"/>
    <cellStyle name="Normal 26 69" xfId="3575"/>
    <cellStyle name="Normal 26 7" xfId="3576"/>
    <cellStyle name="Normal 26 70" xfId="3577"/>
    <cellStyle name="Normal 26 71" xfId="3578"/>
    <cellStyle name="Normal 26 72" xfId="3579"/>
    <cellStyle name="Normal 26 73" xfId="3580"/>
    <cellStyle name="Normal 26 74" xfId="3581"/>
    <cellStyle name="Normal 26 75" xfId="3582"/>
    <cellStyle name="Normal 26 76" xfId="3583"/>
    <cellStyle name="Normal 26 77" xfId="3584"/>
    <cellStyle name="Normal 26 78" xfId="3585"/>
    <cellStyle name="Normal 26 79" xfId="3586"/>
    <cellStyle name="Normal 26 8" xfId="3587"/>
    <cellStyle name="Normal 26 80" xfId="3588"/>
    <cellStyle name="Normal 26 81" xfId="3589"/>
    <cellStyle name="Normal 26 82" xfId="3590"/>
    <cellStyle name="Normal 26 83" xfId="3591"/>
    <cellStyle name="Normal 26 84" xfId="3592"/>
    <cellStyle name="Normal 26 85" xfId="3593"/>
    <cellStyle name="Normal 26 86" xfId="3594"/>
    <cellStyle name="Normal 26 87" xfId="3595"/>
    <cellStyle name="Normal 26 88" xfId="3596"/>
    <cellStyle name="Normal 26 89" xfId="3597"/>
    <cellStyle name="Normal 26 9" xfId="3598"/>
    <cellStyle name="Normal 26 90" xfId="3599"/>
    <cellStyle name="Normal 26 91" xfId="3600"/>
    <cellStyle name="Normal 26 92" xfId="3601"/>
    <cellStyle name="Normal 26 93" xfId="3602"/>
    <cellStyle name="Normal 26 94" xfId="3603"/>
    <cellStyle name="Normal 26 95" xfId="3604"/>
    <cellStyle name="Normal 26 96" xfId="3605"/>
    <cellStyle name="Normal 26 97" xfId="3606"/>
    <cellStyle name="Normal 26 98" xfId="3607"/>
    <cellStyle name="Normal 26 99" xfId="3608"/>
    <cellStyle name="Normal 27" xfId="1176"/>
    <cellStyle name="Normal 27 10" xfId="3610"/>
    <cellStyle name="Normal 27 100" xfId="3611"/>
    <cellStyle name="Normal 27 101" xfId="3612"/>
    <cellStyle name="Normal 27 102" xfId="3613"/>
    <cellStyle name="Normal 27 103" xfId="3614"/>
    <cellStyle name="Normal 27 104" xfId="3615"/>
    <cellStyle name="Normal 27 105" xfId="3616"/>
    <cellStyle name="Normal 27 106" xfId="3617"/>
    <cellStyle name="Normal 27 107" xfId="3618"/>
    <cellStyle name="Normal 27 108" xfId="3619"/>
    <cellStyle name="Normal 27 109" xfId="3620"/>
    <cellStyle name="Normal 27 11" xfId="3621"/>
    <cellStyle name="Normal 27 110" xfId="3609"/>
    <cellStyle name="Normal 27 12" xfId="3622"/>
    <cellStyle name="Normal 27 13" xfId="3623"/>
    <cellStyle name="Normal 27 14" xfId="3624"/>
    <cellStyle name="Normal 27 15" xfId="3625"/>
    <cellStyle name="Normal 27 16" xfId="3626"/>
    <cellStyle name="Normal 27 17" xfId="3627"/>
    <cellStyle name="Normal 27 18" xfId="3628"/>
    <cellStyle name="Normal 27 19" xfId="3629"/>
    <cellStyle name="Normal 27 2" xfId="3630"/>
    <cellStyle name="Normal 27 20" xfId="3631"/>
    <cellStyle name="Normal 27 21" xfId="3632"/>
    <cellStyle name="Normal 27 22" xfId="3633"/>
    <cellStyle name="Normal 27 23" xfId="3634"/>
    <cellStyle name="Normal 27 24" xfId="3635"/>
    <cellStyle name="Normal 27 25" xfId="3636"/>
    <cellStyle name="Normal 27 26" xfId="3637"/>
    <cellStyle name="Normal 27 27" xfId="3638"/>
    <cellStyle name="Normal 27 28" xfId="3639"/>
    <cellStyle name="Normal 27 29" xfId="3640"/>
    <cellStyle name="Normal 27 3" xfId="3641"/>
    <cellStyle name="Normal 27 30" xfId="3642"/>
    <cellStyle name="Normal 27 31" xfId="3643"/>
    <cellStyle name="Normal 27 32" xfId="3644"/>
    <cellStyle name="Normal 27 33" xfId="3645"/>
    <cellStyle name="Normal 27 34" xfId="3646"/>
    <cellStyle name="Normal 27 35" xfId="3647"/>
    <cellStyle name="Normal 27 36" xfId="3648"/>
    <cellStyle name="Normal 27 37" xfId="3649"/>
    <cellStyle name="Normal 27 38" xfId="3650"/>
    <cellStyle name="Normal 27 39" xfId="3651"/>
    <cellStyle name="Normal 27 4" xfId="3652"/>
    <cellStyle name="Normal 27 40" xfId="3653"/>
    <cellStyle name="Normal 27 41" xfId="3654"/>
    <cellStyle name="Normal 27 42" xfId="3655"/>
    <cellStyle name="Normal 27 43" xfId="3656"/>
    <cellStyle name="Normal 27 44" xfId="3657"/>
    <cellStyle name="Normal 27 45" xfId="3658"/>
    <cellStyle name="Normal 27 46" xfId="3659"/>
    <cellStyle name="Normal 27 47" xfId="3660"/>
    <cellStyle name="Normal 27 48" xfId="3661"/>
    <cellStyle name="Normal 27 49" xfId="3662"/>
    <cellStyle name="Normal 27 5" xfId="3663"/>
    <cellStyle name="Normal 27 50" xfId="3664"/>
    <cellStyle name="Normal 27 51" xfId="3665"/>
    <cellStyle name="Normal 27 52" xfId="3666"/>
    <cellStyle name="Normal 27 53" xfId="3667"/>
    <cellStyle name="Normal 27 54" xfId="3668"/>
    <cellStyle name="Normal 27 55" xfId="3669"/>
    <cellStyle name="Normal 27 56" xfId="3670"/>
    <cellStyle name="Normal 27 57" xfId="3671"/>
    <cellStyle name="Normal 27 58" xfId="3672"/>
    <cellStyle name="Normal 27 59" xfId="3673"/>
    <cellStyle name="Normal 27 6" xfId="3674"/>
    <cellStyle name="Normal 27 60" xfId="3675"/>
    <cellStyle name="Normal 27 61" xfId="3676"/>
    <cellStyle name="Normal 27 62" xfId="3677"/>
    <cellStyle name="Normal 27 63" xfId="3678"/>
    <cellStyle name="Normal 27 64" xfId="3679"/>
    <cellStyle name="Normal 27 65" xfId="3680"/>
    <cellStyle name="Normal 27 66" xfId="3681"/>
    <cellStyle name="Normal 27 67" xfId="3682"/>
    <cellStyle name="Normal 27 68" xfId="3683"/>
    <cellStyle name="Normal 27 69" xfId="3684"/>
    <cellStyle name="Normal 27 7" xfId="3685"/>
    <cellStyle name="Normal 27 70" xfId="3686"/>
    <cellStyle name="Normal 27 71" xfId="3687"/>
    <cellStyle name="Normal 27 72" xfId="3688"/>
    <cellStyle name="Normal 27 73" xfId="3689"/>
    <cellStyle name="Normal 27 74" xfId="3690"/>
    <cellStyle name="Normal 27 75" xfId="3691"/>
    <cellStyle name="Normal 27 76" xfId="3692"/>
    <cellStyle name="Normal 27 77" xfId="3693"/>
    <cellStyle name="Normal 27 78" xfId="3694"/>
    <cellStyle name="Normal 27 79" xfId="3695"/>
    <cellStyle name="Normal 27 8" xfId="3696"/>
    <cellStyle name="Normal 27 80" xfId="3697"/>
    <cellStyle name="Normal 27 81" xfId="3698"/>
    <cellStyle name="Normal 27 82" xfId="3699"/>
    <cellStyle name="Normal 27 83" xfId="3700"/>
    <cellStyle name="Normal 27 84" xfId="3701"/>
    <cellStyle name="Normal 27 85" xfId="3702"/>
    <cellStyle name="Normal 27 86" xfId="3703"/>
    <cellStyle name="Normal 27 87" xfId="3704"/>
    <cellStyle name="Normal 27 88" xfId="3705"/>
    <cellStyle name="Normal 27 89" xfId="3706"/>
    <cellStyle name="Normal 27 9" xfId="3707"/>
    <cellStyle name="Normal 27 90" xfId="3708"/>
    <cellStyle name="Normal 27 91" xfId="3709"/>
    <cellStyle name="Normal 27 92" xfId="3710"/>
    <cellStyle name="Normal 27 93" xfId="3711"/>
    <cellStyle name="Normal 27 94" xfId="3712"/>
    <cellStyle name="Normal 27 95" xfId="3713"/>
    <cellStyle name="Normal 27 96" xfId="3714"/>
    <cellStyle name="Normal 27 97" xfId="3715"/>
    <cellStyle name="Normal 27 98" xfId="3716"/>
    <cellStyle name="Normal 27 99" xfId="3717"/>
    <cellStyle name="Normal 28" xfId="18"/>
    <cellStyle name="Normal 28 10" xfId="3719"/>
    <cellStyle name="Normal 28 100" xfId="3720"/>
    <cellStyle name="Normal 28 101" xfId="3721"/>
    <cellStyle name="Normal 28 102" xfId="3722"/>
    <cellStyle name="Normal 28 103" xfId="3723"/>
    <cellStyle name="Normal 28 104" xfId="3724"/>
    <cellStyle name="Normal 28 105" xfId="3725"/>
    <cellStyle name="Normal 28 106" xfId="3726"/>
    <cellStyle name="Normal 28 107" xfId="3727"/>
    <cellStyle name="Normal 28 108" xfId="3728"/>
    <cellStyle name="Normal 28 109" xfId="3729"/>
    <cellStyle name="Normal 28 11" xfId="3730"/>
    <cellStyle name="Normal 28 110" xfId="3718"/>
    <cellStyle name="Normal 28 111" xfId="6223"/>
    <cellStyle name="Normal 28 12" xfId="3731"/>
    <cellStyle name="Normal 28 13" xfId="3732"/>
    <cellStyle name="Normal 28 14" xfId="3733"/>
    <cellStyle name="Normal 28 15" xfId="3734"/>
    <cellStyle name="Normal 28 16" xfId="3735"/>
    <cellStyle name="Normal 28 17" xfId="3736"/>
    <cellStyle name="Normal 28 18" xfId="3737"/>
    <cellStyle name="Normal 28 19" xfId="3738"/>
    <cellStyle name="Normal 28 2" xfId="3739"/>
    <cellStyle name="Normal 28 20" xfId="3740"/>
    <cellStyle name="Normal 28 21" xfId="3741"/>
    <cellStyle name="Normal 28 22" xfId="3742"/>
    <cellStyle name="Normal 28 23" xfId="3743"/>
    <cellStyle name="Normal 28 24" xfId="3744"/>
    <cellStyle name="Normal 28 25" xfId="3745"/>
    <cellStyle name="Normal 28 26" xfId="3746"/>
    <cellStyle name="Normal 28 27" xfId="3747"/>
    <cellStyle name="Normal 28 28" xfId="3748"/>
    <cellStyle name="Normal 28 29" xfId="3749"/>
    <cellStyle name="Normal 28 3" xfId="3750"/>
    <cellStyle name="Normal 28 30" xfId="3751"/>
    <cellStyle name="Normal 28 31" xfId="3752"/>
    <cellStyle name="Normal 28 32" xfId="3753"/>
    <cellStyle name="Normal 28 33" xfId="3754"/>
    <cellStyle name="Normal 28 34" xfId="3755"/>
    <cellStyle name="Normal 28 35" xfId="3756"/>
    <cellStyle name="Normal 28 36" xfId="3757"/>
    <cellStyle name="Normal 28 37" xfId="3758"/>
    <cellStyle name="Normal 28 38" xfId="3759"/>
    <cellStyle name="Normal 28 39" xfId="3760"/>
    <cellStyle name="Normal 28 4" xfId="3761"/>
    <cellStyle name="Normal 28 40" xfId="3762"/>
    <cellStyle name="Normal 28 41" xfId="3763"/>
    <cellStyle name="Normal 28 42" xfId="3764"/>
    <cellStyle name="Normal 28 43" xfId="3765"/>
    <cellStyle name="Normal 28 44" xfId="3766"/>
    <cellStyle name="Normal 28 45" xfId="3767"/>
    <cellStyle name="Normal 28 46" xfId="3768"/>
    <cellStyle name="Normal 28 47" xfId="3769"/>
    <cellStyle name="Normal 28 48" xfId="3770"/>
    <cellStyle name="Normal 28 49" xfId="3771"/>
    <cellStyle name="Normal 28 5" xfId="3772"/>
    <cellStyle name="Normal 28 50" xfId="3773"/>
    <cellStyle name="Normal 28 51" xfId="3774"/>
    <cellStyle name="Normal 28 52" xfId="3775"/>
    <cellStyle name="Normal 28 53" xfId="3776"/>
    <cellStyle name="Normal 28 54" xfId="3777"/>
    <cellStyle name="Normal 28 55" xfId="3778"/>
    <cellStyle name="Normal 28 56" xfId="3779"/>
    <cellStyle name="Normal 28 57" xfId="3780"/>
    <cellStyle name="Normal 28 58" xfId="3781"/>
    <cellStyle name="Normal 28 59" xfId="3782"/>
    <cellStyle name="Normal 28 6" xfId="3783"/>
    <cellStyle name="Normal 28 60" xfId="3784"/>
    <cellStyle name="Normal 28 61" xfId="3785"/>
    <cellStyle name="Normal 28 62" xfId="3786"/>
    <cellStyle name="Normal 28 63" xfId="3787"/>
    <cellStyle name="Normal 28 64" xfId="3788"/>
    <cellStyle name="Normal 28 65" xfId="3789"/>
    <cellStyle name="Normal 28 66" xfId="3790"/>
    <cellStyle name="Normal 28 67" xfId="3791"/>
    <cellStyle name="Normal 28 68" xfId="3792"/>
    <cellStyle name="Normal 28 69" xfId="3793"/>
    <cellStyle name="Normal 28 7" xfId="3794"/>
    <cellStyle name="Normal 28 70" xfId="3795"/>
    <cellStyle name="Normal 28 71" xfId="3796"/>
    <cellStyle name="Normal 28 72" xfId="3797"/>
    <cellStyle name="Normal 28 73" xfId="3798"/>
    <cellStyle name="Normal 28 74" xfId="3799"/>
    <cellStyle name="Normal 28 75" xfId="3800"/>
    <cellStyle name="Normal 28 76" xfId="3801"/>
    <cellStyle name="Normal 28 77" xfId="3802"/>
    <cellStyle name="Normal 28 78" xfId="3803"/>
    <cellStyle name="Normal 28 79" xfId="3804"/>
    <cellStyle name="Normal 28 8" xfId="3805"/>
    <cellStyle name="Normal 28 80" xfId="3806"/>
    <cellStyle name="Normal 28 81" xfId="3807"/>
    <cellStyle name="Normal 28 82" xfId="3808"/>
    <cellStyle name="Normal 28 83" xfId="3809"/>
    <cellStyle name="Normal 28 84" xfId="3810"/>
    <cellStyle name="Normal 28 85" xfId="3811"/>
    <cellStyle name="Normal 28 86" xfId="3812"/>
    <cellStyle name="Normal 28 87" xfId="3813"/>
    <cellStyle name="Normal 28 88" xfId="3814"/>
    <cellStyle name="Normal 28 89" xfId="3815"/>
    <cellStyle name="Normal 28 9" xfId="3816"/>
    <cellStyle name="Normal 28 90" xfId="3817"/>
    <cellStyle name="Normal 28 91" xfId="3818"/>
    <cellStyle name="Normal 28 92" xfId="3819"/>
    <cellStyle name="Normal 28 93" xfId="3820"/>
    <cellStyle name="Normal 28 94" xfId="3821"/>
    <cellStyle name="Normal 28 95" xfId="3822"/>
    <cellStyle name="Normal 28 96" xfId="3823"/>
    <cellStyle name="Normal 28 97" xfId="3824"/>
    <cellStyle name="Normal 28 98" xfId="3825"/>
    <cellStyle name="Normal 28 99" xfId="3826"/>
    <cellStyle name="Normal 29" xfId="1177"/>
    <cellStyle name="Normal 29 10" xfId="3828"/>
    <cellStyle name="Normal 29 100" xfId="3829"/>
    <cellStyle name="Normal 29 101" xfId="3830"/>
    <cellStyle name="Normal 29 102" xfId="3831"/>
    <cellStyle name="Normal 29 103" xfId="3832"/>
    <cellStyle name="Normal 29 104" xfId="3833"/>
    <cellStyle name="Normal 29 105" xfId="3834"/>
    <cellStyle name="Normal 29 106" xfId="3835"/>
    <cellStyle name="Normal 29 107" xfId="3836"/>
    <cellStyle name="Normal 29 108" xfId="3837"/>
    <cellStyle name="Normal 29 109" xfId="3838"/>
    <cellStyle name="Normal 29 11" xfId="3839"/>
    <cellStyle name="Normal 29 110" xfId="3827"/>
    <cellStyle name="Normal 29 111" xfId="6290"/>
    <cellStyle name="Normal 29 12" xfId="3840"/>
    <cellStyle name="Normal 29 13" xfId="3841"/>
    <cellStyle name="Normal 29 14" xfId="3842"/>
    <cellStyle name="Normal 29 15" xfId="3843"/>
    <cellStyle name="Normal 29 16" xfId="3844"/>
    <cellStyle name="Normal 29 17" xfId="3845"/>
    <cellStyle name="Normal 29 18" xfId="3846"/>
    <cellStyle name="Normal 29 19" xfId="3847"/>
    <cellStyle name="Normal 29 2" xfId="3848"/>
    <cellStyle name="Normal 29 20" xfId="3849"/>
    <cellStyle name="Normal 29 21" xfId="3850"/>
    <cellStyle name="Normal 29 22" xfId="3851"/>
    <cellStyle name="Normal 29 23" xfId="3852"/>
    <cellStyle name="Normal 29 24" xfId="3853"/>
    <cellStyle name="Normal 29 25" xfId="3854"/>
    <cellStyle name="Normal 29 26" xfId="3855"/>
    <cellStyle name="Normal 29 27" xfId="3856"/>
    <cellStyle name="Normal 29 28" xfId="3857"/>
    <cellStyle name="Normal 29 29" xfId="3858"/>
    <cellStyle name="Normal 29 3" xfId="3859"/>
    <cellStyle name="Normal 29 30" xfId="3860"/>
    <cellStyle name="Normal 29 31" xfId="3861"/>
    <cellStyle name="Normal 29 32" xfId="3862"/>
    <cellStyle name="Normal 29 33" xfId="3863"/>
    <cellStyle name="Normal 29 34" xfId="3864"/>
    <cellStyle name="Normal 29 35" xfId="3865"/>
    <cellStyle name="Normal 29 36" xfId="3866"/>
    <cellStyle name="Normal 29 37" xfId="3867"/>
    <cellStyle name="Normal 29 38" xfId="3868"/>
    <cellStyle name="Normal 29 39" xfId="3869"/>
    <cellStyle name="Normal 29 4" xfId="3870"/>
    <cellStyle name="Normal 29 40" xfId="3871"/>
    <cellStyle name="Normal 29 41" xfId="3872"/>
    <cellStyle name="Normal 29 42" xfId="3873"/>
    <cellStyle name="Normal 29 43" xfId="3874"/>
    <cellStyle name="Normal 29 44" xfId="3875"/>
    <cellStyle name="Normal 29 45" xfId="3876"/>
    <cellStyle name="Normal 29 46" xfId="3877"/>
    <cellStyle name="Normal 29 47" xfId="3878"/>
    <cellStyle name="Normal 29 48" xfId="3879"/>
    <cellStyle name="Normal 29 49" xfId="3880"/>
    <cellStyle name="Normal 29 5" xfId="3881"/>
    <cellStyle name="Normal 29 50" xfId="3882"/>
    <cellStyle name="Normal 29 51" xfId="3883"/>
    <cellStyle name="Normal 29 52" xfId="3884"/>
    <cellStyle name="Normal 29 53" xfId="3885"/>
    <cellStyle name="Normal 29 54" xfId="3886"/>
    <cellStyle name="Normal 29 55" xfId="3887"/>
    <cellStyle name="Normal 29 56" xfId="3888"/>
    <cellStyle name="Normal 29 57" xfId="3889"/>
    <cellStyle name="Normal 29 58" xfId="3890"/>
    <cellStyle name="Normal 29 59" xfId="3891"/>
    <cellStyle name="Normal 29 6" xfId="3892"/>
    <cellStyle name="Normal 29 60" xfId="3893"/>
    <cellStyle name="Normal 29 61" xfId="3894"/>
    <cellStyle name="Normal 29 62" xfId="3895"/>
    <cellStyle name="Normal 29 63" xfId="3896"/>
    <cellStyle name="Normal 29 64" xfId="3897"/>
    <cellStyle name="Normal 29 65" xfId="3898"/>
    <cellStyle name="Normal 29 66" xfId="3899"/>
    <cellStyle name="Normal 29 67" xfId="3900"/>
    <cellStyle name="Normal 29 68" xfId="3901"/>
    <cellStyle name="Normal 29 69" xfId="3902"/>
    <cellStyle name="Normal 29 7" xfId="3903"/>
    <cellStyle name="Normal 29 70" xfId="3904"/>
    <cellStyle name="Normal 29 71" xfId="3905"/>
    <cellStyle name="Normal 29 72" xfId="3906"/>
    <cellStyle name="Normal 29 73" xfId="3907"/>
    <cellStyle name="Normal 29 74" xfId="3908"/>
    <cellStyle name="Normal 29 75" xfId="3909"/>
    <cellStyle name="Normal 29 76" xfId="3910"/>
    <cellStyle name="Normal 29 77" xfId="3911"/>
    <cellStyle name="Normal 29 78" xfId="3912"/>
    <cellStyle name="Normal 29 79" xfId="3913"/>
    <cellStyle name="Normal 29 8" xfId="3914"/>
    <cellStyle name="Normal 29 80" xfId="3915"/>
    <cellStyle name="Normal 29 81" xfId="3916"/>
    <cellStyle name="Normal 29 82" xfId="3917"/>
    <cellStyle name="Normal 29 83" xfId="3918"/>
    <cellStyle name="Normal 29 84" xfId="3919"/>
    <cellStyle name="Normal 29 85" xfId="3920"/>
    <cellStyle name="Normal 29 86" xfId="3921"/>
    <cellStyle name="Normal 29 87" xfId="3922"/>
    <cellStyle name="Normal 29 88" xfId="3923"/>
    <cellStyle name="Normal 29 89" xfId="3924"/>
    <cellStyle name="Normal 29 9" xfId="3925"/>
    <cellStyle name="Normal 29 90" xfId="3926"/>
    <cellStyle name="Normal 29 91" xfId="3927"/>
    <cellStyle name="Normal 29 92" xfId="3928"/>
    <cellStyle name="Normal 29 93" xfId="3929"/>
    <cellStyle name="Normal 29 94" xfId="3930"/>
    <cellStyle name="Normal 29 95" xfId="3931"/>
    <cellStyle name="Normal 29 96" xfId="3932"/>
    <cellStyle name="Normal 29 97" xfId="3933"/>
    <cellStyle name="Normal 29 98" xfId="3934"/>
    <cellStyle name="Normal 29 99" xfId="3935"/>
    <cellStyle name="Normal 3" xfId="12"/>
    <cellStyle name="Normal-- 3" xfId="3937"/>
    <cellStyle name="Normal 3 10" xfId="3938"/>
    <cellStyle name="Normal 3 11" xfId="3939"/>
    <cellStyle name="Normal 3 12" xfId="3940"/>
    <cellStyle name="Normal 3 13" xfId="3941"/>
    <cellStyle name="Normal 3 14" xfId="3942"/>
    <cellStyle name="Normal 3 15" xfId="3943"/>
    <cellStyle name="Normal 3 16" xfId="3944"/>
    <cellStyle name="Normal 3 17" xfId="3945"/>
    <cellStyle name="Normal 3 18" xfId="3946"/>
    <cellStyle name="Normal 3 19" xfId="3947"/>
    <cellStyle name="Normal 3 2" xfId="1178"/>
    <cellStyle name="Normal 3 2 2" xfId="3949"/>
    <cellStyle name="Normal 3 2 2 2" xfId="3950"/>
    <cellStyle name="Normal 3 2 3" xfId="3951"/>
    <cellStyle name="Normal 3 2 4" xfId="3952"/>
    <cellStyle name="Normal 3 20" xfId="3953"/>
    <cellStyle name="Normal 3 21" xfId="3954"/>
    <cellStyle name="Normal 3 22" xfId="3955"/>
    <cellStyle name="Normal 3 22 2" xfId="3956"/>
    <cellStyle name="Normal 3 22 2 2" xfId="3957"/>
    <cellStyle name="Normal 3 22 2 2 2" xfId="3958"/>
    <cellStyle name="Normal 3 22 2 3" xfId="3959"/>
    <cellStyle name="Normal 3 22 3" xfId="3960"/>
    <cellStyle name="Normal 3 22 3 2" xfId="3961"/>
    <cellStyle name="Normal 3 22 4" xfId="3962"/>
    <cellStyle name="Normal 3 23" xfId="3963"/>
    <cellStyle name="Normal 3 24" xfId="3964"/>
    <cellStyle name="Normal 3 24 2" xfId="3965"/>
    <cellStyle name="Normal 3 24 2 2" xfId="3966"/>
    <cellStyle name="Normal 3 24 3" xfId="3967"/>
    <cellStyle name="Normal 3 25" xfId="3968"/>
    <cellStyle name="Normal 3 26" xfId="3969"/>
    <cellStyle name="Normal 3 27" xfId="3970"/>
    <cellStyle name="Normal 3 28" xfId="3971"/>
    <cellStyle name="Normal 3 29" xfId="3972"/>
    <cellStyle name="Normal 3 3" xfId="1179"/>
    <cellStyle name="Normal 3 3 2" xfId="1180"/>
    <cellStyle name="Normal 3 3 2 2" xfId="3974"/>
    <cellStyle name="Normal 3 3 3" xfId="3975"/>
    <cellStyle name="Normal 3 3 4" xfId="3976"/>
    <cellStyle name="Normal 3 3 5" xfId="3973"/>
    <cellStyle name="Normal 3 30" xfId="3977"/>
    <cellStyle name="Normal 3 31" xfId="3978"/>
    <cellStyle name="Normal 3 32" xfId="3979"/>
    <cellStyle name="Normal 3 33" xfId="3980"/>
    <cellStyle name="Normal 3 34" xfId="3981"/>
    <cellStyle name="Normal 3 35" xfId="3982"/>
    <cellStyle name="Normal 3 36" xfId="3983"/>
    <cellStyle name="Normal 3 37" xfId="3984"/>
    <cellStyle name="Normal 3 38" xfId="3985"/>
    <cellStyle name="Normal 3 39" xfId="3986"/>
    <cellStyle name="Normal 3 39 2" xfId="3987"/>
    <cellStyle name="Normal 3 4" xfId="1181"/>
    <cellStyle name="Normal 3 4 2" xfId="1182"/>
    <cellStyle name="Normal 3 4 2 2" xfId="3989"/>
    <cellStyle name="Normal 3 4 2 3" xfId="6189"/>
    <cellStyle name="Normal 3 4 3" xfId="3990"/>
    <cellStyle name="Normal 3 4 4" xfId="3988"/>
    <cellStyle name="Normal 3 4 5" xfId="6095"/>
    <cellStyle name="Normal 3 40" xfId="3991"/>
    <cellStyle name="Normal 3 41" xfId="3992"/>
    <cellStyle name="Normal 3 42" xfId="3993"/>
    <cellStyle name="Normal 3 43" xfId="3994"/>
    <cellStyle name="Normal 3 44" xfId="3995"/>
    <cellStyle name="Normal 3 45" xfId="3996"/>
    <cellStyle name="Normal 3 46" xfId="3997"/>
    <cellStyle name="Normal 3 47" xfId="3998"/>
    <cellStyle name="Normal 3 48" xfId="3999"/>
    <cellStyle name="Normal 3 49" xfId="4000"/>
    <cellStyle name="Normal 3 5" xfId="1183"/>
    <cellStyle name="Normal 3 5 2" xfId="4002"/>
    <cellStyle name="Normal 3 5 2 2" xfId="8320"/>
    <cellStyle name="Normal 3 5 2 2 2" xfId="11217"/>
    <cellStyle name="Normal 3 5 2 3" xfId="9777"/>
    <cellStyle name="Normal 3 5 2 4" xfId="6840"/>
    <cellStyle name="Normal 3 5 3" xfId="4001"/>
    <cellStyle name="Normal 3 5 3 2" xfId="10559"/>
    <cellStyle name="Normal 3 5 3 3" xfId="7659"/>
    <cellStyle name="Normal 3 5 4" xfId="9119"/>
    <cellStyle name="Normal 3 5 5" xfId="6133"/>
    <cellStyle name="Normal 3 50" xfId="4003"/>
    <cellStyle name="Normal 3 51" xfId="4004"/>
    <cellStyle name="Normal 3 52" xfId="4005"/>
    <cellStyle name="Normal 3 53" xfId="4006"/>
    <cellStyle name="Normal 3 54" xfId="3936"/>
    <cellStyle name="Normal 3 55" xfId="6004"/>
    <cellStyle name="Normal 3 56" xfId="6003"/>
    <cellStyle name="Normal 3 57" xfId="6030"/>
    <cellStyle name="Normal 3 58" xfId="6032"/>
    <cellStyle name="Normal 3 59" xfId="6033"/>
    <cellStyle name="Normal 3 6" xfId="1184"/>
    <cellStyle name="Normal 3 6 2" xfId="4007"/>
    <cellStyle name="Normal 3 6 2 2" xfId="8457"/>
    <cellStyle name="Normal 3 6 2 2 2" xfId="11354"/>
    <cellStyle name="Normal 3 6 2 3" xfId="9914"/>
    <cellStyle name="Normal 3 6 2 4" xfId="6980"/>
    <cellStyle name="Normal 3 6 3" xfId="7798"/>
    <cellStyle name="Normal 3 6 3 2" xfId="10696"/>
    <cellStyle name="Normal 3 6 4" xfId="9256"/>
    <cellStyle name="Normal 3 6 5" xfId="6286"/>
    <cellStyle name="Normal 3 60" xfId="6036"/>
    <cellStyle name="Normal 3 61" xfId="6037"/>
    <cellStyle name="Normal 3 62" xfId="6040"/>
    <cellStyle name="Normal 3 63" xfId="6041"/>
    <cellStyle name="Normal 3 64" xfId="6038"/>
    <cellStyle name="Normal 3 65" xfId="6039"/>
    <cellStyle name="Normal 3 66" xfId="6042"/>
    <cellStyle name="Normal 3 67" xfId="6050"/>
    <cellStyle name="Normal 3 68" xfId="6066"/>
    <cellStyle name="Normal 3 7" xfId="1185"/>
    <cellStyle name="Normal 3 7 2" xfId="4008"/>
    <cellStyle name="Normal 3 7 3" xfId="6063"/>
    <cellStyle name="Normal 3 8" xfId="1507"/>
    <cellStyle name="Normal 3 8 2" xfId="4009"/>
    <cellStyle name="Normal 3 9" xfId="4010"/>
    <cellStyle name="Normal 30" xfId="1186"/>
    <cellStyle name="Normal 30 10" xfId="4012"/>
    <cellStyle name="Normal 30 100" xfId="4013"/>
    <cellStyle name="Normal 30 101" xfId="4014"/>
    <cellStyle name="Normal 30 102" xfId="4015"/>
    <cellStyle name="Normal 30 103" xfId="4016"/>
    <cellStyle name="Normal 30 104" xfId="4017"/>
    <cellStyle name="Normal 30 105" xfId="4018"/>
    <cellStyle name="Normal 30 106" xfId="4019"/>
    <cellStyle name="Normal 30 107" xfId="4020"/>
    <cellStyle name="Normal 30 108" xfId="4021"/>
    <cellStyle name="Normal 30 109" xfId="4022"/>
    <cellStyle name="Normal 30 11" xfId="4023"/>
    <cellStyle name="Normal 30 110" xfId="4011"/>
    <cellStyle name="Normal 30 111" xfId="6288"/>
    <cellStyle name="Normal 30 12" xfId="4024"/>
    <cellStyle name="Normal 30 13" xfId="4025"/>
    <cellStyle name="Normal 30 14" xfId="4026"/>
    <cellStyle name="Normal 30 15" xfId="4027"/>
    <cellStyle name="Normal 30 16" xfId="4028"/>
    <cellStyle name="Normal 30 17" xfId="4029"/>
    <cellStyle name="Normal 30 18" xfId="4030"/>
    <cellStyle name="Normal 30 19" xfId="4031"/>
    <cellStyle name="Normal 30 2" xfId="4032"/>
    <cellStyle name="Normal 30 20" xfId="4033"/>
    <cellStyle name="Normal 30 21" xfId="4034"/>
    <cellStyle name="Normal 30 22" xfId="4035"/>
    <cellStyle name="Normal 30 23" xfId="4036"/>
    <cellStyle name="Normal 30 24" xfId="4037"/>
    <cellStyle name="Normal 30 25" xfId="4038"/>
    <cellStyle name="Normal 30 26" xfId="4039"/>
    <cellStyle name="Normal 30 27" xfId="4040"/>
    <cellStyle name="Normal 30 28" xfId="4041"/>
    <cellStyle name="Normal 30 29" xfId="4042"/>
    <cellStyle name="Normal 30 3" xfId="4043"/>
    <cellStyle name="Normal 30 30" xfId="4044"/>
    <cellStyle name="Normal 30 31" xfId="4045"/>
    <cellStyle name="Normal 30 32" xfId="4046"/>
    <cellStyle name="Normal 30 33" xfId="4047"/>
    <cellStyle name="Normal 30 34" xfId="4048"/>
    <cellStyle name="Normal 30 35" xfId="4049"/>
    <cellStyle name="Normal 30 36" xfId="4050"/>
    <cellStyle name="Normal 30 37" xfId="4051"/>
    <cellStyle name="Normal 30 38" xfId="4052"/>
    <cellStyle name="Normal 30 39" xfId="4053"/>
    <cellStyle name="Normal 30 4" xfId="4054"/>
    <cellStyle name="Normal 30 40" xfId="4055"/>
    <cellStyle name="Normal 30 41" xfId="4056"/>
    <cellStyle name="Normal 30 42" xfId="4057"/>
    <cellStyle name="Normal 30 43" xfId="4058"/>
    <cellStyle name="Normal 30 44" xfId="4059"/>
    <cellStyle name="Normal 30 45" xfId="4060"/>
    <cellStyle name="Normal 30 46" xfId="4061"/>
    <cellStyle name="Normal 30 47" xfId="4062"/>
    <cellStyle name="Normal 30 48" xfId="4063"/>
    <cellStyle name="Normal 30 49" xfId="4064"/>
    <cellStyle name="Normal 30 5" xfId="4065"/>
    <cellStyle name="Normal 30 50" xfId="4066"/>
    <cellStyle name="Normal 30 51" xfId="4067"/>
    <cellStyle name="Normal 30 52" xfId="4068"/>
    <cellStyle name="Normal 30 53" xfId="4069"/>
    <cellStyle name="Normal 30 54" xfId="4070"/>
    <cellStyle name="Normal 30 55" xfId="4071"/>
    <cellStyle name="Normal 30 56" xfId="4072"/>
    <cellStyle name="Normal 30 57" xfId="4073"/>
    <cellStyle name="Normal 30 58" xfId="4074"/>
    <cellStyle name="Normal 30 59" xfId="4075"/>
    <cellStyle name="Normal 30 6" xfId="4076"/>
    <cellStyle name="Normal 30 60" xfId="4077"/>
    <cellStyle name="Normal 30 61" xfId="4078"/>
    <cellStyle name="Normal 30 62" xfId="4079"/>
    <cellStyle name="Normal 30 63" xfId="4080"/>
    <cellStyle name="Normal 30 64" xfId="4081"/>
    <cellStyle name="Normal 30 65" xfId="4082"/>
    <cellStyle name="Normal 30 66" xfId="4083"/>
    <cellStyle name="Normal 30 67" xfId="4084"/>
    <cellStyle name="Normal 30 68" xfId="4085"/>
    <cellStyle name="Normal 30 69" xfId="4086"/>
    <cellStyle name="Normal 30 7" xfId="4087"/>
    <cellStyle name="Normal 30 70" xfId="4088"/>
    <cellStyle name="Normal 30 71" xfId="4089"/>
    <cellStyle name="Normal 30 72" xfId="4090"/>
    <cellStyle name="Normal 30 73" xfId="4091"/>
    <cellStyle name="Normal 30 74" xfId="4092"/>
    <cellStyle name="Normal 30 75" xfId="4093"/>
    <cellStyle name="Normal 30 76" xfId="4094"/>
    <cellStyle name="Normal 30 77" xfId="4095"/>
    <cellStyle name="Normal 30 78" xfId="4096"/>
    <cellStyle name="Normal 30 79" xfId="4097"/>
    <cellStyle name="Normal 30 8" xfId="4098"/>
    <cellStyle name="Normal 30 80" xfId="4099"/>
    <cellStyle name="Normal 30 81" xfId="4100"/>
    <cellStyle name="Normal 30 82" xfId="4101"/>
    <cellStyle name="Normal 30 83" xfId="4102"/>
    <cellStyle name="Normal 30 84" xfId="4103"/>
    <cellStyle name="Normal 30 85" xfId="4104"/>
    <cellStyle name="Normal 30 86" xfId="4105"/>
    <cellStyle name="Normal 30 87" xfId="4106"/>
    <cellStyle name="Normal 30 88" xfId="4107"/>
    <cellStyle name="Normal 30 89" xfId="4108"/>
    <cellStyle name="Normal 30 9" xfId="4109"/>
    <cellStyle name="Normal 30 90" xfId="4110"/>
    <cellStyle name="Normal 30 91" xfId="4111"/>
    <cellStyle name="Normal 30 92" xfId="4112"/>
    <cellStyle name="Normal 30 93" xfId="4113"/>
    <cellStyle name="Normal 30 94" xfId="4114"/>
    <cellStyle name="Normal 30 95" xfId="4115"/>
    <cellStyle name="Normal 30 96" xfId="4116"/>
    <cellStyle name="Normal 30 97" xfId="4117"/>
    <cellStyle name="Normal 30 98" xfId="4118"/>
    <cellStyle name="Normal 30 99" xfId="4119"/>
    <cellStyle name="Normal 31" xfId="15"/>
    <cellStyle name="Normal 31 10" xfId="4121"/>
    <cellStyle name="Normal 31 100" xfId="4122"/>
    <cellStyle name="Normal 31 101" xfId="4123"/>
    <cellStyle name="Normal 31 102" xfId="4124"/>
    <cellStyle name="Normal 31 103" xfId="4125"/>
    <cellStyle name="Normal 31 104" xfId="4126"/>
    <cellStyle name="Normal 31 105" xfId="4127"/>
    <cellStyle name="Normal 31 106" xfId="4128"/>
    <cellStyle name="Normal 31 107" xfId="4129"/>
    <cellStyle name="Normal 31 108" xfId="4130"/>
    <cellStyle name="Normal 31 109" xfId="4131"/>
    <cellStyle name="Normal 31 11" xfId="4132"/>
    <cellStyle name="Normal 31 110" xfId="4120"/>
    <cellStyle name="Normal 31 111" xfId="6769"/>
    <cellStyle name="Normal 31 12" xfId="4133"/>
    <cellStyle name="Normal 31 13" xfId="4134"/>
    <cellStyle name="Normal 31 14" xfId="4135"/>
    <cellStyle name="Normal 31 15" xfId="4136"/>
    <cellStyle name="Normal 31 16" xfId="4137"/>
    <cellStyle name="Normal 31 17" xfId="4138"/>
    <cellStyle name="Normal 31 18" xfId="4139"/>
    <cellStyle name="Normal 31 19" xfId="4140"/>
    <cellStyle name="Normal 31 2" xfId="4141"/>
    <cellStyle name="Normal 31 20" xfId="4142"/>
    <cellStyle name="Normal 31 21" xfId="4143"/>
    <cellStyle name="Normal 31 22" xfId="4144"/>
    <cellStyle name="Normal 31 23" xfId="4145"/>
    <cellStyle name="Normal 31 24" xfId="4146"/>
    <cellStyle name="Normal 31 25" xfId="4147"/>
    <cellStyle name="Normal 31 26" xfId="4148"/>
    <cellStyle name="Normal 31 27" xfId="4149"/>
    <cellStyle name="Normal 31 28" xfId="4150"/>
    <cellStyle name="Normal 31 29" xfId="4151"/>
    <cellStyle name="Normal 31 3" xfId="4152"/>
    <cellStyle name="Normal 31 30" xfId="4153"/>
    <cellStyle name="Normal 31 31" xfId="4154"/>
    <cellStyle name="Normal 31 32" xfId="4155"/>
    <cellStyle name="Normal 31 33" xfId="4156"/>
    <cellStyle name="Normal 31 34" xfId="4157"/>
    <cellStyle name="Normal 31 35" xfId="4158"/>
    <cellStyle name="Normal 31 36" xfId="4159"/>
    <cellStyle name="Normal 31 37" xfId="4160"/>
    <cellStyle name="Normal 31 38" xfId="4161"/>
    <cellStyle name="Normal 31 39" xfId="4162"/>
    <cellStyle name="Normal 31 4" xfId="4163"/>
    <cellStyle name="Normal 31 40" xfId="4164"/>
    <cellStyle name="Normal 31 41" xfId="4165"/>
    <cellStyle name="Normal 31 42" xfId="4166"/>
    <cellStyle name="Normal 31 43" xfId="4167"/>
    <cellStyle name="Normal 31 44" xfId="4168"/>
    <cellStyle name="Normal 31 45" xfId="4169"/>
    <cellStyle name="Normal 31 46" xfId="4170"/>
    <cellStyle name="Normal 31 47" xfId="4171"/>
    <cellStyle name="Normal 31 48" xfId="4172"/>
    <cellStyle name="Normal 31 49" xfId="4173"/>
    <cellStyle name="Normal 31 5" xfId="4174"/>
    <cellStyle name="Normal 31 50" xfId="4175"/>
    <cellStyle name="Normal 31 51" xfId="4176"/>
    <cellStyle name="Normal 31 52" xfId="4177"/>
    <cellStyle name="Normal 31 53" xfId="4178"/>
    <cellStyle name="Normal 31 54" xfId="4179"/>
    <cellStyle name="Normal 31 55" xfId="4180"/>
    <cellStyle name="Normal 31 56" xfId="4181"/>
    <cellStyle name="Normal 31 57" xfId="4182"/>
    <cellStyle name="Normal 31 58" xfId="4183"/>
    <cellStyle name="Normal 31 59" xfId="4184"/>
    <cellStyle name="Normal 31 6" xfId="4185"/>
    <cellStyle name="Normal 31 60" xfId="4186"/>
    <cellStyle name="Normal 31 61" xfId="4187"/>
    <cellStyle name="Normal 31 62" xfId="4188"/>
    <cellStyle name="Normal 31 63" xfId="4189"/>
    <cellStyle name="Normal 31 64" xfId="4190"/>
    <cellStyle name="Normal 31 65" xfId="4191"/>
    <cellStyle name="Normal 31 66" xfId="4192"/>
    <cellStyle name="Normal 31 67" xfId="4193"/>
    <cellStyle name="Normal 31 68" xfId="4194"/>
    <cellStyle name="Normal 31 69" xfId="4195"/>
    <cellStyle name="Normal 31 7" xfId="4196"/>
    <cellStyle name="Normal 31 70" xfId="4197"/>
    <cellStyle name="Normal 31 71" xfId="4198"/>
    <cellStyle name="Normal 31 72" xfId="4199"/>
    <cellStyle name="Normal 31 73" xfId="4200"/>
    <cellStyle name="Normal 31 74" xfId="4201"/>
    <cellStyle name="Normal 31 75" xfId="4202"/>
    <cellStyle name="Normal 31 76" xfId="4203"/>
    <cellStyle name="Normal 31 77" xfId="4204"/>
    <cellStyle name="Normal 31 78" xfId="4205"/>
    <cellStyle name="Normal 31 79" xfId="4206"/>
    <cellStyle name="Normal 31 8" xfId="4207"/>
    <cellStyle name="Normal 31 80" xfId="4208"/>
    <cellStyle name="Normal 31 81" xfId="4209"/>
    <cellStyle name="Normal 31 82" xfId="4210"/>
    <cellStyle name="Normal 31 83" xfId="4211"/>
    <cellStyle name="Normal 31 84" xfId="4212"/>
    <cellStyle name="Normal 31 85" xfId="4213"/>
    <cellStyle name="Normal 31 86" xfId="4214"/>
    <cellStyle name="Normal 31 87" xfId="4215"/>
    <cellStyle name="Normal 31 88" xfId="4216"/>
    <cellStyle name="Normal 31 89" xfId="4217"/>
    <cellStyle name="Normal 31 9" xfId="4218"/>
    <cellStyle name="Normal 31 90" xfId="4219"/>
    <cellStyle name="Normal 31 91" xfId="4220"/>
    <cellStyle name="Normal 31 92" xfId="4221"/>
    <cellStyle name="Normal 31 93" xfId="4222"/>
    <cellStyle name="Normal 31 94" xfId="4223"/>
    <cellStyle name="Normal 31 95" xfId="4224"/>
    <cellStyle name="Normal 31 96" xfId="4225"/>
    <cellStyle name="Normal 31 97" xfId="4226"/>
    <cellStyle name="Normal 31 98" xfId="4227"/>
    <cellStyle name="Normal 31 99" xfId="4228"/>
    <cellStyle name="Normal 32" xfId="1187"/>
    <cellStyle name="Normal 32 2" xfId="4230"/>
    <cellStyle name="Normal 32 3" xfId="4229"/>
    <cellStyle name="Normal 33" xfId="1188"/>
    <cellStyle name="Normal 33 2" xfId="4232"/>
    <cellStyle name="Normal 33 3" xfId="4231"/>
    <cellStyle name="Normal 34" xfId="1189"/>
    <cellStyle name="Normal 34 2" xfId="4233"/>
    <cellStyle name="Normal 35" xfId="1190"/>
    <cellStyle name="Normal 35 10" xfId="4235"/>
    <cellStyle name="Normal 35 100" xfId="4236"/>
    <cellStyle name="Normal 35 101" xfId="4237"/>
    <cellStyle name="Normal 35 102" xfId="4238"/>
    <cellStyle name="Normal 35 103" xfId="4239"/>
    <cellStyle name="Normal 35 104" xfId="4240"/>
    <cellStyle name="Normal 35 105" xfId="4241"/>
    <cellStyle name="Normal 35 106" xfId="4242"/>
    <cellStyle name="Normal 35 107" xfId="4243"/>
    <cellStyle name="Normal 35 108" xfId="4244"/>
    <cellStyle name="Normal 35 109" xfId="4245"/>
    <cellStyle name="Normal 35 11" xfId="4246"/>
    <cellStyle name="Normal 35 110" xfId="4234"/>
    <cellStyle name="Normal 35 12" xfId="4247"/>
    <cellStyle name="Normal 35 13" xfId="4248"/>
    <cellStyle name="Normal 35 14" xfId="4249"/>
    <cellStyle name="Normal 35 15" xfId="4250"/>
    <cellStyle name="Normal 35 16" xfId="4251"/>
    <cellStyle name="Normal 35 17" xfId="4252"/>
    <cellStyle name="Normal 35 18" xfId="4253"/>
    <cellStyle name="Normal 35 19" xfId="4254"/>
    <cellStyle name="Normal 35 2" xfId="4255"/>
    <cellStyle name="Normal 35 20" xfId="4256"/>
    <cellStyle name="Normal 35 21" xfId="4257"/>
    <cellStyle name="Normal 35 22" xfId="4258"/>
    <cellStyle name="Normal 35 23" xfId="4259"/>
    <cellStyle name="Normal 35 24" xfId="4260"/>
    <cellStyle name="Normal 35 25" xfId="4261"/>
    <cellStyle name="Normal 35 26" xfId="4262"/>
    <cellStyle name="Normal 35 27" xfId="4263"/>
    <cellStyle name="Normal 35 28" xfId="4264"/>
    <cellStyle name="Normal 35 29" xfId="4265"/>
    <cellStyle name="Normal 35 3" xfId="4266"/>
    <cellStyle name="Normal 35 30" xfId="4267"/>
    <cellStyle name="Normal 35 31" xfId="4268"/>
    <cellStyle name="Normal 35 32" xfId="4269"/>
    <cellStyle name="Normal 35 33" xfId="4270"/>
    <cellStyle name="Normal 35 34" xfId="4271"/>
    <cellStyle name="Normal 35 35" xfId="4272"/>
    <cellStyle name="Normal 35 36" xfId="4273"/>
    <cellStyle name="Normal 35 37" xfId="4274"/>
    <cellStyle name="Normal 35 38" xfId="4275"/>
    <cellStyle name="Normal 35 39" xfId="4276"/>
    <cellStyle name="Normal 35 4" xfId="4277"/>
    <cellStyle name="Normal 35 40" xfId="4278"/>
    <cellStyle name="Normal 35 41" xfId="4279"/>
    <cellStyle name="Normal 35 42" xfId="4280"/>
    <cellStyle name="Normal 35 43" xfId="4281"/>
    <cellStyle name="Normal 35 44" xfId="4282"/>
    <cellStyle name="Normal 35 45" xfId="4283"/>
    <cellStyle name="Normal 35 46" xfId="4284"/>
    <cellStyle name="Normal 35 47" xfId="4285"/>
    <cellStyle name="Normal 35 48" xfId="4286"/>
    <cellStyle name="Normal 35 49" xfId="4287"/>
    <cellStyle name="Normal 35 5" xfId="4288"/>
    <cellStyle name="Normal 35 50" xfId="4289"/>
    <cellStyle name="Normal 35 51" xfId="4290"/>
    <cellStyle name="Normal 35 52" xfId="4291"/>
    <cellStyle name="Normal 35 53" xfId="4292"/>
    <cellStyle name="Normal 35 54" xfId="4293"/>
    <cellStyle name="Normal 35 55" xfId="4294"/>
    <cellStyle name="Normal 35 56" xfId="4295"/>
    <cellStyle name="Normal 35 57" xfId="4296"/>
    <cellStyle name="Normal 35 58" xfId="4297"/>
    <cellStyle name="Normal 35 59" xfId="4298"/>
    <cellStyle name="Normal 35 6" xfId="4299"/>
    <cellStyle name="Normal 35 60" xfId="4300"/>
    <cellStyle name="Normal 35 61" xfId="4301"/>
    <cellStyle name="Normal 35 62" xfId="4302"/>
    <cellStyle name="Normal 35 63" xfId="4303"/>
    <cellStyle name="Normal 35 64" xfId="4304"/>
    <cellStyle name="Normal 35 65" xfId="4305"/>
    <cellStyle name="Normal 35 66" xfId="4306"/>
    <cellStyle name="Normal 35 67" xfId="4307"/>
    <cellStyle name="Normal 35 68" xfId="4308"/>
    <cellStyle name="Normal 35 69" xfId="4309"/>
    <cellStyle name="Normal 35 7" xfId="4310"/>
    <cellStyle name="Normal 35 70" xfId="4311"/>
    <cellStyle name="Normal 35 71" xfId="4312"/>
    <cellStyle name="Normal 35 72" xfId="4313"/>
    <cellStyle name="Normal 35 73" xfId="4314"/>
    <cellStyle name="Normal 35 74" xfId="4315"/>
    <cellStyle name="Normal 35 75" xfId="4316"/>
    <cellStyle name="Normal 35 76" xfId="4317"/>
    <cellStyle name="Normal 35 77" xfId="4318"/>
    <cellStyle name="Normal 35 78" xfId="4319"/>
    <cellStyle name="Normal 35 79" xfId="4320"/>
    <cellStyle name="Normal 35 8" xfId="4321"/>
    <cellStyle name="Normal 35 80" xfId="4322"/>
    <cellStyle name="Normal 35 81" xfId="4323"/>
    <cellStyle name="Normal 35 82" xfId="4324"/>
    <cellStyle name="Normal 35 83" xfId="4325"/>
    <cellStyle name="Normal 35 84" xfId="4326"/>
    <cellStyle name="Normal 35 85" xfId="4327"/>
    <cellStyle name="Normal 35 86" xfId="4328"/>
    <cellStyle name="Normal 35 87" xfId="4329"/>
    <cellStyle name="Normal 35 88" xfId="4330"/>
    <cellStyle name="Normal 35 89" xfId="4331"/>
    <cellStyle name="Normal 35 9" xfId="4332"/>
    <cellStyle name="Normal 35 90" xfId="4333"/>
    <cellStyle name="Normal 35 91" xfId="4334"/>
    <cellStyle name="Normal 35 92" xfId="4335"/>
    <cellStyle name="Normal 35 93" xfId="4336"/>
    <cellStyle name="Normal 35 94" xfId="4337"/>
    <cellStyle name="Normal 35 95" xfId="4338"/>
    <cellStyle name="Normal 35 96" xfId="4339"/>
    <cellStyle name="Normal 35 97" xfId="4340"/>
    <cellStyle name="Normal 35 98" xfId="4341"/>
    <cellStyle name="Normal 35 99" xfId="4342"/>
    <cellStyle name="Normal 36" xfId="1191"/>
    <cellStyle name="Normal 36 10" xfId="4344"/>
    <cellStyle name="Normal 36 100" xfId="4345"/>
    <cellStyle name="Normal 36 101" xfId="4346"/>
    <cellStyle name="Normal 36 102" xfId="4347"/>
    <cellStyle name="Normal 36 103" xfId="4348"/>
    <cellStyle name="Normal 36 104" xfId="4349"/>
    <cellStyle name="Normal 36 105" xfId="4350"/>
    <cellStyle name="Normal 36 106" xfId="4351"/>
    <cellStyle name="Normal 36 107" xfId="4352"/>
    <cellStyle name="Normal 36 108" xfId="4353"/>
    <cellStyle name="Normal 36 109" xfId="4354"/>
    <cellStyle name="Normal 36 11" xfId="4355"/>
    <cellStyle name="Normal 36 110" xfId="4343"/>
    <cellStyle name="Normal 36 12" xfId="4356"/>
    <cellStyle name="Normal 36 13" xfId="4357"/>
    <cellStyle name="Normal 36 14" xfId="4358"/>
    <cellStyle name="Normal 36 15" xfId="4359"/>
    <cellStyle name="Normal 36 16" xfId="4360"/>
    <cellStyle name="Normal 36 17" xfId="4361"/>
    <cellStyle name="Normal 36 18" xfId="4362"/>
    <cellStyle name="Normal 36 19" xfId="4363"/>
    <cellStyle name="Normal 36 2" xfId="4364"/>
    <cellStyle name="Normal 36 20" xfId="4365"/>
    <cellStyle name="Normal 36 21" xfId="4366"/>
    <cellStyle name="Normal 36 22" xfId="4367"/>
    <cellStyle name="Normal 36 23" xfId="4368"/>
    <cellStyle name="Normal 36 24" xfId="4369"/>
    <cellStyle name="Normal 36 25" xfId="4370"/>
    <cellStyle name="Normal 36 26" xfId="4371"/>
    <cellStyle name="Normal 36 27" xfId="4372"/>
    <cellStyle name="Normal 36 28" xfId="4373"/>
    <cellStyle name="Normal 36 29" xfId="4374"/>
    <cellStyle name="Normal 36 3" xfId="4375"/>
    <cellStyle name="Normal 36 30" xfId="4376"/>
    <cellStyle name="Normal 36 31" xfId="4377"/>
    <cellStyle name="Normal 36 32" xfId="4378"/>
    <cellStyle name="Normal 36 33" xfId="4379"/>
    <cellStyle name="Normal 36 34" xfId="4380"/>
    <cellStyle name="Normal 36 35" xfId="4381"/>
    <cellStyle name="Normal 36 36" xfId="4382"/>
    <cellStyle name="Normal 36 37" xfId="4383"/>
    <cellStyle name="Normal 36 38" xfId="4384"/>
    <cellStyle name="Normal 36 39" xfId="4385"/>
    <cellStyle name="Normal 36 4" xfId="4386"/>
    <cellStyle name="Normal 36 40" xfId="4387"/>
    <cellStyle name="Normal 36 41" xfId="4388"/>
    <cellStyle name="Normal 36 42" xfId="4389"/>
    <cellStyle name="Normal 36 43" xfId="4390"/>
    <cellStyle name="Normal 36 44" xfId="4391"/>
    <cellStyle name="Normal 36 45" xfId="4392"/>
    <cellStyle name="Normal 36 46" xfId="4393"/>
    <cellStyle name="Normal 36 47" xfId="4394"/>
    <cellStyle name="Normal 36 48" xfId="4395"/>
    <cellStyle name="Normal 36 49" xfId="4396"/>
    <cellStyle name="Normal 36 5" xfId="4397"/>
    <cellStyle name="Normal 36 50" xfId="4398"/>
    <cellStyle name="Normal 36 51" xfId="4399"/>
    <cellStyle name="Normal 36 52" xfId="4400"/>
    <cellStyle name="Normal 36 53" xfId="4401"/>
    <cellStyle name="Normal 36 54" xfId="4402"/>
    <cellStyle name="Normal 36 55" xfId="4403"/>
    <cellStyle name="Normal 36 56" xfId="4404"/>
    <cellStyle name="Normal 36 57" xfId="4405"/>
    <cellStyle name="Normal 36 58" xfId="4406"/>
    <cellStyle name="Normal 36 59" xfId="4407"/>
    <cellStyle name="Normal 36 6" xfId="4408"/>
    <cellStyle name="Normal 36 60" xfId="4409"/>
    <cellStyle name="Normal 36 61" xfId="4410"/>
    <cellStyle name="Normal 36 62" xfId="4411"/>
    <cellStyle name="Normal 36 63" xfId="4412"/>
    <cellStyle name="Normal 36 64" xfId="4413"/>
    <cellStyle name="Normal 36 65" xfId="4414"/>
    <cellStyle name="Normal 36 66" xfId="4415"/>
    <cellStyle name="Normal 36 67" xfId="4416"/>
    <cellStyle name="Normal 36 68" xfId="4417"/>
    <cellStyle name="Normal 36 69" xfId="4418"/>
    <cellStyle name="Normal 36 7" xfId="4419"/>
    <cellStyle name="Normal 36 70" xfId="4420"/>
    <cellStyle name="Normal 36 71" xfId="4421"/>
    <cellStyle name="Normal 36 72" xfId="4422"/>
    <cellStyle name="Normal 36 73" xfId="4423"/>
    <cellStyle name="Normal 36 74" xfId="4424"/>
    <cellStyle name="Normal 36 75" xfId="4425"/>
    <cellStyle name="Normal 36 76" xfId="4426"/>
    <cellStyle name="Normal 36 77" xfId="4427"/>
    <cellStyle name="Normal 36 78" xfId="4428"/>
    <cellStyle name="Normal 36 79" xfId="4429"/>
    <cellStyle name="Normal 36 8" xfId="4430"/>
    <cellStyle name="Normal 36 80" xfId="4431"/>
    <cellStyle name="Normal 36 81" xfId="4432"/>
    <cellStyle name="Normal 36 82" xfId="4433"/>
    <cellStyle name="Normal 36 83" xfId="4434"/>
    <cellStyle name="Normal 36 84" xfId="4435"/>
    <cellStyle name="Normal 36 85" xfId="4436"/>
    <cellStyle name="Normal 36 86" xfId="4437"/>
    <cellStyle name="Normal 36 87" xfId="4438"/>
    <cellStyle name="Normal 36 88" xfId="4439"/>
    <cellStyle name="Normal 36 89" xfId="4440"/>
    <cellStyle name="Normal 36 9" xfId="4441"/>
    <cellStyle name="Normal 36 90" xfId="4442"/>
    <cellStyle name="Normal 36 91" xfId="4443"/>
    <cellStyle name="Normal 36 92" xfId="4444"/>
    <cellStyle name="Normal 36 93" xfId="4445"/>
    <cellStyle name="Normal 36 94" xfId="4446"/>
    <cellStyle name="Normal 36 95" xfId="4447"/>
    <cellStyle name="Normal 36 96" xfId="4448"/>
    <cellStyle name="Normal 36 97" xfId="4449"/>
    <cellStyle name="Normal 36 98" xfId="4450"/>
    <cellStyle name="Normal 36 99" xfId="4451"/>
    <cellStyle name="Normal 37" xfId="1192"/>
    <cellStyle name="Normal 37 2" xfId="4452"/>
    <cellStyle name="Normal 38" xfId="1193"/>
    <cellStyle name="Normal 38 2" xfId="4453"/>
    <cellStyle name="Normal 39" xfId="1194"/>
    <cellStyle name="Normal 39 2" xfId="4454"/>
    <cellStyle name="Normal 4" xfId="1195"/>
    <cellStyle name="Normal-- 4" xfId="4455"/>
    <cellStyle name="Normal 4 10" xfId="4456"/>
    <cellStyle name="Normal 4 10 2" xfId="4457"/>
    <cellStyle name="Normal 4 100" xfId="4458"/>
    <cellStyle name="Normal 4 101" xfId="4459"/>
    <cellStyle name="Normal 4 102" xfId="4460"/>
    <cellStyle name="Normal 4 103" xfId="4461"/>
    <cellStyle name="Normal 4 104" xfId="4462"/>
    <cellStyle name="Normal 4 105" xfId="4463"/>
    <cellStyle name="Normal 4 106" xfId="4464"/>
    <cellStyle name="Normal 4 107" xfId="4465"/>
    <cellStyle name="Normal 4 108" xfId="4466"/>
    <cellStyle name="Normal 4 109" xfId="4467"/>
    <cellStyle name="Normal 4 11" xfId="4468"/>
    <cellStyle name="Normal 4 11 2" xfId="4469"/>
    <cellStyle name="Normal 4 110" xfId="4470"/>
    <cellStyle name="Normal 4 111" xfId="4471"/>
    <cellStyle name="Normal 4 112" xfId="4472"/>
    <cellStyle name="Normal 4 113" xfId="4473"/>
    <cellStyle name="Normal 4 114" xfId="4474"/>
    <cellStyle name="Normal 4 115" xfId="4475"/>
    <cellStyle name="Normal 4 116" xfId="4476"/>
    <cellStyle name="Normal 4 117" xfId="4477"/>
    <cellStyle name="Normal 4 118" xfId="4478"/>
    <cellStyle name="Normal 4 119" xfId="4479"/>
    <cellStyle name="Normal 4 12" xfId="4480"/>
    <cellStyle name="Normal 4 12 2" xfId="4481"/>
    <cellStyle name="Normal 4 120" xfId="4482"/>
    <cellStyle name="Normal 4 121" xfId="6010"/>
    <cellStyle name="Normal 4 122" xfId="6001"/>
    <cellStyle name="Normal 4 13" xfId="4483"/>
    <cellStyle name="Normal 4 13 2" xfId="4484"/>
    <cellStyle name="Normal 4 14" xfId="4485"/>
    <cellStyle name="Normal 4 14 2" xfId="4486"/>
    <cellStyle name="Normal 4 15" xfId="4487"/>
    <cellStyle name="Normal 4 15 2" xfId="4488"/>
    <cellStyle name="Normal 4 16" xfId="4489"/>
    <cellStyle name="Normal 4 16 2" xfId="4490"/>
    <cellStyle name="Normal 4 17" xfId="4491"/>
    <cellStyle name="Normal 4 17 2" xfId="4492"/>
    <cellStyle name="Normal 4 18" xfId="4493"/>
    <cellStyle name="Normal 4 18 2" xfId="4494"/>
    <cellStyle name="Normal 4 19" xfId="4495"/>
    <cellStyle name="Normal 4 19 2" xfId="4496"/>
    <cellStyle name="Normal 4 2" xfId="1196"/>
    <cellStyle name="Normal 4 2 10" xfId="4497"/>
    <cellStyle name="Normal 4 2 2" xfId="4498"/>
    <cellStyle name="Normal 4 2 3" xfId="4499"/>
    <cellStyle name="Normal 4 2 4" xfId="4500"/>
    <cellStyle name="Normal 4 2 5" xfId="4501"/>
    <cellStyle name="Normal 4 2 6" xfId="4502"/>
    <cellStyle name="Normal 4 2 7" xfId="4503"/>
    <cellStyle name="Normal 4 2 8" xfId="4504"/>
    <cellStyle name="Normal 4 2 9" xfId="4505"/>
    <cellStyle name="Normal 4 20" xfId="4506"/>
    <cellStyle name="Normal 4 20 2" xfId="4507"/>
    <cellStyle name="Normal 4 21" xfId="4508"/>
    <cellStyle name="Normal 4 21 2" xfId="4509"/>
    <cellStyle name="Normal 4 21 2 2" xfId="4510"/>
    <cellStyle name="Normal 4 21 2 2 2" xfId="4511"/>
    <cellStyle name="Normal 4 21 2 2 2 2" xfId="4512"/>
    <cellStyle name="Normal 4 21 2 2 3" xfId="4513"/>
    <cellStyle name="Normal 4 21 2 3" xfId="4514"/>
    <cellStyle name="Normal 4 21 2 3 2" xfId="4515"/>
    <cellStyle name="Normal 4 21 2 4" xfId="4516"/>
    <cellStyle name="Normal 4 21 3" xfId="4517"/>
    <cellStyle name="Normal 4 21 3 2" xfId="4518"/>
    <cellStyle name="Normal 4 21 3 2 2" xfId="4519"/>
    <cellStyle name="Normal 4 21 3 2 2 2" xfId="4520"/>
    <cellStyle name="Normal 4 21 3 2 3" xfId="4521"/>
    <cellStyle name="Normal 4 21 3 3" xfId="4522"/>
    <cellStyle name="Normal 4 21 3 3 2" xfId="4523"/>
    <cellStyle name="Normal 4 21 3 4" xfId="4524"/>
    <cellStyle name="Normal 4 21 4" xfId="4525"/>
    <cellStyle name="Normal 4 21 4 2" xfId="4526"/>
    <cellStyle name="Normal 4 21 4 2 2" xfId="4527"/>
    <cellStyle name="Normal 4 21 4 2 2 2" xfId="4528"/>
    <cellStyle name="Normal 4 21 4 2 3" xfId="4529"/>
    <cellStyle name="Normal 4 21 4 3" xfId="4530"/>
    <cellStyle name="Normal 4 21 4 3 2" xfId="4531"/>
    <cellStyle name="Normal 4 21 4 4" xfId="4532"/>
    <cellStyle name="Normal 4 21 5" xfId="4533"/>
    <cellStyle name="Normal 4 21 5 2" xfId="4534"/>
    <cellStyle name="Normal 4 21 5 2 2" xfId="4535"/>
    <cellStyle name="Normal 4 21 5 3" xfId="4536"/>
    <cellStyle name="Normal 4 21 6" xfId="4537"/>
    <cellStyle name="Normal 4 21 6 2" xfId="4538"/>
    <cellStyle name="Normal 4 21 7" xfId="4539"/>
    <cellStyle name="Normal 4 21 8" xfId="4540"/>
    <cellStyle name="Normal 4 22" xfId="4541"/>
    <cellStyle name="Normal 4 22 2" xfId="4542"/>
    <cellStyle name="Normal 4 22 2 2" xfId="4543"/>
    <cellStyle name="Normal 4 22 2 2 2" xfId="4544"/>
    <cellStyle name="Normal 4 22 2 3" xfId="4545"/>
    <cellStyle name="Normal 4 22 3" xfId="4546"/>
    <cellStyle name="Normal 4 22 3 2" xfId="4547"/>
    <cellStyle name="Normal 4 22 4" xfId="4548"/>
    <cellStyle name="Normal 4 22 5" xfId="4549"/>
    <cellStyle name="Normal 4 23" xfId="4550"/>
    <cellStyle name="Normal 4 23 2" xfId="4551"/>
    <cellStyle name="Normal 4 23 2 2" xfId="4552"/>
    <cellStyle name="Normal 4 23 2 2 2" xfId="4553"/>
    <cellStyle name="Normal 4 23 2 3" xfId="4554"/>
    <cellStyle name="Normal 4 23 3" xfId="4555"/>
    <cellStyle name="Normal 4 23 3 2" xfId="4556"/>
    <cellStyle name="Normal 4 23 4" xfId="4557"/>
    <cellStyle name="Normal 4 23 5" xfId="4558"/>
    <cellStyle name="Normal 4 24" xfId="4559"/>
    <cellStyle name="Normal 4 24 2" xfId="4560"/>
    <cellStyle name="Normal 4 24 2 2" xfId="4561"/>
    <cellStyle name="Normal 4 24 2 2 2" xfId="4562"/>
    <cellStyle name="Normal 4 24 2 3" xfId="4563"/>
    <cellStyle name="Normal 4 24 3" xfId="4564"/>
    <cellStyle name="Normal 4 24 3 2" xfId="4565"/>
    <cellStyle name="Normal 4 24 4" xfId="4566"/>
    <cellStyle name="Normal 4 24 5" xfId="4567"/>
    <cellStyle name="Normal 4 25" xfId="4568"/>
    <cellStyle name="Normal 4 25 2" xfId="4569"/>
    <cellStyle name="Normal 4 25 2 2" xfId="4570"/>
    <cellStyle name="Normal 4 25 3" xfId="4571"/>
    <cellStyle name="Normal 4 25 4" xfId="4572"/>
    <cellStyle name="Normal 4 26" xfId="4573"/>
    <cellStyle name="Normal 4 26 2" xfId="4574"/>
    <cellStyle name="Normal 4 27" xfId="4575"/>
    <cellStyle name="Normal 4 27 2" xfId="4576"/>
    <cellStyle name="Normal 4 27 2 2" xfId="4577"/>
    <cellStyle name="Normal 4 27 3" xfId="4578"/>
    <cellStyle name="Normal 4 27 4" xfId="4579"/>
    <cellStyle name="Normal 4 28" xfId="4580"/>
    <cellStyle name="Normal 4 28 2" xfId="4581"/>
    <cellStyle name="Normal 4 28 3" xfId="4582"/>
    <cellStyle name="Normal 4 29" xfId="4583"/>
    <cellStyle name="Normal 4 29 2" xfId="4584"/>
    <cellStyle name="Normal 4 3" xfId="1197"/>
    <cellStyle name="Normal 4 3 2" xfId="4586"/>
    <cellStyle name="Normal 4 3 2 2" xfId="4587"/>
    <cellStyle name="Normal 4 3 2 2 2" xfId="4588"/>
    <cellStyle name="Normal 4 3 2 2 2 2" xfId="11231"/>
    <cellStyle name="Normal 4 3 2 2 3" xfId="8334"/>
    <cellStyle name="Normal 4 3 2 3" xfId="4589"/>
    <cellStyle name="Normal 4 3 2 3 2" xfId="9791"/>
    <cellStyle name="Normal 4 3 2 4" xfId="4590"/>
    <cellStyle name="Normal 4 3 2 5" xfId="6855"/>
    <cellStyle name="Normal 4 3 3" xfId="4591"/>
    <cellStyle name="Normal 4 3 3 2" xfId="10573"/>
    <cellStyle name="Normal 4 3 3 3" xfId="7673"/>
    <cellStyle name="Normal 4 3 4" xfId="4592"/>
    <cellStyle name="Normal 4 3 4 2" xfId="9133"/>
    <cellStyle name="Normal 4 3 5" xfId="4585"/>
    <cellStyle name="Normal 4 3 6" xfId="6147"/>
    <cellStyle name="Normal 4 30" xfId="4593"/>
    <cellStyle name="Normal 4 30 2" xfId="4594"/>
    <cellStyle name="Normal 4 31" xfId="4595"/>
    <cellStyle name="Normal 4 31 2" xfId="4596"/>
    <cellStyle name="Normal 4 32" xfId="4597"/>
    <cellStyle name="Normal 4 32 2" xfId="4598"/>
    <cellStyle name="Normal 4 33" xfId="4599"/>
    <cellStyle name="Normal 4 33 2" xfId="4600"/>
    <cellStyle name="Normal 4 34" xfId="4601"/>
    <cellStyle name="Normal 4 35" xfId="4602"/>
    <cellStyle name="Normal 4 36" xfId="4603"/>
    <cellStyle name="Normal 4 37" xfId="4604"/>
    <cellStyle name="Normal 4 38" xfId="4605"/>
    <cellStyle name="Normal 4 39" xfId="4606"/>
    <cellStyle name="Normal 4 4" xfId="1198"/>
    <cellStyle name="Normal 4 4 2" xfId="4608"/>
    <cellStyle name="Normal 4 4 3" xfId="4609"/>
    <cellStyle name="Normal 4 4 4" xfId="4610"/>
    <cellStyle name="Normal 4 4 5" xfId="4607"/>
    <cellStyle name="Normal 4 40" xfId="4611"/>
    <cellStyle name="Normal 4 41" xfId="4612"/>
    <cellStyle name="Normal 4 42" xfId="4613"/>
    <cellStyle name="Normal 4 43" xfId="4614"/>
    <cellStyle name="Normal 4 44" xfId="4615"/>
    <cellStyle name="Normal 4 45" xfId="4616"/>
    <cellStyle name="Normal 4 46" xfId="4617"/>
    <cellStyle name="Normal 4 47" xfId="4618"/>
    <cellStyle name="Normal 4 48" xfId="4619"/>
    <cellStyle name="Normal 4 49" xfId="4620"/>
    <cellStyle name="Normal 4 5" xfId="1508"/>
    <cellStyle name="Normal 4 5 2" xfId="4622"/>
    <cellStyle name="Normal 4 5 3" xfId="4621"/>
    <cellStyle name="Normal 4 50" xfId="4623"/>
    <cellStyle name="Normal 4 51" xfId="4624"/>
    <cellStyle name="Normal 4 52" xfId="4625"/>
    <cellStyle name="Normal 4 53" xfId="4626"/>
    <cellStyle name="Normal 4 54" xfId="4627"/>
    <cellStyle name="Normal 4 55" xfId="4628"/>
    <cellStyle name="Normal 4 56" xfId="4629"/>
    <cellStyle name="Normal 4 57" xfId="4630"/>
    <cellStyle name="Normal 4 58" xfId="4631"/>
    <cellStyle name="Normal 4 59" xfId="4632"/>
    <cellStyle name="Normal 4 6" xfId="4633"/>
    <cellStyle name="Normal 4 6 2" xfId="4634"/>
    <cellStyle name="Normal 4 60" xfId="4635"/>
    <cellStyle name="Normal 4 61" xfId="4636"/>
    <cellStyle name="Normal 4 62" xfId="4637"/>
    <cellStyle name="Normal 4 63" xfId="4638"/>
    <cellStyle name="Normal 4 64" xfId="4639"/>
    <cellStyle name="Normal 4 65" xfId="4640"/>
    <cellStyle name="Normal 4 66" xfId="4641"/>
    <cellStyle name="Normal 4 67" xfId="4642"/>
    <cellStyle name="Normal 4 68" xfId="4643"/>
    <cellStyle name="Normal 4 69" xfId="4644"/>
    <cellStyle name="Normal 4 7" xfId="4645"/>
    <cellStyle name="Normal 4 7 2" xfId="4646"/>
    <cellStyle name="Normal 4 70" xfId="4647"/>
    <cellStyle name="Normal 4 71" xfId="4648"/>
    <cellStyle name="Normal 4 72" xfId="4649"/>
    <cellStyle name="Normal 4 73" xfId="4650"/>
    <cellStyle name="Normal 4 74" xfId="4651"/>
    <cellStyle name="Normal 4 75" xfId="4652"/>
    <cellStyle name="Normal 4 76" xfId="4653"/>
    <cellStyle name="Normal 4 77" xfId="4654"/>
    <cellStyle name="Normal 4 78" xfId="4655"/>
    <cellStyle name="Normal 4 79" xfId="4656"/>
    <cellStyle name="Normal 4 8" xfId="4657"/>
    <cellStyle name="Normal 4 8 2" xfId="4658"/>
    <cellStyle name="Normal 4 80" xfId="4659"/>
    <cellStyle name="Normal 4 81" xfId="4660"/>
    <cellStyle name="Normal 4 82" xfId="4661"/>
    <cellStyle name="Normal 4 83" xfId="4662"/>
    <cellStyle name="Normal 4 84" xfId="4663"/>
    <cellStyle name="Normal 4 85" xfId="4664"/>
    <cellStyle name="Normal 4 86" xfId="4665"/>
    <cellStyle name="Normal 4 87" xfId="4666"/>
    <cellStyle name="Normal 4 88" xfId="4667"/>
    <cellStyle name="Normal 4 89" xfId="4668"/>
    <cellStyle name="Normal 4 9" xfId="4669"/>
    <cellStyle name="Normal 4 9 2" xfId="4670"/>
    <cellStyle name="Normal 4 90" xfId="4671"/>
    <cellStyle name="Normal 4 91" xfId="4672"/>
    <cellStyle name="Normal 4 92" xfId="4673"/>
    <cellStyle name="Normal 4 93" xfId="4674"/>
    <cellStyle name="Normal 4 94" xfId="4675"/>
    <cellStyle name="Normal 4 95" xfId="4676"/>
    <cellStyle name="Normal 4 96" xfId="4677"/>
    <cellStyle name="Normal 4 97" xfId="4678"/>
    <cellStyle name="Normal 4 98" xfId="4679"/>
    <cellStyle name="Normal 4 99" xfId="4680"/>
    <cellStyle name="Normal 4_Centre Wellington 2013 Load Foecast-April 4" xfId="1199"/>
    <cellStyle name="Normal 40" xfId="1200"/>
    <cellStyle name="Normal 40 2" xfId="4681"/>
    <cellStyle name="Normal 41" xfId="1201"/>
    <cellStyle name="Normal 41 2" xfId="4682"/>
    <cellStyle name="Normal 42" xfId="1202"/>
    <cellStyle name="Normal 42 2" xfId="4683"/>
    <cellStyle name="Normal 43" xfId="1203"/>
    <cellStyle name="Normal 43 2" xfId="4684"/>
    <cellStyle name="Normal 44" xfId="1204"/>
    <cellStyle name="Normal 44 2" xfId="4685"/>
    <cellStyle name="Normal 45" xfId="1205"/>
    <cellStyle name="Normal 45 2" xfId="4686"/>
    <cellStyle name="Normal 46" xfId="1206"/>
    <cellStyle name="Normal 46 2" xfId="4687"/>
    <cellStyle name="Normal 47" xfId="1207"/>
    <cellStyle name="Normal 47 10" xfId="4689"/>
    <cellStyle name="Normal 47 11" xfId="4690"/>
    <cellStyle name="Normal 47 11 2" xfId="4691"/>
    <cellStyle name="Normal 47 11 3" xfId="4692"/>
    <cellStyle name="Normal 47 11 4" xfId="4693"/>
    <cellStyle name="Normal 47 11 5" xfId="4694"/>
    <cellStyle name="Normal 47 11 6" xfId="4695"/>
    <cellStyle name="Normal 47 11 7" xfId="4696"/>
    <cellStyle name="Normal 47 11 8" xfId="4697"/>
    <cellStyle name="Normal 47 12" xfId="4698"/>
    <cellStyle name="Normal 47 13" xfId="4699"/>
    <cellStyle name="Normal 47 14" xfId="4700"/>
    <cellStyle name="Normal 47 15" xfId="4701"/>
    <cellStyle name="Normal 47 16" xfId="4702"/>
    <cellStyle name="Normal 47 17" xfId="4703"/>
    <cellStyle name="Normal 47 18" xfId="4688"/>
    <cellStyle name="Normal 47 2" xfId="4704"/>
    <cellStyle name="Normal 47 3" xfId="4705"/>
    <cellStyle name="Normal 47 3 2" xfId="4706"/>
    <cellStyle name="Normal 47 3 3" xfId="4707"/>
    <cellStyle name="Normal 47 3 4" xfId="4708"/>
    <cellStyle name="Normal 47 3 5" xfId="4709"/>
    <cellStyle name="Normal 47 3 6" xfId="4710"/>
    <cellStyle name="Normal 47 3 7" xfId="4711"/>
    <cellStyle name="Normal 47 3 8" xfId="4712"/>
    <cellStyle name="Normal 47 4" xfId="4713"/>
    <cellStyle name="Normal 47 4 2" xfId="4714"/>
    <cellStyle name="Normal 47 4 3" xfId="4715"/>
    <cellStyle name="Normal 47 4 4" xfId="4716"/>
    <cellStyle name="Normal 47 4 5" xfId="4717"/>
    <cellStyle name="Normal 47 4 6" xfId="4718"/>
    <cellStyle name="Normal 47 4 7" xfId="4719"/>
    <cellStyle name="Normal 47 4 8" xfId="4720"/>
    <cellStyle name="Normal 47 5" xfId="4721"/>
    <cellStyle name="Normal 47 5 2" xfId="4722"/>
    <cellStyle name="Normal 47 5 3" xfId="4723"/>
    <cellStyle name="Normal 47 5 4" xfId="4724"/>
    <cellStyle name="Normal 47 5 5" xfId="4725"/>
    <cellStyle name="Normal 47 5 6" xfId="4726"/>
    <cellStyle name="Normal 47 5 7" xfId="4727"/>
    <cellStyle name="Normal 47 5 8" xfId="4728"/>
    <cellStyle name="Normal 47 6" xfId="4729"/>
    <cellStyle name="Normal 47 6 2" xfId="4730"/>
    <cellStyle name="Normal 47 6 3" xfId="4731"/>
    <cellStyle name="Normal 47 6 4" xfId="4732"/>
    <cellStyle name="Normal 47 6 5" xfId="4733"/>
    <cellStyle name="Normal 47 6 6" xfId="4734"/>
    <cellStyle name="Normal 47 6 7" xfId="4735"/>
    <cellStyle name="Normal 47 6 8" xfId="4736"/>
    <cellStyle name="Normal 47 7" xfId="4737"/>
    <cellStyle name="Normal 47 7 2" xfId="4738"/>
    <cellStyle name="Normal 47 7 3" xfId="4739"/>
    <cellStyle name="Normal 47 7 4" xfId="4740"/>
    <cellStyle name="Normal 47 7 5" xfId="4741"/>
    <cellStyle name="Normal 47 7 6" xfId="4742"/>
    <cellStyle name="Normal 47 7 7" xfId="4743"/>
    <cellStyle name="Normal 47 7 8" xfId="4744"/>
    <cellStyle name="Normal 47 8" xfId="4745"/>
    <cellStyle name="Normal 47 8 2" xfId="4746"/>
    <cellStyle name="Normal 47 8 3" xfId="4747"/>
    <cellStyle name="Normal 47 8 4" xfId="4748"/>
    <cellStyle name="Normal 47 8 5" xfId="4749"/>
    <cellStyle name="Normal 47 8 6" xfId="4750"/>
    <cellStyle name="Normal 47 8 7" xfId="4751"/>
    <cellStyle name="Normal 47 8 8" xfId="4752"/>
    <cellStyle name="Normal 47 9" xfId="4753"/>
    <cellStyle name="Normal 48" xfId="1208"/>
    <cellStyle name="Normal 48 2" xfId="4754"/>
    <cellStyle name="Normal 48 3" xfId="7449"/>
    <cellStyle name="Normal 49" xfId="1209"/>
    <cellStyle name="Normal 49 10" xfId="7505"/>
    <cellStyle name="Normal 49 2" xfId="4756"/>
    <cellStyle name="Normal 49 2 2" xfId="4757"/>
    <cellStyle name="Normal 49 2 2 2" xfId="4758"/>
    <cellStyle name="Normal 49 2 2 2 2" xfId="4759"/>
    <cellStyle name="Normal 49 2 2 3" xfId="4760"/>
    <cellStyle name="Normal 49 2 3" xfId="4761"/>
    <cellStyle name="Normal 49 2 3 2" xfId="4762"/>
    <cellStyle name="Normal 49 2 4" xfId="4763"/>
    <cellStyle name="Normal 49 3" xfId="4764"/>
    <cellStyle name="Normal 49 3 2" xfId="4765"/>
    <cellStyle name="Normal 49 3 2 2" xfId="4766"/>
    <cellStyle name="Normal 49 3 2 2 2" xfId="4767"/>
    <cellStyle name="Normal 49 3 2 3" xfId="4768"/>
    <cellStyle name="Normal 49 3 3" xfId="4769"/>
    <cellStyle name="Normal 49 3 3 2" xfId="4770"/>
    <cellStyle name="Normal 49 3 4" xfId="4771"/>
    <cellStyle name="Normal 49 4" xfId="4772"/>
    <cellStyle name="Normal 49 4 2" xfId="4773"/>
    <cellStyle name="Normal 49 4 2 2" xfId="4774"/>
    <cellStyle name="Normal 49 4 2 2 2" xfId="4775"/>
    <cellStyle name="Normal 49 4 2 3" xfId="4776"/>
    <cellStyle name="Normal 49 4 3" xfId="4777"/>
    <cellStyle name="Normal 49 4 3 2" xfId="4778"/>
    <cellStyle name="Normal 49 4 4" xfId="4779"/>
    <cellStyle name="Normal 49 5" xfId="4780"/>
    <cellStyle name="Normal 49 5 2" xfId="4781"/>
    <cellStyle name="Normal 49 5 2 2" xfId="4782"/>
    <cellStyle name="Normal 49 5 3" xfId="4783"/>
    <cellStyle name="Normal 49 6" xfId="4784"/>
    <cellStyle name="Normal 49 6 2" xfId="4785"/>
    <cellStyle name="Normal 49 7" xfId="4786"/>
    <cellStyle name="Normal 49 8" xfId="4787"/>
    <cellStyle name="Normal 49 9" xfId="4755"/>
    <cellStyle name="Normal 5" xfId="1210"/>
    <cellStyle name="Normal-- 5" xfId="4789"/>
    <cellStyle name="Normal 5 10" xfId="4790"/>
    <cellStyle name="Normal 5 10 2" xfId="4791"/>
    <cellStyle name="Normal 5 100" xfId="4792"/>
    <cellStyle name="Normal 5 101" xfId="4793"/>
    <cellStyle name="Normal 5 102" xfId="4794"/>
    <cellStyle name="Normal 5 103" xfId="4795"/>
    <cellStyle name="Normal 5 104" xfId="4796"/>
    <cellStyle name="Normal 5 105" xfId="4797"/>
    <cellStyle name="Normal 5 106" xfId="4798"/>
    <cellStyle name="Normal 5 107" xfId="4799"/>
    <cellStyle name="Normal 5 108" xfId="4800"/>
    <cellStyle name="Normal 5 109" xfId="4801"/>
    <cellStyle name="Normal 5 11" xfId="4802"/>
    <cellStyle name="Normal 5 11 2" xfId="4803"/>
    <cellStyle name="Normal 5 110" xfId="4804"/>
    <cellStyle name="Normal 5 111" xfId="4805"/>
    <cellStyle name="Normal 5 112" xfId="4806"/>
    <cellStyle name="Normal 5 113" xfId="4807"/>
    <cellStyle name="Normal 5 114" xfId="4788"/>
    <cellStyle name="Normal 5 115" xfId="6012"/>
    <cellStyle name="Normal 5 116" xfId="5999"/>
    <cellStyle name="Normal 5 12" xfId="4808"/>
    <cellStyle name="Normal 5 12 2" xfId="4809"/>
    <cellStyle name="Normal 5 13" xfId="4810"/>
    <cellStyle name="Normal 5 13 2" xfId="4811"/>
    <cellStyle name="Normal 5 14" xfId="4812"/>
    <cellStyle name="Normal 5 14 2" xfId="4813"/>
    <cellStyle name="Normal 5 15" xfId="4814"/>
    <cellStyle name="Normal 5 15 2" xfId="4815"/>
    <cellStyle name="Normal 5 16" xfId="4816"/>
    <cellStyle name="Normal 5 16 2" xfId="4817"/>
    <cellStyle name="Normal 5 17" xfId="4818"/>
    <cellStyle name="Normal 5 17 2" xfId="4819"/>
    <cellStyle name="Normal 5 18" xfId="4820"/>
    <cellStyle name="Normal 5 18 2" xfId="4821"/>
    <cellStyle name="Normal 5 19" xfId="4822"/>
    <cellStyle name="Normal 5 19 2" xfId="4823"/>
    <cellStyle name="Normal 5 2" xfId="1211"/>
    <cellStyle name="Normal 5 2 2" xfId="1212"/>
    <cellStyle name="Normal 5 2 2 2" xfId="4825"/>
    <cellStyle name="Normal 5 2 2 2 2" xfId="8340"/>
    <cellStyle name="Normal 5 2 2 2 2 2" xfId="11237"/>
    <cellStyle name="Normal 5 2 2 2 3" xfId="9797"/>
    <cellStyle name="Normal 5 2 2 2 4" xfId="6862"/>
    <cellStyle name="Normal 5 2 2 3" xfId="7579"/>
    <cellStyle name="Normal 5 2 2 3 2" xfId="9037"/>
    <cellStyle name="Normal 5 2 2 3 2 2" xfId="11934"/>
    <cellStyle name="Normal 5 2 2 3 3" xfId="10494"/>
    <cellStyle name="Normal 5 2 2 4" xfId="7586"/>
    <cellStyle name="Normal 5 2 2 4 2" xfId="10498"/>
    <cellStyle name="Normal 5 2 2 5" xfId="9051"/>
    <cellStyle name="Normal 5 2 2 5 2" xfId="11938"/>
    <cellStyle name="Normal 5 2 2 6" xfId="9056"/>
    <cellStyle name="Normal 5 2 2 7" xfId="6046"/>
    <cellStyle name="Normal 5 2 3" xfId="4826"/>
    <cellStyle name="Normal 5 2 3 2" xfId="10579"/>
    <cellStyle name="Normal 5 2 3 3" xfId="7679"/>
    <cellStyle name="Normal 5 2 4" xfId="4827"/>
    <cellStyle name="Normal 5 2 4 2" xfId="9139"/>
    <cellStyle name="Normal 5 2 5" xfId="4828"/>
    <cellStyle name="Normal 5 2 6" xfId="4824"/>
    <cellStyle name="Normal 5 2 7" xfId="6154"/>
    <cellStyle name="Normal 5 20" xfId="4829"/>
    <cellStyle name="Normal 5 20 2" xfId="4830"/>
    <cellStyle name="Normal 5 21" xfId="4831"/>
    <cellStyle name="Normal 5 21 2" xfId="4832"/>
    <cellStyle name="Normal 5 22" xfId="4833"/>
    <cellStyle name="Normal 5 22 2" xfId="4834"/>
    <cellStyle name="Normal 5 22 2 2" xfId="4835"/>
    <cellStyle name="Normal 5 22 3" xfId="4836"/>
    <cellStyle name="Normal 5 22 4" xfId="4837"/>
    <cellStyle name="Normal 5 23" xfId="4838"/>
    <cellStyle name="Normal 5 23 2" xfId="4839"/>
    <cellStyle name="Normal 5 24" xfId="4840"/>
    <cellStyle name="Normal 5 24 2" xfId="4841"/>
    <cellStyle name="Normal 5 25" xfId="4842"/>
    <cellStyle name="Normal 5 25 2" xfId="4843"/>
    <cellStyle name="Normal 5 26" xfId="4844"/>
    <cellStyle name="Normal 5 26 2" xfId="4845"/>
    <cellStyle name="Normal 5 27" xfId="4846"/>
    <cellStyle name="Normal 5 27 2" xfId="4847"/>
    <cellStyle name="Normal 5 28" xfId="4848"/>
    <cellStyle name="Normal 5 28 2" xfId="4849"/>
    <cellStyle name="Normal 5 29" xfId="4850"/>
    <cellStyle name="Normal 5 29 2" xfId="4851"/>
    <cellStyle name="Normal 5 3" xfId="1213"/>
    <cellStyle name="Normal 5 3 2" xfId="4853"/>
    <cellStyle name="Normal 5 3 2 2" xfId="8336"/>
    <cellStyle name="Normal 5 3 2 2 2" xfId="11233"/>
    <cellStyle name="Normal 5 3 2 3" xfId="9793"/>
    <cellStyle name="Normal 5 3 2 4" xfId="6857"/>
    <cellStyle name="Normal 5 3 3" xfId="4852"/>
    <cellStyle name="Normal 5 3 3 2" xfId="10575"/>
    <cellStyle name="Normal 5 3 3 3" xfId="7675"/>
    <cellStyle name="Normal 5 3 4" xfId="9135"/>
    <cellStyle name="Normal 5 3 5" xfId="6149"/>
    <cellStyle name="Normal 5 30" xfId="4854"/>
    <cellStyle name="Normal 5 30 2" xfId="4855"/>
    <cellStyle name="Normal 5 31" xfId="4856"/>
    <cellStyle name="Normal 5 31 2" xfId="4857"/>
    <cellStyle name="Normal 5 32" xfId="4858"/>
    <cellStyle name="Normal 5 32 2" xfId="4859"/>
    <cellStyle name="Normal 5 33" xfId="4860"/>
    <cellStyle name="Normal 5 33 2" xfId="4861"/>
    <cellStyle name="Normal 5 34" xfId="4862"/>
    <cellStyle name="Normal 5 34 2" xfId="4863"/>
    <cellStyle name="Normal 5 35" xfId="4864"/>
    <cellStyle name="Normal 5 35 2" xfId="4865"/>
    <cellStyle name="Normal 5 36" xfId="4866"/>
    <cellStyle name="Normal 5 36 2" xfId="4867"/>
    <cellStyle name="Normal 5 37" xfId="4868"/>
    <cellStyle name="Normal 5 37 2" xfId="4869"/>
    <cellStyle name="Normal 5 38" xfId="4870"/>
    <cellStyle name="Normal 5 39" xfId="4871"/>
    <cellStyle name="Normal 5 4" xfId="1214"/>
    <cellStyle name="Normal 5 4 2" xfId="4873"/>
    <cellStyle name="Normal 5 4 3" xfId="4872"/>
    <cellStyle name="Normal 5 40" xfId="4874"/>
    <cellStyle name="Normal 5 41" xfId="4875"/>
    <cellStyle name="Normal 5 42" xfId="4876"/>
    <cellStyle name="Normal 5 43" xfId="4877"/>
    <cellStyle name="Normal 5 44" xfId="4878"/>
    <cellStyle name="Normal 5 45" xfId="4879"/>
    <cellStyle name="Normal 5 46" xfId="4880"/>
    <cellStyle name="Normal 5 47" xfId="4881"/>
    <cellStyle name="Normal 5 48" xfId="4882"/>
    <cellStyle name="Normal 5 49" xfId="4883"/>
    <cellStyle name="Normal 5 5" xfId="1510"/>
    <cellStyle name="Normal 5 5 2" xfId="4885"/>
    <cellStyle name="Normal 5 5 3" xfId="4884"/>
    <cellStyle name="Normal 5 50" xfId="4886"/>
    <cellStyle name="Normal 5 51" xfId="4887"/>
    <cellStyle name="Normal 5 52" xfId="4888"/>
    <cellStyle name="Normal 5 53" xfId="4889"/>
    <cellStyle name="Normal 5 54" xfId="4890"/>
    <cellStyle name="Normal 5 55" xfId="4891"/>
    <cellStyle name="Normal 5 56" xfId="4892"/>
    <cellStyle name="Normal 5 57" xfId="4893"/>
    <cellStyle name="Normal 5 58" xfId="4894"/>
    <cellStyle name="Normal 5 59" xfId="4895"/>
    <cellStyle name="Normal 5 6" xfId="4896"/>
    <cellStyle name="Normal 5 6 2" xfId="4897"/>
    <cellStyle name="Normal 5 60" xfId="4898"/>
    <cellStyle name="Normal 5 61" xfId="4899"/>
    <cellStyle name="Normal 5 62" xfId="4900"/>
    <cellStyle name="Normal 5 63" xfId="4901"/>
    <cellStyle name="Normal 5 64" xfId="4902"/>
    <cellStyle name="Normal 5 65" xfId="4903"/>
    <cellStyle name="Normal 5 66" xfId="4904"/>
    <cellStyle name="Normal 5 67" xfId="4905"/>
    <cellStyle name="Normal 5 68" xfId="4906"/>
    <cellStyle name="Normal 5 69" xfId="4907"/>
    <cellStyle name="Normal 5 7" xfId="4908"/>
    <cellStyle name="Normal 5 7 2" xfId="4909"/>
    <cellStyle name="Normal 5 70" xfId="4910"/>
    <cellStyle name="Normal 5 71" xfId="4911"/>
    <cellStyle name="Normal 5 72" xfId="4912"/>
    <cellStyle name="Normal 5 73" xfId="4913"/>
    <cellStyle name="Normal 5 74" xfId="4914"/>
    <cellStyle name="Normal 5 75" xfId="4915"/>
    <cellStyle name="Normal 5 76" xfId="4916"/>
    <cellStyle name="Normal 5 77" xfId="4917"/>
    <cellStyle name="Normal 5 78" xfId="4918"/>
    <cellStyle name="Normal 5 79" xfId="4919"/>
    <cellStyle name="Normal 5 8" xfId="4920"/>
    <cellStyle name="Normal 5 8 2" xfId="4921"/>
    <cellStyle name="Normal 5 80" xfId="4922"/>
    <cellStyle name="Normal 5 81" xfId="4923"/>
    <cellStyle name="Normal 5 82" xfId="4924"/>
    <cellStyle name="Normal 5 83" xfId="4925"/>
    <cellStyle name="Normal 5 84" xfId="4926"/>
    <cellStyle name="Normal 5 85" xfId="4927"/>
    <cellStyle name="Normal 5 86" xfId="4928"/>
    <cellStyle name="Normal 5 87" xfId="4929"/>
    <cellStyle name="Normal 5 88" xfId="4930"/>
    <cellStyle name="Normal 5 89" xfId="4931"/>
    <cellStyle name="Normal 5 9" xfId="4932"/>
    <cellStyle name="Normal 5 9 2" xfId="4933"/>
    <cellStyle name="Normal 5 90" xfId="4934"/>
    <cellStyle name="Normal 5 91" xfId="4935"/>
    <cellStyle name="Normal 5 92" xfId="4936"/>
    <cellStyle name="Normal 5 93" xfId="4937"/>
    <cellStyle name="Normal 5 94" xfId="4938"/>
    <cellStyle name="Normal 5 95" xfId="4939"/>
    <cellStyle name="Normal 5 96" xfId="4940"/>
    <cellStyle name="Normal 5 97" xfId="4941"/>
    <cellStyle name="Normal 5 98" xfId="4942"/>
    <cellStyle name="Normal 5 99" xfId="4943"/>
    <cellStyle name="Normal 50" xfId="1215"/>
    <cellStyle name="Normal 50 10" xfId="7567"/>
    <cellStyle name="Normal 50 2" xfId="4945"/>
    <cellStyle name="Normal 50 3" xfId="4946"/>
    <cellStyle name="Normal 50 4" xfId="4947"/>
    <cellStyle name="Normal 50 5" xfId="4948"/>
    <cellStyle name="Normal 50 6" xfId="4949"/>
    <cellStyle name="Normal 50 7" xfId="4950"/>
    <cellStyle name="Normal 50 8" xfId="4951"/>
    <cellStyle name="Normal 50 9" xfId="4944"/>
    <cellStyle name="Normal 51" xfId="1216"/>
    <cellStyle name="Normal 51 10" xfId="7565"/>
    <cellStyle name="Normal 51 2" xfId="4953"/>
    <cellStyle name="Normal 51 2 2" xfId="4954"/>
    <cellStyle name="Normal 51 2 2 2" xfId="4955"/>
    <cellStyle name="Normal 51 2 2 2 2" xfId="4956"/>
    <cellStyle name="Normal 51 2 2 3" xfId="4957"/>
    <cellStyle name="Normal 51 2 3" xfId="4958"/>
    <cellStyle name="Normal 51 2 3 2" xfId="4959"/>
    <cellStyle name="Normal 51 2 4" xfId="4960"/>
    <cellStyle name="Normal 51 3" xfId="4961"/>
    <cellStyle name="Normal 51 3 2" xfId="4962"/>
    <cellStyle name="Normal 51 3 2 2" xfId="4963"/>
    <cellStyle name="Normal 51 3 3" xfId="4964"/>
    <cellStyle name="Normal 51 4" xfId="4965"/>
    <cellStyle name="Normal 51 4 2" xfId="4966"/>
    <cellStyle name="Normal 51 5" xfId="4967"/>
    <cellStyle name="Normal 51 6" xfId="4968"/>
    <cellStyle name="Normal 51 7" xfId="4969"/>
    <cellStyle name="Normal 51 8" xfId="4970"/>
    <cellStyle name="Normal 51 9" xfId="4952"/>
    <cellStyle name="Normal 52" xfId="1217"/>
    <cellStyle name="Normal 52 10" xfId="6778"/>
    <cellStyle name="Normal 52 2" xfId="4972"/>
    <cellStyle name="Normal 52 2 2" xfId="4973"/>
    <cellStyle name="Normal 52 3" xfId="4974"/>
    <cellStyle name="Normal 52 4" xfId="4975"/>
    <cellStyle name="Normal 52 5" xfId="4976"/>
    <cellStyle name="Normal 52 6" xfId="4977"/>
    <cellStyle name="Normal 52 7" xfId="4978"/>
    <cellStyle name="Normal 52 8" xfId="4979"/>
    <cellStyle name="Normal 52 9" xfId="4971"/>
    <cellStyle name="Normal 53" xfId="1218"/>
    <cellStyle name="Normal 53 10" xfId="7570"/>
    <cellStyle name="Normal 53 2" xfId="4981"/>
    <cellStyle name="Normal 53 2 2" xfId="4982"/>
    <cellStyle name="Normal 53 2 2 2" xfId="4983"/>
    <cellStyle name="Normal 53 2 3" xfId="4984"/>
    <cellStyle name="Normal 53 3" xfId="4985"/>
    <cellStyle name="Normal 53 3 2" xfId="4986"/>
    <cellStyle name="Normal 53 4" xfId="4987"/>
    <cellStyle name="Normal 53 5" xfId="4988"/>
    <cellStyle name="Normal 53 6" xfId="4989"/>
    <cellStyle name="Normal 53 7" xfId="4990"/>
    <cellStyle name="Normal 53 8" xfId="4991"/>
    <cellStyle name="Normal 53 9" xfId="4980"/>
    <cellStyle name="Normal 54" xfId="1219"/>
    <cellStyle name="Normal 54 2" xfId="4993"/>
    <cellStyle name="Normal 54 3" xfId="4994"/>
    <cellStyle name="Normal 54 4" xfId="4995"/>
    <cellStyle name="Normal 54 5" xfId="4996"/>
    <cellStyle name="Normal 54 6" xfId="4997"/>
    <cellStyle name="Normal 54 7" xfId="4998"/>
    <cellStyle name="Normal 54 8" xfId="4999"/>
    <cellStyle name="Normal 54 9" xfId="6813"/>
    <cellStyle name="Normal 55" xfId="1220"/>
    <cellStyle name="Normal 55 10" xfId="6923"/>
    <cellStyle name="Normal 55 2" xfId="5001"/>
    <cellStyle name="Normal 55 3" xfId="5002"/>
    <cellStyle name="Normal 55 4" xfId="5003"/>
    <cellStyle name="Normal 55 5" xfId="5004"/>
    <cellStyle name="Normal 55 6" xfId="5005"/>
    <cellStyle name="Normal 55 7" xfId="5006"/>
    <cellStyle name="Normal 55 8" xfId="5007"/>
    <cellStyle name="Normal 55 9" xfId="5000"/>
    <cellStyle name="Normal 56" xfId="1221"/>
    <cellStyle name="Normal 56 10" xfId="7569"/>
    <cellStyle name="Normal 56 2" xfId="5009"/>
    <cellStyle name="Normal 56 3" xfId="5010"/>
    <cellStyle name="Normal 56 4" xfId="5011"/>
    <cellStyle name="Normal 56 5" xfId="5012"/>
    <cellStyle name="Normal 56 6" xfId="5013"/>
    <cellStyle name="Normal 56 7" xfId="5014"/>
    <cellStyle name="Normal 56 8" xfId="5015"/>
    <cellStyle name="Normal 56 9" xfId="5008"/>
    <cellStyle name="Normal 57" xfId="1222"/>
    <cellStyle name="Normal 57 10" xfId="6783"/>
    <cellStyle name="Normal 57 2" xfId="5017"/>
    <cellStyle name="Normal 57 3" xfId="5018"/>
    <cellStyle name="Normal 57 4" xfId="5019"/>
    <cellStyle name="Normal 57 5" xfId="5020"/>
    <cellStyle name="Normal 57 6" xfId="5021"/>
    <cellStyle name="Normal 57 7" xfId="5022"/>
    <cellStyle name="Normal 57 8" xfId="5023"/>
    <cellStyle name="Normal 57 9" xfId="5016"/>
    <cellStyle name="Normal 58" xfId="1500"/>
    <cellStyle name="Normal 58 10" xfId="6055"/>
    <cellStyle name="Normal 58 2" xfId="5025"/>
    <cellStyle name="Normal 58 3" xfId="5026"/>
    <cellStyle name="Normal 58 4" xfId="5027"/>
    <cellStyle name="Normal 58 5" xfId="5028"/>
    <cellStyle name="Normal 58 6" xfId="5029"/>
    <cellStyle name="Normal 58 7" xfId="5030"/>
    <cellStyle name="Normal 58 8" xfId="5031"/>
    <cellStyle name="Normal 58 9" xfId="5024"/>
    <cellStyle name="Normal 59" xfId="1509"/>
    <cellStyle name="Normal 59 10" xfId="7572"/>
    <cellStyle name="Normal 59 2" xfId="5033"/>
    <cellStyle name="Normal 59 3" xfId="5034"/>
    <cellStyle name="Normal 59 4" xfId="5035"/>
    <cellStyle name="Normal 59 5" xfId="5036"/>
    <cellStyle name="Normal 59 6" xfId="5037"/>
    <cellStyle name="Normal 59 7" xfId="5038"/>
    <cellStyle name="Normal 59 8" xfId="5039"/>
    <cellStyle name="Normal 59 9" xfId="5032"/>
    <cellStyle name="Normal 6" xfId="1223"/>
    <cellStyle name="Normal-- 6" xfId="5041"/>
    <cellStyle name="Normal 6 10" xfId="5042"/>
    <cellStyle name="Normal 6 10 2" xfId="5043"/>
    <cellStyle name="Normal 6 100" xfId="5044"/>
    <cellStyle name="Normal 6 101" xfId="5045"/>
    <cellStyle name="Normal 6 102" xfId="5046"/>
    <cellStyle name="Normal 6 103" xfId="5047"/>
    <cellStyle name="Normal 6 104" xfId="5048"/>
    <cellStyle name="Normal 6 105" xfId="5049"/>
    <cellStyle name="Normal 6 106" xfId="5050"/>
    <cellStyle name="Normal 6 107" xfId="5051"/>
    <cellStyle name="Normal 6 108" xfId="5052"/>
    <cellStyle name="Normal 6 109" xfId="5053"/>
    <cellStyle name="Normal 6 11" xfId="5054"/>
    <cellStyle name="Normal 6 11 2" xfId="5055"/>
    <cellStyle name="Normal 6 110" xfId="5056"/>
    <cellStyle name="Normal 6 111" xfId="5057"/>
    <cellStyle name="Normal 6 112" xfId="5058"/>
    <cellStyle name="Normal 6 113" xfId="5059"/>
    <cellStyle name="Normal 6 114" xfId="5060"/>
    <cellStyle name="Normal 6 115" xfId="5061"/>
    <cellStyle name="Normal 6 116" xfId="5062"/>
    <cellStyle name="Normal 6 117" xfId="5063"/>
    <cellStyle name="Normal 6 118" xfId="5040"/>
    <cellStyle name="Normal 6 119" xfId="6014"/>
    <cellStyle name="Normal 6 12" xfId="5064"/>
    <cellStyle name="Normal 6 12 2" xfId="5065"/>
    <cellStyle name="Normal 6 120" xfId="5998"/>
    <cellStyle name="Normal 6 13" xfId="5066"/>
    <cellStyle name="Normal 6 13 2" xfId="5067"/>
    <cellStyle name="Normal 6 14" xfId="5068"/>
    <cellStyle name="Normal 6 14 2" xfId="5069"/>
    <cellStyle name="Normal 6 15" xfId="5070"/>
    <cellStyle name="Normal 6 15 2" xfId="5071"/>
    <cellStyle name="Normal 6 16" xfId="5072"/>
    <cellStyle name="Normal 6 16 2" xfId="5073"/>
    <cellStyle name="Normal 6 17" xfId="5074"/>
    <cellStyle name="Normal 6 17 2" xfId="5075"/>
    <cellStyle name="Normal 6 18" xfId="5076"/>
    <cellStyle name="Normal 6 18 2" xfId="5077"/>
    <cellStyle name="Normal 6 19" xfId="5078"/>
    <cellStyle name="Normal 6 19 2" xfId="5079"/>
    <cellStyle name="Normal 6 2" xfId="1224"/>
    <cellStyle name="Normal 6 2 2" xfId="5081"/>
    <cellStyle name="Normal 6 2 2 2" xfId="8339"/>
    <cellStyle name="Normal 6 2 2 2 2" xfId="11236"/>
    <cellStyle name="Normal 6 2 2 3" xfId="9796"/>
    <cellStyle name="Normal 6 2 2 4" xfId="6860"/>
    <cellStyle name="Normal 6 2 3" xfId="5082"/>
    <cellStyle name="Normal 6 2 3 2" xfId="10578"/>
    <cellStyle name="Normal 6 2 3 3" xfId="7678"/>
    <cellStyle name="Normal 6 2 4" xfId="5083"/>
    <cellStyle name="Normal 6 2 4 2" xfId="9138"/>
    <cellStyle name="Normal 6 2 5" xfId="5084"/>
    <cellStyle name="Normal 6 2 6" xfId="5080"/>
    <cellStyle name="Normal 6 2 7" xfId="6152"/>
    <cellStyle name="Normal 6 20" xfId="5085"/>
    <cellStyle name="Normal 6 20 2" xfId="5086"/>
    <cellStyle name="Normal 6 21" xfId="5087"/>
    <cellStyle name="Normal 6 21 2" xfId="5088"/>
    <cellStyle name="Normal 6 21 2 2" xfId="5089"/>
    <cellStyle name="Normal 6 21 3" xfId="5090"/>
    <cellStyle name="Normal 6 21 4" xfId="5091"/>
    <cellStyle name="Normal 6 22" xfId="5092"/>
    <cellStyle name="Normal 6 22 2" xfId="5093"/>
    <cellStyle name="Normal 6 22 2 2" xfId="5094"/>
    <cellStyle name="Normal 6 22 3" xfId="5095"/>
    <cellStyle name="Normal 6 22 4" xfId="5096"/>
    <cellStyle name="Normal 6 23" xfId="5097"/>
    <cellStyle name="Normal 6 23 2" xfId="5098"/>
    <cellStyle name="Normal 6 24" xfId="5099"/>
    <cellStyle name="Normal 6 24 2" xfId="5100"/>
    <cellStyle name="Normal 6 25" xfId="5101"/>
    <cellStyle name="Normal 6 25 2" xfId="5102"/>
    <cellStyle name="Normal 6 26" xfId="5103"/>
    <cellStyle name="Normal 6 26 2" xfId="5104"/>
    <cellStyle name="Normal 6 27" xfId="5105"/>
    <cellStyle name="Normal 6 27 2" xfId="5106"/>
    <cellStyle name="Normal 6 28" xfId="5107"/>
    <cellStyle name="Normal 6 28 2" xfId="5108"/>
    <cellStyle name="Normal 6 29" xfId="5109"/>
    <cellStyle name="Normal 6 29 2" xfId="5110"/>
    <cellStyle name="Normal 6 3" xfId="1225"/>
    <cellStyle name="Normal 6 3 2" xfId="5112"/>
    <cellStyle name="Normal 6 3 3" xfId="5113"/>
    <cellStyle name="Normal 6 3 4" xfId="5114"/>
    <cellStyle name="Normal 6 3 5" xfId="5111"/>
    <cellStyle name="Normal 6 30" xfId="5115"/>
    <cellStyle name="Normal 6 31" xfId="5116"/>
    <cellStyle name="Normal 6 32" xfId="5117"/>
    <cellStyle name="Normal 6 33" xfId="5118"/>
    <cellStyle name="Normal 6 34" xfId="5119"/>
    <cellStyle name="Normal 6 35" xfId="5120"/>
    <cellStyle name="Normal 6 36" xfId="5121"/>
    <cellStyle name="Normal 6 37" xfId="5122"/>
    <cellStyle name="Normal 6 38" xfId="5123"/>
    <cellStyle name="Normal 6 39" xfId="5124"/>
    <cellStyle name="Normal 6 4" xfId="1511"/>
    <cellStyle name="Normal 6 4 2" xfId="5126"/>
    <cellStyle name="Normal 6 4 3" xfId="5125"/>
    <cellStyle name="Normal 6 40" xfId="5127"/>
    <cellStyle name="Normal 6 41" xfId="5128"/>
    <cellStyle name="Normal 6 42" xfId="5129"/>
    <cellStyle name="Normal 6 43" xfId="5130"/>
    <cellStyle name="Normal 6 44" xfId="5131"/>
    <cellStyle name="Normal 6 45" xfId="5132"/>
    <cellStyle name="Normal 6 46" xfId="5133"/>
    <cellStyle name="Normal 6 47" xfId="5134"/>
    <cellStyle name="Normal 6 48" xfId="5135"/>
    <cellStyle name="Normal 6 49" xfId="5136"/>
    <cellStyle name="Normal 6 5" xfId="5137"/>
    <cellStyle name="Normal 6 5 2" xfId="5138"/>
    <cellStyle name="Normal 6 50" xfId="5139"/>
    <cellStyle name="Normal 6 51" xfId="5140"/>
    <cellStyle name="Normal 6 52" xfId="5141"/>
    <cellStyle name="Normal 6 53" xfId="5142"/>
    <cellStyle name="Normal 6 54" xfId="5143"/>
    <cellStyle name="Normal 6 55" xfId="5144"/>
    <cellStyle name="Normal 6 56" xfId="5145"/>
    <cellStyle name="Normal 6 57" xfId="5146"/>
    <cellStyle name="Normal 6 58" xfId="5147"/>
    <cellStyle name="Normal 6 59" xfId="5148"/>
    <cellStyle name="Normal 6 6" xfId="5149"/>
    <cellStyle name="Normal 6 6 2" xfId="5150"/>
    <cellStyle name="Normal 6 60" xfId="5151"/>
    <cellStyle name="Normal 6 61" xfId="5152"/>
    <cellStyle name="Normal 6 62" xfId="5153"/>
    <cellStyle name="Normal 6 63" xfId="5154"/>
    <cellStyle name="Normal 6 64" xfId="5155"/>
    <cellStyle name="Normal 6 65" xfId="5156"/>
    <cellStyle name="Normal 6 66" xfId="5157"/>
    <cellStyle name="Normal 6 67" xfId="5158"/>
    <cellStyle name="Normal 6 68" xfId="5159"/>
    <cellStyle name="Normal 6 69" xfId="5160"/>
    <cellStyle name="Normal 6 7" xfId="5161"/>
    <cellStyle name="Normal 6 7 2" xfId="5162"/>
    <cellStyle name="Normal 6 70" xfId="5163"/>
    <cellStyle name="Normal 6 71" xfId="5164"/>
    <cellStyle name="Normal 6 72" xfId="5165"/>
    <cellStyle name="Normal 6 73" xfId="5166"/>
    <cellStyle name="Normal 6 74" xfId="5167"/>
    <cellStyle name="Normal 6 75" xfId="5168"/>
    <cellStyle name="Normal 6 76" xfId="5169"/>
    <cellStyle name="Normal 6 77" xfId="5170"/>
    <cellStyle name="Normal 6 78" xfId="5171"/>
    <cellStyle name="Normal 6 79" xfId="5172"/>
    <cellStyle name="Normal 6 8" xfId="5173"/>
    <cellStyle name="Normal 6 8 2" xfId="5174"/>
    <cellStyle name="Normal 6 80" xfId="5175"/>
    <cellStyle name="Normal 6 81" xfId="5176"/>
    <cellStyle name="Normal 6 82" xfId="5177"/>
    <cellStyle name="Normal 6 83" xfId="5178"/>
    <cellStyle name="Normal 6 84" xfId="5179"/>
    <cellStyle name="Normal 6 85" xfId="5180"/>
    <cellStyle name="Normal 6 86" xfId="5181"/>
    <cellStyle name="Normal 6 87" xfId="5182"/>
    <cellStyle name="Normal 6 88" xfId="5183"/>
    <cellStyle name="Normal 6 89" xfId="5184"/>
    <cellStyle name="Normal 6 9" xfId="5185"/>
    <cellStyle name="Normal 6 9 2" xfId="5186"/>
    <cellStyle name="Normal 6 90" xfId="5187"/>
    <cellStyle name="Normal 6 91" xfId="5188"/>
    <cellStyle name="Normal 6 92" xfId="5189"/>
    <cellStyle name="Normal 6 93" xfId="5190"/>
    <cellStyle name="Normal 6 94" xfId="5191"/>
    <cellStyle name="Normal 6 95" xfId="5192"/>
    <cellStyle name="Normal 6 96" xfId="5193"/>
    <cellStyle name="Normal 6 97" xfId="5194"/>
    <cellStyle name="Normal 6 98" xfId="5195"/>
    <cellStyle name="Normal 6 99" xfId="5196"/>
    <cellStyle name="Normal 60" xfId="1517"/>
    <cellStyle name="Normal 60 2" xfId="5197"/>
    <cellStyle name="Normal 60 3" xfId="5198"/>
    <cellStyle name="Normal 60 4" xfId="5199"/>
    <cellStyle name="Normal 60 5" xfId="5200"/>
    <cellStyle name="Normal 60 6" xfId="5201"/>
    <cellStyle name="Normal 60 7" xfId="5202"/>
    <cellStyle name="Normal 60 8" xfId="5203"/>
    <cellStyle name="Normal 60 9" xfId="7575"/>
    <cellStyle name="Normal 61" xfId="1518"/>
    <cellStyle name="Normal 61 2" xfId="5204"/>
    <cellStyle name="Normal 61 3" xfId="5205"/>
    <cellStyle name="Normal 61 4" xfId="5206"/>
    <cellStyle name="Normal 61 5" xfId="5207"/>
    <cellStyle name="Normal 61 6" xfId="5208"/>
    <cellStyle name="Normal 61 7" xfId="5209"/>
    <cellStyle name="Normal 61 8" xfId="5210"/>
    <cellStyle name="Normal 61 9" xfId="7573"/>
    <cellStyle name="Normal 62" xfId="1519"/>
    <cellStyle name="Normal 62 2" xfId="5211"/>
    <cellStyle name="Normal 62 2 2" xfId="11933"/>
    <cellStyle name="Normal 62 2 3" xfId="9036"/>
    <cellStyle name="Normal 62 3" xfId="5212"/>
    <cellStyle name="Normal 62 3 2" xfId="10493"/>
    <cellStyle name="Normal 62 4" xfId="5213"/>
    <cellStyle name="Normal 62 5" xfId="5214"/>
    <cellStyle name="Normal 62 6" xfId="5215"/>
    <cellStyle name="Normal 62 7" xfId="5216"/>
    <cellStyle name="Normal 62 8" xfId="5217"/>
    <cellStyle name="Normal 62 9" xfId="7578"/>
    <cellStyle name="Normal 63" xfId="1512"/>
    <cellStyle name="Normal 63 2" xfId="5218"/>
    <cellStyle name="Normal 63 3" xfId="5219"/>
    <cellStyle name="Normal 63 4" xfId="5220"/>
    <cellStyle name="Normal 63 5" xfId="5221"/>
    <cellStyle name="Normal 63 6" xfId="5222"/>
    <cellStyle name="Normal 63 7" xfId="5223"/>
    <cellStyle name="Normal 63 8" xfId="5224"/>
    <cellStyle name="Normal 64" xfId="1526"/>
    <cellStyle name="Normal 64 2" xfId="5225"/>
    <cellStyle name="Normal 64 3" xfId="5226"/>
    <cellStyle name="Normal 64 4" xfId="5227"/>
    <cellStyle name="Normal 64 5" xfId="5228"/>
    <cellStyle name="Normal 64 6" xfId="5229"/>
    <cellStyle name="Normal 64 7" xfId="5230"/>
    <cellStyle name="Normal 64 8" xfId="5231"/>
    <cellStyle name="Normal 64 9" xfId="7583"/>
    <cellStyle name="Normal 65" xfId="5232"/>
    <cellStyle name="Normal 65 2" xfId="5233"/>
    <cellStyle name="Normal 65 3" xfId="5234"/>
    <cellStyle name="Normal 65 4" xfId="5235"/>
    <cellStyle name="Normal 65 5" xfId="5236"/>
    <cellStyle name="Normal 65 6" xfId="5237"/>
    <cellStyle name="Normal 65 7" xfId="5238"/>
    <cellStyle name="Normal 65 8" xfId="5239"/>
    <cellStyle name="Normal 66" xfId="5504"/>
    <cellStyle name="Normal 66 2" xfId="7584"/>
    <cellStyle name="Normal 67" xfId="6025"/>
    <cellStyle name="Normal 67 2" xfId="5240"/>
    <cellStyle name="Normal 67 3" xfId="5241"/>
    <cellStyle name="Normal 67 4" xfId="5242"/>
    <cellStyle name="Normal 67 5" xfId="5243"/>
    <cellStyle name="Normal 67 6" xfId="5244"/>
    <cellStyle name="Normal 67 7" xfId="5245"/>
    <cellStyle name="Normal 67 8" xfId="5246"/>
    <cellStyle name="Normal 67 9" xfId="7605"/>
    <cellStyle name="Normal 68" xfId="6028"/>
    <cellStyle name="Normal 69" xfId="6029"/>
    <cellStyle name="Normal 69 2" xfId="5247"/>
    <cellStyle name="Normal 69 3" xfId="5248"/>
    <cellStyle name="Normal 69 4" xfId="5249"/>
    <cellStyle name="Normal 69 5" xfId="5250"/>
    <cellStyle name="Normal 69 6" xfId="5251"/>
    <cellStyle name="Normal 69 7" xfId="5252"/>
    <cellStyle name="Normal 69 8" xfId="5253"/>
    <cellStyle name="Normal 7" xfId="1226"/>
    <cellStyle name="Normal-- 7" xfId="5255"/>
    <cellStyle name="Normal 7 10" xfId="5256"/>
    <cellStyle name="Normal 7 11" xfId="5257"/>
    <cellStyle name="Normal 7 12" xfId="5258"/>
    <cellStyle name="Normal 7 13" xfId="5259"/>
    <cellStyle name="Normal 7 14" xfId="5260"/>
    <cellStyle name="Normal 7 15" xfId="5261"/>
    <cellStyle name="Normal 7 16" xfId="5262"/>
    <cellStyle name="Normal 7 17" xfId="5263"/>
    <cellStyle name="Normal 7 18" xfId="5264"/>
    <cellStyle name="Normal 7 19" xfId="5265"/>
    <cellStyle name="Normal 7 2" xfId="5266"/>
    <cellStyle name="Normal 7 2 2" xfId="5267"/>
    <cellStyle name="Normal 7 2 3" xfId="5268"/>
    <cellStyle name="Normal 7 2 4" xfId="5269"/>
    <cellStyle name="Normal 7 20" xfId="5270"/>
    <cellStyle name="Normal 7 21" xfId="5271"/>
    <cellStyle name="Normal 7 22" xfId="5272"/>
    <cellStyle name="Normal 7 23" xfId="5273"/>
    <cellStyle name="Normal 7 24" xfId="5274"/>
    <cellStyle name="Normal 7 25" xfId="5275"/>
    <cellStyle name="Normal 7 26" xfId="5276"/>
    <cellStyle name="Normal 7 27" xfId="5277"/>
    <cellStyle name="Normal 7 28" xfId="5278"/>
    <cellStyle name="Normal 7 29" xfId="5279"/>
    <cellStyle name="Normal 7 3" xfId="5280"/>
    <cellStyle name="Normal 7 30" xfId="5281"/>
    <cellStyle name="Normal 7 31" xfId="5282"/>
    <cellStyle name="Normal 7 32" xfId="5283"/>
    <cellStyle name="Normal 7 33" xfId="5284"/>
    <cellStyle name="Normal 7 34" xfId="5285"/>
    <cellStyle name="Normal 7 35" xfId="5286"/>
    <cellStyle name="Normal 7 36" xfId="5287"/>
    <cellStyle name="Normal 7 37" xfId="5288"/>
    <cellStyle name="Normal 7 38" xfId="5289"/>
    <cellStyle name="Normal 7 39" xfId="5254"/>
    <cellStyle name="Normal 7 4" xfId="5290"/>
    <cellStyle name="Normal 7 40" xfId="6015"/>
    <cellStyle name="Normal 7 41" xfId="5997"/>
    <cellStyle name="Normal 7 5" xfId="5291"/>
    <cellStyle name="Normal 7 6" xfId="5292"/>
    <cellStyle name="Normal 7 7" xfId="5293"/>
    <cellStyle name="Normal 7 8" xfId="5294"/>
    <cellStyle name="Normal 7 9" xfId="5295"/>
    <cellStyle name="Normal 70" xfId="6031"/>
    <cellStyle name="Normal 70 2" xfId="5296"/>
    <cellStyle name="Normal 70 3" xfId="5297"/>
    <cellStyle name="Normal 70 4" xfId="5298"/>
    <cellStyle name="Normal 70 5" xfId="5299"/>
    <cellStyle name="Normal 70 6" xfId="5300"/>
    <cellStyle name="Normal 70 7" xfId="5301"/>
    <cellStyle name="Normal 70 8" xfId="5302"/>
    <cellStyle name="Normal 71" xfId="6034"/>
    <cellStyle name="Normal 71 2" xfId="5303"/>
    <cellStyle name="Normal 71 3" xfId="5304"/>
    <cellStyle name="Normal 71 4" xfId="5305"/>
    <cellStyle name="Normal 71 5" xfId="5306"/>
    <cellStyle name="Normal 71 6" xfId="5307"/>
    <cellStyle name="Normal 71 7" xfId="5308"/>
    <cellStyle name="Normal 71 8" xfId="5309"/>
    <cellStyle name="Normal 72" xfId="6035"/>
    <cellStyle name="Normal 72 2" xfId="5310"/>
    <cellStyle name="Normal 72 3" xfId="5311"/>
    <cellStyle name="Normal 72 4" xfId="5312"/>
    <cellStyle name="Normal 72 5" xfId="5313"/>
    <cellStyle name="Normal 72 6" xfId="5314"/>
    <cellStyle name="Normal 72 7" xfId="5315"/>
    <cellStyle name="Normal 72 8" xfId="5316"/>
    <cellStyle name="Normal 73" xfId="7915"/>
    <cellStyle name="Normal 73 2" xfId="5317"/>
    <cellStyle name="Normal 73 3" xfId="5318"/>
    <cellStyle name="Normal 73 4" xfId="5319"/>
    <cellStyle name="Normal 73 5" xfId="5320"/>
    <cellStyle name="Normal 73 6" xfId="5321"/>
    <cellStyle name="Normal 73 7" xfId="5322"/>
    <cellStyle name="Normal 73 8" xfId="5323"/>
    <cellStyle name="Normal 74" xfId="7596"/>
    <cellStyle name="Normal 74 2" xfId="5324"/>
    <cellStyle name="Normal 74 3" xfId="5325"/>
    <cellStyle name="Normal 74 4" xfId="5326"/>
    <cellStyle name="Normal 74 5" xfId="5327"/>
    <cellStyle name="Normal 74 6" xfId="5328"/>
    <cellStyle name="Normal 74 7" xfId="5329"/>
    <cellStyle name="Normal 74 8" xfId="5330"/>
    <cellStyle name="Normal 75" xfId="7598"/>
    <cellStyle name="Normal 75 2" xfId="5331"/>
    <cellStyle name="Normal 75 3" xfId="5332"/>
    <cellStyle name="Normal 75 4" xfId="5333"/>
    <cellStyle name="Normal 75 5" xfId="5334"/>
    <cellStyle name="Normal 75 6" xfId="5335"/>
    <cellStyle name="Normal 75 7" xfId="5336"/>
    <cellStyle name="Normal 75 8" xfId="5337"/>
    <cellStyle name="Normal 76" xfId="5338"/>
    <cellStyle name="Normal 77" xfId="5339"/>
    <cellStyle name="Normal 77 2" xfId="7593"/>
    <cellStyle name="Normal 78" xfId="7600"/>
    <cellStyle name="Normal 79" xfId="7599"/>
    <cellStyle name="Normal 8" xfId="1227"/>
    <cellStyle name="Normal-- 8" xfId="5341"/>
    <cellStyle name="Normal 8 10" xfId="5342"/>
    <cellStyle name="Normal 8 11" xfId="5343"/>
    <cellStyle name="Normal 8 12" xfId="5344"/>
    <cellStyle name="Normal 8 13" xfId="5345"/>
    <cellStyle name="Normal 8 14" xfId="5346"/>
    <cellStyle name="Normal 8 15" xfId="5347"/>
    <cellStyle name="Normal 8 16" xfId="5348"/>
    <cellStyle name="Normal 8 17" xfId="5349"/>
    <cellStyle name="Normal 8 18" xfId="5350"/>
    <cellStyle name="Normal 8 19" xfId="5351"/>
    <cellStyle name="Normal 8 2" xfId="5352"/>
    <cellStyle name="Normal 8 2 2" xfId="5353"/>
    <cellStyle name="Normal 8 20" xfId="5354"/>
    <cellStyle name="Normal 8 21" xfId="5355"/>
    <cellStyle name="Normal 8 21 2" xfId="5356"/>
    <cellStyle name="Normal 8 21 2 2" xfId="5357"/>
    <cellStyle name="Normal 8 21 2 2 2" xfId="5358"/>
    <cellStyle name="Normal 8 21 2 3" xfId="5359"/>
    <cellStyle name="Normal 8 21 3" xfId="5360"/>
    <cellStyle name="Normal 8 21 3 2" xfId="5361"/>
    <cellStyle name="Normal 8 21 4" xfId="5362"/>
    <cellStyle name="Normal 8 22" xfId="5363"/>
    <cellStyle name="Normal 8 22 2" xfId="5364"/>
    <cellStyle name="Normal 8 22 2 2" xfId="5365"/>
    <cellStyle name="Normal 8 22 2 2 2" xfId="5366"/>
    <cellStyle name="Normal 8 22 2 3" xfId="5367"/>
    <cellStyle name="Normal 8 22 3" xfId="5368"/>
    <cellStyle name="Normal 8 22 3 2" xfId="5369"/>
    <cellStyle name="Normal 8 22 4" xfId="5370"/>
    <cellStyle name="Normal 8 23" xfId="5371"/>
    <cellStyle name="Normal 8 23 2" xfId="5372"/>
    <cellStyle name="Normal 8 23 2 2" xfId="5373"/>
    <cellStyle name="Normal 8 23 3" xfId="5374"/>
    <cellStyle name="Normal 8 24" xfId="5375"/>
    <cellStyle name="Normal 8 24 2" xfId="5376"/>
    <cellStyle name="Normal 8 25" xfId="5377"/>
    <cellStyle name="Normal 8 26" xfId="5378"/>
    <cellStyle name="Normal 8 27" xfId="5379"/>
    <cellStyle name="Normal 8 28" xfId="5380"/>
    <cellStyle name="Normal 8 29" xfId="5381"/>
    <cellStyle name="Normal 8 3" xfId="5382"/>
    <cellStyle name="Normal 8 3 2" xfId="5383"/>
    <cellStyle name="Normal 8 30" xfId="5384"/>
    <cellStyle name="Normal 8 31" xfId="5385"/>
    <cellStyle name="Normal 8 32" xfId="5386"/>
    <cellStyle name="Normal 8 33" xfId="5387"/>
    <cellStyle name="Normal 8 34" xfId="5388"/>
    <cellStyle name="Normal 8 35" xfId="5389"/>
    <cellStyle name="Normal 8 36" xfId="5390"/>
    <cellStyle name="Normal 8 37" xfId="5391"/>
    <cellStyle name="Normal 8 38" xfId="5392"/>
    <cellStyle name="Normal 8 39" xfId="5393"/>
    <cellStyle name="Normal 8 4" xfId="5394"/>
    <cellStyle name="Normal 8 40" xfId="5395"/>
    <cellStyle name="Normal 8 41" xfId="5396"/>
    <cellStyle name="Normal 8 42" xfId="5397"/>
    <cellStyle name="Normal 8 43" xfId="5340"/>
    <cellStyle name="Normal 8 44" xfId="6019"/>
    <cellStyle name="Normal 8 45" xfId="5995"/>
    <cellStyle name="Normal 8 5" xfId="5398"/>
    <cellStyle name="Normal 8 6" xfId="5399"/>
    <cellStyle name="Normal 8 7" xfId="5400"/>
    <cellStyle name="Normal 8 8" xfId="5401"/>
    <cellStyle name="Normal 8 9" xfId="5402"/>
    <cellStyle name="Normal 80" xfId="7594"/>
    <cellStyle name="Normal 81" xfId="9042"/>
    <cellStyle name="Normal 82" xfId="9050"/>
    <cellStyle name="Normal 83" xfId="7740"/>
    <cellStyle name="Normal 84" xfId="9041"/>
    <cellStyle name="Normal 85" xfId="9047"/>
    <cellStyle name="Normal 86" xfId="9049"/>
    <cellStyle name="Normal 87" xfId="9043"/>
    <cellStyle name="Normal 88" xfId="9046"/>
    <cellStyle name="Normal 89" xfId="7585"/>
    <cellStyle name="Normal 9" xfId="1228"/>
    <cellStyle name="Normal 9 2" xfId="5404"/>
    <cellStyle name="Normal 9 2 2" xfId="5405"/>
    <cellStyle name="Normal 9 3" xfId="5406"/>
    <cellStyle name="Normal 9 4" xfId="5407"/>
    <cellStyle name="Normal 9 5" xfId="5408"/>
    <cellStyle name="Normal 9 6" xfId="5409"/>
    <cellStyle name="Normal 9 7" xfId="5403"/>
    <cellStyle name="Normal 90" xfId="9044"/>
    <cellStyle name="Normal 91" xfId="7592"/>
    <cellStyle name="Normal 92" xfId="7597"/>
    <cellStyle name="Normal 93" xfId="7797"/>
    <cellStyle name="Normal 94" xfId="9048"/>
    <cellStyle name="Normal 95" xfId="7601"/>
    <cellStyle name="Normal 96" xfId="9045"/>
    <cellStyle name="Normal 97" xfId="7602"/>
    <cellStyle name="Normal 98" xfId="7595"/>
    <cellStyle name="Normal 99" xfId="9055"/>
    <cellStyle name="Normal2" xfId="5410"/>
    <cellStyle name="Normale_97.98.us" xfId="5411"/>
    <cellStyle name="NormalGB" xfId="5412"/>
    <cellStyle name="Normalx" xfId="5413"/>
    <cellStyle name="Note 10" xfId="1229"/>
    <cellStyle name="Note 11" xfId="1230"/>
    <cellStyle name="Note 12" xfId="1231"/>
    <cellStyle name="Note 13" xfId="1232"/>
    <cellStyle name="Note 14" xfId="1233"/>
    <cellStyle name="Note 15" xfId="1234"/>
    <cellStyle name="Note 16" xfId="1235"/>
    <cellStyle name="Note 16 2" xfId="6161"/>
    <cellStyle name="Note 2" xfId="1236"/>
    <cellStyle name="Note 2 10" xfId="5415"/>
    <cellStyle name="Note 2 11" xfId="5416"/>
    <cellStyle name="Note 2 12" xfId="5414"/>
    <cellStyle name="Note 2 13" xfId="5994"/>
    <cellStyle name="Note 2 2" xfId="1237"/>
    <cellStyle name="Note 2 2 2" xfId="5418"/>
    <cellStyle name="Note 2 2 2 2" xfId="5419"/>
    <cellStyle name="Note 2 2 2 2 2" xfId="11218"/>
    <cellStyle name="Note 2 2 2 2 3" xfId="8321"/>
    <cellStyle name="Note 2 2 2 3" xfId="5420"/>
    <cellStyle name="Note 2 2 2 3 2" xfId="9778"/>
    <cellStyle name="Note 2 2 2 4" xfId="6841"/>
    <cellStyle name="Note 2 2 3" xfId="5421"/>
    <cellStyle name="Note 2 2 3 2" xfId="10560"/>
    <cellStyle name="Note 2 2 3 3" xfId="7660"/>
    <cellStyle name="Note 2 2 4" xfId="5422"/>
    <cellStyle name="Note 2 2 4 2" xfId="9120"/>
    <cellStyle name="Note 2 2 5" xfId="5417"/>
    <cellStyle name="Note 2 2 6" xfId="5993"/>
    <cellStyle name="Note 2 2 7" xfId="6134"/>
    <cellStyle name="Note 2 3" xfId="1238"/>
    <cellStyle name="Note 2 3 2" xfId="5424"/>
    <cellStyle name="Note 2 3 3" xfId="5423"/>
    <cellStyle name="Note 2 4" xfId="1501"/>
    <cellStyle name="Note 2 4 2" xfId="5425"/>
    <cellStyle name="Note 2 5" xfId="5426"/>
    <cellStyle name="Note 2 6" xfId="5427"/>
    <cellStyle name="Note 2 7" xfId="5428"/>
    <cellStyle name="Note 2 8" xfId="5429"/>
    <cellStyle name="Note 2 9" xfId="5430"/>
    <cellStyle name="Note 3" xfId="1239"/>
    <cellStyle name="Note 3 2" xfId="5432"/>
    <cellStyle name="Note 3 3" xfId="5433"/>
    <cellStyle name="Note 3 4" xfId="5431"/>
    <cellStyle name="Note 4" xfId="1240"/>
    <cellStyle name="Note 4 2" xfId="5435"/>
    <cellStyle name="Note 4 3" xfId="5434"/>
    <cellStyle name="Note 5" xfId="1241"/>
    <cellStyle name="Note 5 2" xfId="5437"/>
    <cellStyle name="Note 5 3" xfId="5436"/>
    <cellStyle name="Note 6" xfId="1242"/>
    <cellStyle name="Note 6 2" xfId="5439"/>
    <cellStyle name="Note 6 3" xfId="5438"/>
    <cellStyle name="Note 7" xfId="1243"/>
    <cellStyle name="Note 7 2" xfId="5441"/>
    <cellStyle name="Note 7 3" xfId="5440"/>
    <cellStyle name="Note 8" xfId="1244"/>
    <cellStyle name="Note 8 2" xfId="5443"/>
    <cellStyle name="Note 8 2 2" xfId="5444"/>
    <cellStyle name="Note 8 2 2 2" xfId="5445"/>
    <cellStyle name="Note 8 2 2 2 2" xfId="5446"/>
    <cellStyle name="Note 8 2 2 3" xfId="5447"/>
    <cellStyle name="Note 8 2 3" xfId="5448"/>
    <cellStyle name="Note 8 2 3 2" xfId="5449"/>
    <cellStyle name="Note 8 2 4" xfId="5450"/>
    <cellStyle name="Note 8 3" xfId="5451"/>
    <cellStyle name="Note 8 3 2" xfId="5452"/>
    <cellStyle name="Note 8 3 2 2" xfId="5453"/>
    <cellStyle name="Note 8 3 2 2 2" xfId="5454"/>
    <cellStyle name="Note 8 3 2 3" xfId="5455"/>
    <cellStyle name="Note 8 3 3" xfId="5456"/>
    <cellStyle name="Note 8 3 3 2" xfId="5457"/>
    <cellStyle name="Note 8 3 4" xfId="5458"/>
    <cellStyle name="Note 8 4" xfId="5459"/>
    <cellStyle name="Note 8 4 2" xfId="5460"/>
    <cellStyle name="Note 8 4 2 2" xfId="5461"/>
    <cellStyle name="Note 8 4 3" xfId="5462"/>
    <cellStyle name="Note 8 5" xfId="5463"/>
    <cellStyle name="Note 8 5 2" xfId="5464"/>
    <cellStyle name="Note 8 6" xfId="5465"/>
    <cellStyle name="Note 8 7" xfId="5442"/>
    <cellStyle name="Note 9" xfId="1245"/>
    <cellStyle name="Nr 0 dec" xfId="5466"/>
    <cellStyle name="Nr 0 dec - Input" xfId="5467"/>
    <cellStyle name="Nr 0 dec - Subtotal" xfId="5468"/>
    <cellStyle name="Nr 0 dec_Data" xfId="5469"/>
    <cellStyle name="Nr 1 dec" xfId="5470"/>
    <cellStyle name="Nr 1 dec - Input" xfId="5471"/>
    <cellStyle name="Nr, 0 dec" xfId="5472"/>
    <cellStyle name="number" xfId="5473"/>
    <cellStyle name="Number, 1 dec" xfId="5474"/>
    <cellStyle name="Output (1dp#)" xfId="5475"/>
    <cellStyle name="Output (1dpx)_ Pies " xfId="5476"/>
    <cellStyle name="Output 10" xfId="1246"/>
    <cellStyle name="Output 11" xfId="1247"/>
    <cellStyle name="Output 12" xfId="1248"/>
    <cellStyle name="Output 13" xfId="1249"/>
    <cellStyle name="Output 14" xfId="1250"/>
    <cellStyle name="Output 15" xfId="1251"/>
    <cellStyle name="Output 16" xfId="1252"/>
    <cellStyle name="Output 16 2" xfId="6159"/>
    <cellStyle name="Output 2" xfId="1253"/>
    <cellStyle name="Output 2 10" xfId="5477"/>
    <cellStyle name="Output 2 11" xfId="5992"/>
    <cellStyle name="Output 2 2" xfId="1254"/>
    <cellStyle name="Output 2 2 2" xfId="5479"/>
    <cellStyle name="Output 2 2 3" xfId="5478"/>
    <cellStyle name="Output 2 2 4" xfId="5991"/>
    <cellStyle name="Output 2 3" xfId="5480"/>
    <cellStyle name="Output 2 4" xfId="5481"/>
    <cellStyle name="Output 2 5" xfId="5482"/>
    <cellStyle name="Output 2 6" xfId="5483"/>
    <cellStyle name="Output 2 7" xfId="5484"/>
    <cellStyle name="Output 2 8" xfId="5485"/>
    <cellStyle name="Output 2 9" xfId="5486"/>
    <cellStyle name="Output 3" xfId="1255"/>
    <cellStyle name="Output 4" xfId="1256"/>
    <cellStyle name="Output 5" xfId="1257"/>
    <cellStyle name="Output 6" xfId="1258"/>
    <cellStyle name="Output 7" xfId="1259"/>
    <cellStyle name="Output 8" xfId="1260"/>
    <cellStyle name="Output 9" xfId="1261"/>
    <cellStyle name="Page Heading" xfId="5487"/>
    <cellStyle name="Page Heading Large" xfId="5488"/>
    <cellStyle name="Page Heading Small" xfId="5489"/>
    <cellStyle name="Page Number" xfId="5490"/>
    <cellStyle name="pb_page_heading_LS" xfId="5491"/>
    <cellStyle name="Per aandeel" xfId="5492"/>
    <cellStyle name="Percent" xfId="2" builtinId="5"/>
    <cellStyle name="Percent (1)" xfId="5493"/>
    <cellStyle name="Percent [0]" xfId="5494"/>
    <cellStyle name="Percent [00]" xfId="5495"/>
    <cellStyle name="Percent [1]" xfId="5496"/>
    <cellStyle name="Percent [2]" xfId="1262"/>
    <cellStyle name="Percent [2] 2" xfId="5498"/>
    <cellStyle name="Percent [2] 3" xfId="5499"/>
    <cellStyle name="Percent [2] 4" xfId="5497"/>
    <cellStyle name="Percent 1 dec" xfId="5500"/>
    <cellStyle name="Percent 1 dec - Input" xfId="5501"/>
    <cellStyle name="Percent 1 dec_Data" xfId="5502"/>
    <cellStyle name="Percent 10" xfId="1263"/>
    <cellStyle name="Percent 11" xfId="1264"/>
    <cellStyle name="Percent 11 2" xfId="6226"/>
    <cellStyle name="Percent 12" xfId="1265"/>
    <cellStyle name="Percent 12 2" xfId="6299"/>
    <cellStyle name="Percent 13" xfId="1266"/>
    <cellStyle name="Percent 13 2" xfId="6287"/>
    <cellStyle name="Percent 14" xfId="1267"/>
    <cellStyle name="Percent 14 2" xfId="6289"/>
    <cellStyle name="Percent 15" xfId="1268"/>
    <cellStyle name="Percent 15 2" xfId="6281"/>
    <cellStyle name="Percent 16" xfId="1269"/>
    <cellStyle name="Percent 16 2" xfId="6770"/>
    <cellStyle name="Percent 17" xfId="1270"/>
    <cellStyle name="Percent 17 2" xfId="6294"/>
    <cellStyle name="Percent 18" xfId="1271"/>
    <cellStyle name="Percent 18 2" xfId="6301"/>
    <cellStyle name="Percent 19" xfId="1272"/>
    <cellStyle name="Percent 19 2" xfId="6283"/>
    <cellStyle name="Percent 2" xfId="14"/>
    <cellStyle name="Percent 2 10" xfId="5505"/>
    <cellStyle name="Percent 2 10 2" xfId="5506"/>
    <cellStyle name="Percent 2 10 2 2" xfId="5507"/>
    <cellStyle name="Percent 2 10 3" xfId="5508"/>
    <cellStyle name="Percent 2 11" xfId="5509"/>
    <cellStyle name="Percent 2 12" xfId="5510"/>
    <cellStyle name="Percent 2 12 2" xfId="5511"/>
    <cellStyle name="Percent 2 12 2 2" xfId="5512"/>
    <cellStyle name="Percent 2 12 3" xfId="5513"/>
    <cellStyle name="Percent 2 13" xfId="5514"/>
    <cellStyle name="Percent 2 13 2" xfId="5515"/>
    <cellStyle name="Percent 2 14" xfId="5516"/>
    <cellStyle name="Percent 2 15" xfId="5517"/>
    <cellStyle name="Percent 2 16" xfId="5518"/>
    <cellStyle name="Percent 2 17" xfId="5519"/>
    <cellStyle name="Percent 2 18" xfId="5520"/>
    <cellStyle name="Percent 2 19" xfId="5521"/>
    <cellStyle name="Percent 2 2" xfId="1273"/>
    <cellStyle name="Percent 2 2 10" xfId="7520"/>
    <cellStyle name="Percent 2 2 10 2" xfId="8992"/>
    <cellStyle name="Percent 2 2 10 2 2" xfId="11889"/>
    <cellStyle name="Percent 2 2 10 3" xfId="10449"/>
    <cellStyle name="Percent 2 2 11" xfId="6791"/>
    <cellStyle name="Percent 2 2 11 2" xfId="8272"/>
    <cellStyle name="Percent 2 2 11 2 2" xfId="11169"/>
    <cellStyle name="Percent 2 2 11 3" xfId="9729"/>
    <cellStyle name="Percent 2 2 12" xfId="7591"/>
    <cellStyle name="Percent 2 2 12 2" xfId="10503"/>
    <cellStyle name="Percent 2 2 13" xfId="9061"/>
    <cellStyle name="Percent 2 2 14" xfId="6054"/>
    <cellStyle name="Percent 2 2 2" xfId="1274"/>
    <cellStyle name="Percent 2 2 2 10" xfId="7619"/>
    <cellStyle name="Percent 2 2 2 10 2" xfId="10519"/>
    <cellStyle name="Percent 2 2 2 11" xfId="9079"/>
    <cellStyle name="Percent 2 2 2 12" xfId="6084"/>
    <cellStyle name="Percent 2 2 2 2" xfId="1275"/>
    <cellStyle name="Percent 2 2 2 2 10" xfId="9109"/>
    <cellStyle name="Percent 2 2 2 2 11" xfId="6121"/>
    <cellStyle name="Percent 2 2 2 2 2" xfId="1276"/>
    <cellStyle name="Percent 2 2 2 2 2 2" xfId="1277"/>
    <cellStyle name="Percent 2 2 2 2 2 2 2" xfId="1278"/>
    <cellStyle name="Percent 2 2 2 2 2 2 2 2" xfId="7434"/>
    <cellStyle name="Percent 2 2 2 2 2 2 2 2 2" xfId="8911"/>
    <cellStyle name="Percent 2 2 2 2 2 2 2 2 2 2" xfId="11808"/>
    <cellStyle name="Percent 2 2 2 2 2 2 2 2 3" xfId="10368"/>
    <cellStyle name="Percent 2 2 2 2 2 2 2 3" xfId="8253"/>
    <cellStyle name="Percent 2 2 2 2 2 2 2 3 2" xfId="11150"/>
    <cellStyle name="Percent 2 2 2 2 2 2 2 4" xfId="9710"/>
    <cellStyle name="Percent 2 2 2 2 2 2 2 5" xfId="6758"/>
    <cellStyle name="Percent 2 2 2 2 2 2 3" xfId="7201"/>
    <cellStyle name="Percent 2 2 2 2 2 2 3 2" xfId="8678"/>
    <cellStyle name="Percent 2 2 2 2 2 2 3 2 2" xfId="11575"/>
    <cellStyle name="Percent 2 2 2 2 2 2 3 3" xfId="10135"/>
    <cellStyle name="Percent 2 2 2 2 2 2 4" xfId="8020"/>
    <cellStyle name="Percent 2 2 2 2 2 2 4 2" xfId="10917"/>
    <cellStyle name="Percent 2 2 2 2 2 2 5" xfId="9477"/>
    <cellStyle name="Percent 2 2 2 2 2 2 6" xfId="6525"/>
    <cellStyle name="Percent 2 2 2 2 2 3" xfId="1279"/>
    <cellStyle name="Percent 2 2 2 2 2 3 2" xfId="7318"/>
    <cellStyle name="Percent 2 2 2 2 2 3 2 2" xfId="8795"/>
    <cellStyle name="Percent 2 2 2 2 2 3 2 2 2" xfId="11692"/>
    <cellStyle name="Percent 2 2 2 2 2 3 2 3" xfId="10252"/>
    <cellStyle name="Percent 2 2 2 2 2 3 3" xfId="8137"/>
    <cellStyle name="Percent 2 2 2 2 2 3 3 2" xfId="11034"/>
    <cellStyle name="Percent 2 2 2 2 2 3 4" xfId="9594"/>
    <cellStyle name="Percent 2 2 2 2 2 3 5" xfId="6642"/>
    <cellStyle name="Percent 2 2 2 2 2 4" xfId="1280"/>
    <cellStyle name="Percent 2 2 2 2 2 4 2" xfId="7085"/>
    <cellStyle name="Percent 2 2 2 2 2 4 2 2" xfId="8562"/>
    <cellStyle name="Percent 2 2 2 2 2 4 2 2 2" xfId="11459"/>
    <cellStyle name="Percent 2 2 2 2 2 4 2 3" xfId="10019"/>
    <cellStyle name="Percent 2 2 2 2 2 4 3" xfId="7903"/>
    <cellStyle name="Percent 2 2 2 2 2 4 3 2" xfId="10801"/>
    <cellStyle name="Percent 2 2 2 2 2 4 4" xfId="9361"/>
    <cellStyle name="Percent 2 2 2 2 2 4 5" xfId="6406"/>
    <cellStyle name="Percent 2 2 2 2 2 5" xfId="6913"/>
    <cellStyle name="Percent 2 2 2 2 2 5 2" xfId="8391"/>
    <cellStyle name="Percent 2 2 2 2 2 5 2 2" xfId="11288"/>
    <cellStyle name="Percent 2 2 2 2 2 5 3" xfId="9848"/>
    <cellStyle name="Percent 2 2 2 2 2 6" xfId="7730"/>
    <cellStyle name="Percent 2 2 2 2 2 6 2" xfId="10630"/>
    <cellStyle name="Percent 2 2 2 2 2 7" xfId="9190"/>
    <cellStyle name="Percent 2 2 2 2 2 8" xfId="6209"/>
    <cellStyle name="Percent 2 2 2 2 3" xfId="1281"/>
    <cellStyle name="Percent 2 2 2 2 3 2" xfId="1282"/>
    <cellStyle name="Percent 2 2 2 2 3 2 2" xfId="7378"/>
    <cellStyle name="Percent 2 2 2 2 3 2 2 2" xfId="8855"/>
    <cellStyle name="Percent 2 2 2 2 3 2 2 2 2" xfId="11752"/>
    <cellStyle name="Percent 2 2 2 2 3 2 2 3" xfId="10312"/>
    <cellStyle name="Percent 2 2 2 2 3 2 3" xfId="8197"/>
    <cellStyle name="Percent 2 2 2 2 3 2 3 2" xfId="11094"/>
    <cellStyle name="Percent 2 2 2 2 3 2 4" xfId="9654"/>
    <cellStyle name="Percent 2 2 2 2 3 2 5" xfId="6702"/>
    <cellStyle name="Percent 2 2 2 2 3 3" xfId="1283"/>
    <cellStyle name="Percent 2 2 2 2 3 3 2" xfId="7145"/>
    <cellStyle name="Percent 2 2 2 2 3 3 2 2" xfId="8622"/>
    <cellStyle name="Percent 2 2 2 2 3 3 2 2 2" xfId="11519"/>
    <cellStyle name="Percent 2 2 2 2 3 3 2 3" xfId="10079"/>
    <cellStyle name="Percent 2 2 2 2 3 3 3" xfId="7964"/>
    <cellStyle name="Percent 2 2 2 2 3 3 3 2" xfId="10861"/>
    <cellStyle name="Percent 2 2 2 2 3 3 4" xfId="9421"/>
    <cellStyle name="Percent 2 2 2 2 3 3 5" xfId="6469"/>
    <cellStyle name="Percent 2 2 2 2 3 4" xfId="6970"/>
    <cellStyle name="Percent 2 2 2 2 3 4 2" xfId="8447"/>
    <cellStyle name="Percent 2 2 2 2 3 4 2 2" xfId="11344"/>
    <cellStyle name="Percent 2 2 2 2 3 4 3" xfId="9904"/>
    <cellStyle name="Percent 2 2 2 2 3 5" xfId="7787"/>
    <cellStyle name="Percent 2 2 2 2 3 5 2" xfId="10686"/>
    <cellStyle name="Percent 2 2 2 2 3 6" xfId="9246"/>
    <cellStyle name="Percent 2 2 2 2 3 7" xfId="6271"/>
    <cellStyle name="Percent 2 2 2 2 4" xfId="1284"/>
    <cellStyle name="Percent 2 2 2 2 4 2" xfId="7262"/>
    <cellStyle name="Percent 2 2 2 2 4 2 2" xfId="8739"/>
    <cellStyle name="Percent 2 2 2 2 4 2 2 2" xfId="11636"/>
    <cellStyle name="Percent 2 2 2 2 4 2 3" xfId="10196"/>
    <cellStyle name="Percent 2 2 2 2 4 3" xfId="8081"/>
    <cellStyle name="Percent 2 2 2 2 4 3 2" xfId="10978"/>
    <cellStyle name="Percent 2 2 2 2 4 4" xfId="9538"/>
    <cellStyle name="Percent 2 2 2 2 4 5" xfId="6586"/>
    <cellStyle name="Percent 2 2 2 2 5" xfId="1285"/>
    <cellStyle name="Percent 2 2 2 2 5 2" xfId="7029"/>
    <cellStyle name="Percent 2 2 2 2 5 2 2" xfId="8506"/>
    <cellStyle name="Percent 2 2 2 2 5 2 2 2" xfId="11403"/>
    <cellStyle name="Percent 2 2 2 2 5 2 3" xfId="9963"/>
    <cellStyle name="Percent 2 2 2 2 5 3" xfId="7847"/>
    <cellStyle name="Percent 2 2 2 2 5 3 2" xfId="10745"/>
    <cellStyle name="Percent 2 2 2 2 5 4" xfId="9305"/>
    <cellStyle name="Percent 2 2 2 2 5 5" xfId="6350"/>
    <cellStyle name="Percent 2 2 2 2 6" xfId="7495"/>
    <cellStyle name="Percent 2 2 2 2 6 2" xfId="8969"/>
    <cellStyle name="Percent 2 2 2 2 6 2 2" xfId="11866"/>
    <cellStyle name="Percent 2 2 2 2 6 3" xfId="10426"/>
    <cellStyle name="Percent 2 2 2 2 7" xfId="7554"/>
    <cellStyle name="Percent 2 2 2 2 7 2" xfId="9026"/>
    <cellStyle name="Percent 2 2 2 2 7 2 2" xfId="11923"/>
    <cellStyle name="Percent 2 2 2 2 7 3" xfId="10483"/>
    <cellStyle name="Percent 2 2 2 2 8" xfId="6830"/>
    <cellStyle name="Percent 2 2 2 2 8 2" xfId="8310"/>
    <cellStyle name="Percent 2 2 2 2 8 2 2" xfId="11207"/>
    <cellStyle name="Percent 2 2 2 2 8 3" xfId="9767"/>
    <cellStyle name="Percent 2 2 2 2 9" xfId="7649"/>
    <cellStyle name="Percent 2 2 2 2 9 2" xfId="10549"/>
    <cellStyle name="Percent 2 2 2 3" xfId="1286"/>
    <cellStyle name="Percent 2 2 2 3 2" xfId="1287"/>
    <cellStyle name="Percent 2 2 2 3 2 2" xfId="1288"/>
    <cellStyle name="Percent 2 2 2 3 2 2 2" xfId="7404"/>
    <cellStyle name="Percent 2 2 2 3 2 2 2 2" xfId="8881"/>
    <cellStyle name="Percent 2 2 2 3 2 2 2 2 2" xfId="11778"/>
    <cellStyle name="Percent 2 2 2 3 2 2 2 3" xfId="10338"/>
    <cellStyle name="Percent 2 2 2 3 2 2 3" xfId="8223"/>
    <cellStyle name="Percent 2 2 2 3 2 2 3 2" xfId="11120"/>
    <cellStyle name="Percent 2 2 2 3 2 2 4" xfId="9680"/>
    <cellStyle name="Percent 2 2 2 3 2 2 5" xfId="6728"/>
    <cellStyle name="Percent 2 2 2 3 2 3" xfId="7171"/>
    <cellStyle name="Percent 2 2 2 3 2 3 2" xfId="8648"/>
    <cellStyle name="Percent 2 2 2 3 2 3 2 2" xfId="11545"/>
    <cellStyle name="Percent 2 2 2 3 2 3 3" xfId="10105"/>
    <cellStyle name="Percent 2 2 2 3 2 4" xfId="7990"/>
    <cellStyle name="Percent 2 2 2 3 2 4 2" xfId="10887"/>
    <cellStyle name="Percent 2 2 2 3 2 5" xfId="9447"/>
    <cellStyle name="Percent 2 2 2 3 2 6" xfId="6495"/>
    <cellStyle name="Percent 2 2 2 3 3" xfId="1289"/>
    <cellStyle name="Percent 2 2 2 3 3 2" xfId="7288"/>
    <cellStyle name="Percent 2 2 2 3 3 2 2" xfId="8765"/>
    <cellStyle name="Percent 2 2 2 3 3 2 2 2" xfId="11662"/>
    <cellStyle name="Percent 2 2 2 3 3 2 3" xfId="10222"/>
    <cellStyle name="Percent 2 2 2 3 3 3" xfId="8107"/>
    <cellStyle name="Percent 2 2 2 3 3 3 2" xfId="11004"/>
    <cellStyle name="Percent 2 2 2 3 3 4" xfId="9564"/>
    <cellStyle name="Percent 2 2 2 3 3 5" xfId="6612"/>
    <cellStyle name="Percent 2 2 2 3 4" xfId="1290"/>
    <cellStyle name="Percent 2 2 2 3 4 2" xfId="7055"/>
    <cellStyle name="Percent 2 2 2 3 4 2 2" xfId="8532"/>
    <cellStyle name="Percent 2 2 2 3 4 2 2 2" xfId="11429"/>
    <cellStyle name="Percent 2 2 2 3 4 2 3" xfId="9989"/>
    <cellStyle name="Percent 2 2 2 3 4 3" xfId="7873"/>
    <cellStyle name="Percent 2 2 2 3 4 3 2" xfId="10771"/>
    <cellStyle name="Percent 2 2 2 3 4 4" xfId="9331"/>
    <cellStyle name="Percent 2 2 2 3 4 5" xfId="6376"/>
    <cellStyle name="Percent 2 2 2 3 5" xfId="6883"/>
    <cellStyle name="Percent 2 2 2 3 5 2" xfId="8361"/>
    <cellStyle name="Percent 2 2 2 3 5 2 2" xfId="11258"/>
    <cellStyle name="Percent 2 2 2 3 5 3" xfId="9818"/>
    <cellStyle name="Percent 2 2 2 3 6" xfId="7700"/>
    <cellStyle name="Percent 2 2 2 3 6 2" xfId="10600"/>
    <cellStyle name="Percent 2 2 2 3 7" xfId="9160"/>
    <cellStyle name="Percent 2 2 2 3 8" xfId="6178"/>
    <cellStyle name="Percent 2 2 2 4" xfId="1291"/>
    <cellStyle name="Percent 2 2 2 4 2" xfId="1292"/>
    <cellStyle name="Percent 2 2 2 4 2 2" xfId="7352"/>
    <cellStyle name="Percent 2 2 2 4 2 2 2" xfId="8829"/>
    <cellStyle name="Percent 2 2 2 4 2 2 2 2" xfId="11726"/>
    <cellStyle name="Percent 2 2 2 4 2 2 3" xfId="10286"/>
    <cellStyle name="Percent 2 2 2 4 2 3" xfId="8171"/>
    <cellStyle name="Percent 2 2 2 4 2 3 2" xfId="11068"/>
    <cellStyle name="Percent 2 2 2 4 2 4" xfId="9628"/>
    <cellStyle name="Percent 2 2 2 4 2 5" xfId="6676"/>
    <cellStyle name="Percent 2 2 2 4 3" xfId="1293"/>
    <cellStyle name="Percent 2 2 2 4 3 2" xfId="7119"/>
    <cellStyle name="Percent 2 2 2 4 3 2 2" xfId="8596"/>
    <cellStyle name="Percent 2 2 2 4 3 2 2 2" xfId="11493"/>
    <cellStyle name="Percent 2 2 2 4 3 2 3" xfId="10053"/>
    <cellStyle name="Percent 2 2 2 4 3 3" xfId="7938"/>
    <cellStyle name="Percent 2 2 2 4 3 3 2" xfId="10835"/>
    <cellStyle name="Percent 2 2 2 4 3 4" xfId="9395"/>
    <cellStyle name="Percent 2 2 2 4 3 5" xfId="6443"/>
    <cellStyle name="Percent 2 2 2 4 4" xfId="6940"/>
    <cellStyle name="Percent 2 2 2 4 4 2" xfId="8417"/>
    <cellStyle name="Percent 2 2 2 4 4 2 2" xfId="11314"/>
    <cellStyle name="Percent 2 2 2 4 4 3" xfId="9874"/>
    <cellStyle name="Percent 2 2 2 4 5" xfId="7757"/>
    <cellStyle name="Percent 2 2 2 4 5 2" xfId="10656"/>
    <cellStyle name="Percent 2 2 2 4 6" xfId="9216"/>
    <cellStyle name="Percent 2 2 2 4 7" xfId="6241"/>
    <cellStyle name="Percent 2 2 2 5" xfId="1294"/>
    <cellStyle name="Percent 2 2 2 5 2" xfId="7236"/>
    <cellStyle name="Percent 2 2 2 5 2 2" xfId="8713"/>
    <cellStyle name="Percent 2 2 2 5 2 2 2" xfId="11610"/>
    <cellStyle name="Percent 2 2 2 5 2 3" xfId="10170"/>
    <cellStyle name="Percent 2 2 2 5 3" xfId="8055"/>
    <cellStyle name="Percent 2 2 2 5 3 2" xfId="10952"/>
    <cellStyle name="Percent 2 2 2 5 4" xfId="9512"/>
    <cellStyle name="Percent 2 2 2 5 5" xfId="6560"/>
    <cellStyle name="Percent 2 2 2 6" xfId="1295"/>
    <cellStyle name="Percent 2 2 2 6 2" xfId="7003"/>
    <cellStyle name="Percent 2 2 2 6 2 2" xfId="8480"/>
    <cellStyle name="Percent 2 2 2 6 2 2 2" xfId="11377"/>
    <cellStyle name="Percent 2 2 2 6 2 3" xfId="9937"/>
    <cellStyle name="Percent 2 2 2 6 3" xfId="7821"/>
    <cellStyle name="Percent 2 2 2 6 3 2" xfId="10719"/>
    <cellStyle name="Percent 2 2 2 6 4" xfId="9279"/>
    <cellStyle name="Percent 2 2 2 6 5" xfId="6324"/>
    <cellStyle name="Percent 2 2 2 7" xfId="5523"/>
    <cellStyle name="Percent 2 2 2 7 2" xfId="8943"/>
    <cellStyle name="Percent 2 2 2 7 2 2" xfId="11840"/>
    <cellStyle name="Percent 2 2 2 7 3" xfId="10400"/>
    <cellStyle name="Percent 2 2 2 7 4" xfId="7469"/>
    <cellStyle name="Percent 2 2 2 8" xfId="7528"/>
    <cellStyle name="Percent 2 2 2 8 2" xfId="9000"/>
    <cellStyle name="Percent 2 2 2 8 2 2" xfId="11897"/>
    <cellStyle name="Percent 2 2 2 8 3" xfId="10457"/>
    <cellStyle name="Percent 2 2 2 9" xfId="6799"/>
    <cellStyle name="Percent 2 2 2 9 2" xfId="8280"/>
    <cellStyle name="Percent 2 2 2 9 2 2" xfId="11177"/>
    <cellStyle name="Percent 2 2 2 9 3" xfId="9737"/>
    <cellStyle name="Percent 2 2 3" xfId="1296"/>
    <cellStyle name="Percent 2 2 3 10" xfId="7627"/>
    <cellStyle name="Percent 2 2 3 10 2" xfId="10527"/>
    <cellStyle name="Percent 2 2 3 11" xfId="9087"/>
    <cellStyle name="Percent 2 2 3 12" xfId="6092"/>
    <cellStyle name="Percent 2 2 3 2" xfId="1297"/>
    <cellStyle name="Percent 2 2 3 2 10" xfId="9117"/>
    <cellStyle name="Percent 2 2 3 2 11" xfId="6129"/>
    <cellStyle name="Percent 2 2 3 2 2" xfId="1298"/>
    <cellStyle name="Percent 2 2 3 2 2 2" xfId="1299"/>
    <cellStyle name="Percent 2 2 3 2 2 2 2" xfId="1300"/>
    <cellStyle name="Percent 2 2 3 2 2 2 2 2" xfId="7442"/>
    <cellStyle name="Percent 2 2 3 2 2 2 2 2 2" xfId="8919"/>
    <cellStyle name="Percent 2 2 3 2 2 2 2 2 2 2" xfId="11816"/>
    <cellStyle name="Percent 2 2 3 2 2 2 2 2 3" xfId="10376"/>
    <cellStyle name="Percent 2 2 3 2 2 2 2 3" xfId="8261"/>
    <cellStyle name="Percent 2 2 3 2 2 2 2 3 2" xfId="11158"/>
    <cellStyle name="Percent 2 2 3 2 2 2 2 4" xfId="9718"/>
    <cellStyle name="Percent 2 2 3 2 2 2 2 5" xfId="6766"/>
    <cellStyle name="Percent 2 2 3 2 2 2 3" xfId="7209"/>
    <cellStyle name="Percent 2 2 3 2 2 2 3 2" xfId="8686"/>
    <cellStyle name="Percent 2 2 3 2 2 2 3 2 2" xfId="11583"/>
    <cellStyle name="Percent 2 2 3 2 2 2 3 3" xfId="10143"/>
    <cellStyle name="Percent 2 2 3 2 2 2 4" xfId="8028"/>
    <cellStyle name="Percent 2 2 3 2 2 2 4 2" xfId="10925"/>
    <cellStyle name="Percent 2 2 3 2 2 2 5" xfId="9485"/>
    <cellStyle name="Percent 2 2 3 2 2 2 6" xfId="6533"/>
    <cellStyle name="Percent 2 2 3 2 2 3" xfId="1301"/>
    <cellStyle name="Percent 2 2 3 2 2 3 2" xfId="7326"/>
    <cellStyle name="Percent 2 2 3 2 2 3 2 2" xfId="8803"/>
    <cellStyle name="Percent 2 2 3 2 2 3 2 2 2" xfId="11700"/>
    <cellStyle name="Percent 2 2 3 2 2 3 2 3" xfId="10260"/>
    <cellStyle name="Percent 2 2 3 2 2 3 3" xfId="8145"/>
    <cellStyle name="Percent 2 2 3 2 2 3 3 2" xfId="11042"/>
    <cellStyle name="Percent 2 2 3 2 2 3 4" xfId="9602"/>
    <cellStyle name="Percent 2 2 3 2 2 3 5" xfId="6650"/>
    <cellStyle name="Percent 2 2 3 2 2 4" xfId="1302"/>
    <cellStyle name="Percent 2 2 3 2 2 4 2" xfId="7093"/>
    <cellStyle name="Percent 2 2 3 2 2 4 2 2" xfId="8570"/>
    <cellStyle name="Percent 2 2 3 2 2 4 2 2 2" xfId="11467"/>
    <cellStyle name="Percent 2 2 3 2 2 4 2 3" xfId="10027"/>
    <cellStyle name="Percent 2 2 3 2 2 4 3" xfId="7911"/>
    <cellStyle name="Percent 2 2 3 2 2 4 3 2" xfId="10809"/>
    <cellStyle name="Percent 2 2 3 2 2 4 4" xfId="9369"/>
    <cellStyle name="Percent 2 2 3 2 2 4 5" xfId="6414"/>
    <cellStyle name="Percent 2 2 3 2 2 5" xfId="6921"/>
    <cellStyle name="Percent 2 2 3 2 2 5 2" xfId="8399"/>
    <cellStyle name="Percent 2 2 3 2 2 5 2 2" xfId="11296"/>
    <cellStyle name="Percent 2 2 3 2 2 5 3" xfId="9856"/>
    <cellStyle name="Percent 2 2 3 2 2 6" xfId="7738"/>
    <cellStyle name="Percent 2 2 3 2 2 6 2" xfId="10638"/>
    <cellStyle name="Percent 2 2 3 2 2 7" xfId="9198"/>
    <cellStyle name="Percent 2 2 3 2 2 8" xfId="6217"/>
    <cellStyle name="Percent 2 2 3 2 3" xfId="1303"/>
    <cellStyle name="Percent 2 2 3 2 3 2" xfId="1304"/>
    <cellStyle name="Percent 2 2 3 2 3 2 2" xfId="7386"/>
    <cellStyle name="Percent 2 2 3 2 3 2 2 2" xfId="8863"/>
    <cellStyle name="Percent 2 2 3 2 3 2 2 2 2" xfId="11760"/>
    <cellStyle name="Percent 2 2 3 2 3 2 2 3" xfId="10320"/>
    <cellStyle name="Percent 2 2 3 2 3 2 3" xfId="8205"/>
    <cellStyle name="Percent 2 2 3 2 3 2 3 2" xfId="11102"/>
    <cellStyle name="Percent 2 2 3 2 3 2 4" xfId="9662"/>
    <cellStyle name="Percent 2 2 3 2 3 2 5" xfId="6710"/>
    <cellStyle name="Percent 2 2 3 2 3 3" xfId="1305"/>
    <cellStyle name="Percent 2 2 3 2 3 3 2" xfId="7153"/>
    <cellStyle name="Percent 2 2 3 2 3 3 2 2" xfId="8630"/>
    <cellStyle name="Percent 2 2 3 2 3 3 2 2 2" xfId="11527"/>
    <cellStyle name="Percent 2 2 3 2 3 3 2 3" xfId="10087"/>
    <cellStyle name="Percent 2 2 3 2 3 3 3" xfId="7972"/>
    <cellStyle name="Percent 2 2 3 2 3 3 3 2" xfId="10869"/>
    <cellStyle name="Percent 2 2 3 2 3 3 4" xfId="9429"/>
    <cellStyle name="Percent 2 2 3 2 3 3 5" xfId="6477"/>
    <cellStyle name="Percent 2 2 3 2 3 4" xfId="6978"/>
    <cellStyle name="Percent 2 2 3 2 3 4 2" xfId="8455"/>
    <cellStyle name="Percent 2 2 3 2 3 4 2 2" xfId="11352"/>
    <cellStyle name="Percent 2 2 3 2 3 4 3" xfId="9912"/>
    <cellStyle name="Percent 2 2 3 2 3 5" xfId="7795"/>
    <cellStyle name="Percent 2 2 3 2 3 5 2" xfId="10694"/>
    <cellStyle name="Percent 2 2 3 2 3 6" xfId="9254"/>
    <cellStyle name="Percent 2 2 3 2 3 7" xfId="6279"/>
    <cellStyle name="Percent 2 2 3 2 4" xfId="1306"/>
    <cellStyle name="Percent 2 2 3 2 4 2" xfId="7270"/>
    <cellStyle name="Percent 2 2 3 2 4 2 2" xfId="8747"/>
    <cellStyle name="Percent 2 2 3 2 4 2 2 2" xfId="11644"/>
    <cellStyle name="Percent 2 2 3 2 4 2 3" xfId="10204"/>
    <cellStyle name="Percent 2 2 3 2 4 3" xfId="8089"/>
    <cellStyle name="Percent 2 2 3 2 4 3 2" xfId="10986"/>
    <cellStyle name="Percent 2 2 3 2 4 4" xfId="9546"/>
    <cellStyle name="Percent 2 2 3 2 4 5" xfId="6594"/>
    <cellStyle name="Percent 2 2 3 2 5" xfId="1307"/>
    <cellStyle name="Percent 2 2 3 2 5 2" xfId="7037"/>
    <cellStyle name="Percent 2 2 3 2 5 2 2" xfId="8514"/>
    <cellStyle name="Percent 2 2 3 2 5 2 2 2" xfId="11411"/>
    <cellStyle name="Percent 2 2 3 2 5 2 3" xfId="9971"/>
    <cellStyle name="Percent 2 2 3 2 5 3" xfId="7855"/>
    <cellStyle name="Percent 2 2 3 2 5 3 2" xfId="10753"/>
    <cellStyle name="Percent 2 2 3 2 5 4" xfId="9313"/>
    <cellStyle name="Percent 2 2 3 2 5 5" xfId="6358"/>
    <cellStyle name="Percent 2 2 3 2 6" xfId="7503"/>
    <cellStyle name="Percent 2 2 3 2 6 2" xfId="8977"/>
    <cellStyle name="Percent 2 2 3 2 6 2 2" xfId="11874"/>
    <cellStyle name="Percent 2 2 3 2 6 3" xfId="10434"/>
    <cellStyle name="Percent 2 2 3 2 7" xfId="7562"/>
    <cellStyle name="Percent 2 2 3 2 7 2" xfId="9034"/>
    <cellStyle name="Percent 2 2 3 2 7 2 2" xfId="11931"/>
    <cellStyle name="Percent 2 2 3 2 7 3" xfId="10491"/>
    <cellStyle name="Percent 2 2 3 2 8" xfId="6838"/>
    <cellStyle name="Percent 2 2 3 2 8 2" xfId="8318"/>
    <cellStyle name="Percent 2 2 3 2 8 2 2" xfId="11215"/>
    <cellStyle name="Percent 2 2 3 2 8 3" xfId="9775"/>
    <cellStyle name="Percent 2 2 3 2 9" xfId="7657"/>
    <cellStyle name="Percent 2 2 3 2 9 2" xfId="10557"/>
    <cellStyle name="Percent 2 2 3 3" xfId="1308"/>
    <cellStyle name="Percent 2 2 3 3 2" xfId="1309"/>
    <cellStyle name="Percent 2 2 3 3 2 2" xfId="1310"/>
    <cellStyle name="Percent 2 2 3 3 2 2 2" xfId="7412"/>
    <cellStyle name="Percent 2 2 3 3 2 2 2 2" xfId="8889"/>
    <cellStyle name="Percent 2 2 3 3 2 2 2 2 2" xfId="11786"/>
    <cellStyle name="Percent 2 2 3 3 2 2 2 3" xfId="10346"/>
    <cellStyle name="Percent 2 2 3 3 2 2 3" xfId="8231"/>
    <cellStyle name="Percent 2 2 3 3 2 2 3 2" xfId="11128"/>
    <cellStyle name="Percent 2 2 3 3 2 2 4" xfId="9688"/>
    <cellStyle name="Percent 2 2 3 3 2 2 5" xfId="6736"/>
    <cellStyle name="Percent 2 2 3 3 2 3" xfId="7179"/>
    <cellStyle name="Percent 2 2 3 3 2 3 2" xfId="8656"/>
    <cellStyle name="Percent 2 2 3 3 2 3 2 2" xfId="11553"/>
    <cellStyle name="Percent 2 2 3 3 2 3 3" xfId="10113"/>
    <cellStyle name="Percent 2 2 3 3 2 4" xfId="7998"/>
    <cellStyle name="Percent 2 2 3 3 2 4 2" xfId="10895"/>
    <cellStyle name="Percent 2 2 3 3 2 5" xfId="9455"/>
    <cellStyle name="Percent 2 2 3 3 2 6" xfId="6503"/>
    <cellStyle name="Percent 2 2 3 3 3" xfId="1311"/>
    <cellStyle name="Percent 2 2 3 3 3 2" xfId="7296"/>
    <cellStyle name="Percent 2 2 3 3 3 2 2" xfId="8773"/>
    <cellStyle name="Percent 2 2 3 3 3 2 2 2" xfId="11670"/>
    <cellStyle name="Percent 2 2 3 3 3 2 3" xfId="10230"/>
    <cellStyle name="Percent 2 2 3 3 3 3" xfId="8115"/>
    <cellStyle name="Percent 2 2 3 3 3 3 2" xfId="11012"/>
    <cellStyle name="Percent 2 2 3 3 3 4" xfId="9572"/>
    <cellStyle name="Percent 2 2 3 3 3 5" xfId="6620"/>
    <cellStyle name="Percent 2 2 3 3 4" xfId="1312"/>
    <cellStyle name="Percent 2 2 3 3 4 2" xfId="7063"/>
    <cellStyle name="Percent 2 2 3 3 4 2 2" xfId="8540"/>
    <cellStyle name="Percent 2 2 3 3 4 2 2 2" xfId="11437"/>
    <cellStyle name="Percent 2 2 3 3 4 2 3" xfId="9997"/>
    <cellStyle name="Percent 2 2 3 3 4 3" xfId="7881"/>
    <cellStyle name="Percent 2 2 3 3 4 3 2" xfId="10779"/>
    <cellStyle name="Percent 2 2 3 3 4 4" xfId="9339"/>
    <cellStyle name="Percent 2 2 3 3 4 5" xfId="6384"/>
    <cellStyle name="Percent 2 2 3 3 5" xfId="6891"/>
    <cellStyle name="Percent 2 2 3 3 5 2" xfId="8369"/>
    <cellStyle name="Percent 2 2 3 3 5 2 2" xfId="11266"/>
    <cellStyle name="Percent 2 2 3 3 5 3" xfId="9826"/>
    <cellStyle name="Percent 2 2 3 3 6" xfId="7708"/>
    <cellStyle name="Percent 2 2 3 3 6 2" xfId="10608"/>
    <cellStyle name="Percent 2 2 3 3 7" xfId="9168"/>
    <cellStyle name="Percent 2 2 3 3 8" xfId="6186"/>
    <cellStyle name="Percent 2 2 3 4" xfId="1313"/>
    <cellStyle name="Percent 2 2 3 4 2" xfId="1314"/>
    <cellStyle name="Percent 2 2 3 4 2 2" xfId="7360"/>
    <cellStyle name="Percent 2 2 3 4 2 2 2" xfId="8837"/>
    <cellStyle name="Percent 2 2 3 4 2 2 2 2" xfId="11734"/>
    <cellStyle name="Percent 2 2 3 4 2 2 3" xfId="10294"/>
    <cellStyle name="Percent 2 2 3 4 2 3" xfId="8179"/>
    <cellStyle name="Percent 2 2 3 4 2 3 2" xfId="11076"/>
    <cellStyle name="Percent 2 2 3 4 2 4" xfId="9636"/>
    <cellStyle name="Percent 2 2 3 4 2 5" xfId="6684"/>
    <cellStyle name="Percent 2 2 3 4 3" xfId="1315"/>
    <cellStyle name="Percent 2 2 3 4 3 2" xfId="7127"/>
    <cellStyle name="Percent 2 2 3 4 3 2 2" xfId="8604"/>
    <cellStyle name="Percent 2 2 3 4 3 2 2 2" xfId="11501"/>
    <cellStyle name="Percent 2 2 3 4 3 2 3" xfId="10061"/>
    <cellStyle name="Percent 2 2 3 4 3 3" xfId="7946"/>
    <cellStyle name="Percent 2 2 3 4 3 3 2" xfId="10843"/>
    <cellStyle name="Percent 2 2 3 4 3 4" xfId="9403"/>
    <cellStyle name="Percent 2 2 3 4 3 5" xfId="6451"/>
    <cellStyle name="Percent 2 2 3 4 4" xfId="6948"/>
    <cellStyle name="Percent 2 2 3 4 4 2" xfId="8425"/>
    <cellStyle name="Percent 2 2 3 4 4 2 2" xfId="11322"/>
    <cellStyle name="Percent 2 2 3 4 4 3" xfId="9882"/>
    <cellStyle name="Percent 2 2 3 4 5" xfId="7765"/>
    <cellStyle name="Percent 2 2 3 4 5 2" xfId="10664"/>
    <cellStyle name="Percent 2 2 3 4 6" xfId="9224"/>
    <cellStyle name="Percent 2 2 3 4 7" xfId="6249"/>
    <cellStyle name="Percent 2 2 3 5" xfId="1316"/>
    <cellStyle name="Percent 2 2 3 5 2" xfId="7244"/>
    <cellStyle name="Percent 2 2 3 5 2 2" xfId="8721"/>
    <cellStyle name="Percent 2 2 3 5 2 2 2" xfId="11618"/>
    <cellStyle name="Percent 2 2 3 5 2 3" xfId="10178"/>
    <cellStyle name="Percent 2 2 3 5 3" xfId="8063"/>
    <cellStyle name="Percent 2 2 3 5 3 2" xfId="10960"/>
    <cellStyle name="Percent 2 2 3 5 4" xfId="9520"/>
    <cellStyle name="Percent 2 2 3 5 5" xfId="6568"/>
    <cellStyle name="Percent 2 2 3 6" xfId="1317"/>
    <cellStyle name="Percent 2 2 3 6 2" xfId="7011"/>
    <cellStyle name="Percent 2 2 3 6 2 2" xfId="8488"/>
    <cellStyle name="Percent 2 2 3 6 2 2 2" xfId="11385"/>
    <cellStyle name="Percent 2 2 3 6 2 3" xfId="9945"/>
    <cellStyle name="Percent 2 2 3 6 3" xfId="7829"/>
    <cellStyle name="Percent 2 2 3 6 3 2" xfId="10727"/>
    <cellStyle name="Percent 2 2 3 6 4" xfId="9287"/>
    <cellStyle name="Percent 2 2 3 6 5" xfId="6332"/>
    <cellStyle name="Percent 2 2 3 7" xfId="5524"/>
    <cellStyle name="Percent 2 2 3 7 2" xfId="8951"/>
    <cellStyle name="Percent 2 2 3 7 2 2" xfId="11848"/>
    <cellStyle name="Percent 2 2 3 7 3" xfId="10408"/>
    <cellStyle name="Percent 2 2 3 7 4" xfId="7477"/>
    <cellStyle name="Percent 2 2 3 8" xfId="7536"/>
    <cellStyle name="Percent 2 2 3 8 2" xfId="9008"/>
    <cellStyle name="Percent 2 2 3 8 2 2" xfId="11905"/>
    <cellStyle name="Percent 2 2 3 8 3" xfId="10465"/>
    <cellStyle name="Percent 2 2 3 9" xfId="6807"/>
    <cellStyle name="Percent 2 2 3 9 2" xfId="8288"/>
    <cellStyle name="Percent 2 2 3 9 2 2" xfId="11185"/>
    <cellStyle name="Percent 2 2 3 9 3" xfId="9745"/>
    <cellStyle name="Percent 2 2 4" xfId="1318"/>
    <cellStyle name="Percent 2 2 4 10" xfId="9101"/>
    <cellStyle name="Percent 2 2 4 11" xfId="6113"/>
    <cellStyle name="Percent 2 2 4 2" xfId="1319"/>
    <cellStyle name="Percent 2 2 4 2 2" xfId="1320"/>
    <cellStyle name="Percent 2 2 4 2 2 2" xfId="1321"/>
    <cellStyle name="Percent 2 2 4 2 2 2 2" xfId="5528"/>
    <cellStyle name="Percent 2 2 4 2 2 2 2 2" xfId="8903"/>
    <cellStyle name="Percent 2 2 4 2 2 2 2 2 2" xfId="11800"/>
    <cellStyle name="Percent 2 2 4 2 2 2 2 3" xfId="10360"/>
    <cellStyle name="Percent 2 2 4 2 2 2 2 4" xfId="7426"/>
    <cellStyle name="Percent 2 2 4 2 2 2 3" xfId="8245"/>
    <cellStyle name="Percent 2 2 4 2 2 2 3 2" xfId="11142"/>
    <cellStyle name="Percent 2 2 4 2 2 2 4" xfId="9702"/>
    <cellStyle name="Percent 2 2 4 2 2 2 5" xfId="6750"/>
    <cellStyle name="Percent 2 2 4 2 2 3" xfId="5527"/>
    <cellStyle name="Percent 2 2 4 2 2 3 2" xfId="8670"/>
    <cellStyle name="Percent 2 2 4 2 2 3 2 2" xfId="11567"/>
    <cellStyle name="Percent 2 2 4 2 2 3 3" xfId="10127"/>
    <cellStyle name="Percent 2 2 4 2 2 3 4" xfId="7193"/>
    <cellStyle name="Percent 2 2 4 2 2 4" xfId="8012"/>
    <cellStyle name="Percent 2 2 4 2 2 4 2" xfId="10909"/>
    <cellStyle name="Percent 2 2 4 2 2 5" xfId="9469"/>
    <cellStyle name="Percent 2 2 4 2 2 6" xfId="6517"/>
    <cellStyle name="Percent 2 2 4 2 3" xfId="1322"/>
    <cellStyle name="Percent 2 2 4 2 3 2" xfId="5529"/>
    <cellStyle name="Percent 2 2 4 2 3 2 2" xfId="8787"/>
    <cellStyle name="Percent 2 2 4 2 3 2 2 2" xfId="11684"/>
    <cellStyle name="Percent 2 2 4 2 3 2 3" xfId="10244"/>
    <cellStyle name="Percent 2 2 4 2 3 2 4" xfId="7310"/>
    <cellStyle name="Percent 2 2 4 2 3 3" xfId="8129"/>
    <cellStyle name="Percent 2 2 4 2 3 3 2" xfId="11026"/>
    <cellStyle name="Percent 2 2 4 2 3 4" xfId="9586"/>
    <cellStyle name="Percent 2 2 4 2 3 5" xfId="6634"/>
    <cellStyle name="Percent 2 2 4 2 4" xfId="1323"/>
    <cellStyle name="Percent 2 2 4 2 4 2" xfId="7077"/>
    <cellStyle name="Percent 2 2 4 2 4 2 2" xfId="8554"/>
    <cellStyle name="Percent 2 2 4 2 4 2 2 2" xfId="11451"/>
    <cellStyle name="Percent 2 2 4 2 4 2 3" xfId="10011"/>
    <cellStyle name="Percent 2 2 4 2 4 3" xfId="7895"/>
    <cellStyle name="Percent 2 2 4 2 4 3 2" xfId="10793"/>
    <cellStyle name="Percent 2 2 4 2 4 4" xfId="9353"/>
    <cellStyle name="Percent 2 2 4 2 4 5" xfId="6398"/>
    <cellStyle name="Percent 2 2 4 2 5" xfId="5526"/>
    <cellStyle name="Percent 2 2 4 2 5 2" xfId="8383"/>
    <cellStyle name="Percent 2 2 4 2 5 2 2" xfId="11280"/>
    <cellStyle name="Percent 2 2 4 2 5 3" xfId="9840"/>
    <cellStyle name="Percent 2 2 4 2 5 4" xfId="6905"/>
    <cellStyle name="Percent 2 2 4 2 6" xfId="7722"/>
    <cellStyle name="Percent 2 2 4 2 6 2" xfId="10622"/>
    <cellStyle name="Percent 2 2 4 2 7" xfId="9182"/>
    <cellStyle name="Percent 2 2 4 2 8" xfId="6201"/>
    <cellStyle name="Percent 2 2 4 3" xfId="1324"/>
    <cellStyle name="Percent 2 2 4 3 2" xfId="1325"/>
    <cellStyle name="Percent 2 2 4 3 2 2" xfId="5531"/>
    <cellStyle name="Percent 2 2 4 3 2 2 2" xfId="8847"/>
    <cellStyle name="Percent 2 2 4 3 2 2 2 2" xfId="11744"/>
    <cellStyle name="Percent 2 2 4 3 2 2 3" xfId="10304"/>
    <cellStyle name="Percent 2 2 4 3 2 2 4" xfId="7370"/>
    <cellStyle name="Percent 2 2 4 3 2 3" xfId="8189"/>
    <cellStyle name="Percent 2 2 4 3 2 3 2" xfId="11086"/>
    <cellStyle name="Percent 2 2 4 3 2 4" xfId="9646"/>
    <cellStyle name="Percent 2 2 4 3 2 5" xfId="6694"/>
    <cellStyle name="Percent 2 2 4 3 3" xfId="1326"/>
    <cellStyle name="Percent 2 2 4 3 3 2" xfId="7137"/>
    <cellStyle name="Percent 2 2 4 3 3 2 2" xfId="8614"/>
    <cellStyle name="Percent 2 2 4 3 3 2 2 2" xfId="11511"/>
    <cellStyle name="Percent 2 2 4 3 3 2 3" xfId="10071"/>
    <cellStyle name="Percent 2 2 4 3 3 3" xfId="7956"/>
    <cellStyle name="Percent 2 2 4 3 3 3 2" xfId="10853"/>
    <cellStyle name="Percent 2 2 4 3 3 4" xfId="9413"/>
    <cellStyle name="Percent 2 2 4 3 3 5" xfId="6461"/>
    <cellStyle name="Percent 2 2 4 3 4" xfId="5530"/>
    <cellStyle name="Percent 2 2 4 3 4 2" xfId="8439"/>
    <cellStyle name="Percent 2 2 4 3 4 2 2" xfId="11336"/>
    <cellStyle name="Percent 2 2 4 3 4 3" xfId="9896"/>
    <cellStyle name="Percent 2 2 4 3 4 4" xfId="6962"/>
    <cellStyle name="Percent 2 2 4 3 5" xfId="7779"/>
    <cellStyle name="Percent 2 2 4 3 5 2" xfId="10678"/>
    <cellStyle name="Percent 2 2 4 3 6" xfId="9238"/>
    <cellStyle name="Percent 2 2 4 3 7" xfId="6263"/>
    <cellStyle name="Percent 2 2 4 4" xfId="1327"/>
    <cellStyle name="Percent 2 2 4 4 2" xfId="5532"/>
    <cellStyle name="Percent 2 2 4 4 2 2" xfId="8731"/>
    <cellStyle name="Percent 2 2 4 4 2 2 2" xfId="11628"/>
    <cellStyle name="Percent 2 2 4 4 2 3" xfId="10188"/>
    <cellStyle name="Percent 2 2 4 4 2 4" xfId="7254"/>
    <cellStyle name="Percent 2 2 4 4 3" xfId="8073"/>
    <cellStyle name="Percent 2 2 4 4 3 2" xfId="10970"/>
    <cellStyle name="Percent 2 2 4 4 4" xfId="9530"/>
    <cellStyle name="Percent 2 2 4 4 5" xfId="6578"/>
    <cellStyle name="Percent 2 2 4 5" xfId="1328"/>
    <cellStyle name="Percent 2 2 4 5 2" xfId="7021"/>
    <cellStyle name="Percent 2 2 4 5 2 2" xfId="8498"/>
    <cellStyle name="Percent 2 2 4 5 2 2 2" xfId="11395"/>
    <cellStyle name="Percent 2 2 4 5 2 3" xfId="9955"/>
    <cellStyle name="Percent 2 2 4 5 3" xfId="7839"/>
    <cellStyle name="Percent 2 2 4 5 3 2" xfId="10737"/>
    <cellStyle name="Percent 2 2 4 5 4" xfId="9297"/>
    <cellStyle name="Percent 2 2 4 5 5" xfId="6342"/>
    <cellStyle name="Percent 2 2 4 6" xfId="5525"/>
    <cellStyle name="Percent 2 2 4 6 2" xfId="8961"/>
    <cellStyle name="Percent 2 2 4 6 2 2" xfId="11858"/>
    <cellStyle name="Percent 2 2 4 6 3" xfId="10418"/>
    <cellStyle name="Percent 2 2 4 6 4" xfId="7487"/>
    <cellStyle name="Percent 2 2 4 7" xfId="7546"/>
    <cellStyle name="Percent 2 2 4 7 2" xfId="9018"/>
    <cellStyle name="Percent 2 2 4 7 2 2" xfId="11915"/>
    <cellStyle name="Percent 2 2 4 7 3" xfId="10475"/>
    <cellStyle name="Percent 2 2 4 8" xfId="6822"/>
    <cellStyle name="Percent 2 2 4 8 2" xfId="8302"/>
    <cellStyle name="Percent 2 2 4 8 2 2" xfId="11199"/>
    <cellStyle name="Percent 2 2 4 8 3" xfId="9759"/>
    <cellStyle name="Percent 2 2 4 9" xfId="7641"/>
    <cellStyle name="Percent 2 2 4 9 2" xfId="10541"/>
    <cellStyle name="Percent 2 2 5" xfId="1329"/>
    <cellStyle name="Percent 2 2 5 2" xfId="1330"/>
    <cellStyle name="Percent 2 2 5 2 2" xfId="1331"/>
    <cellStyle name="Percent 2 2 5 2 2 2" xfId="7396"/>
    <cellStyle name="Percent 2 2 5 2 2 2 2" xfId="8873"/>
    <cellStyle name="Percent 2 2 5 2 2 2 2 2" xfId="11770"/>
    <cellStyle name="Percent 2 2 5 2 2 2 3" xfId="10330"/>
    <cellStyle name="Percent 2 2 5 2 2 3" xfId="8215"/>
    <cellStyle name="Percent 2 2 5 2 2 3 2" xfId="11112"/>
    <cellStyle name="Percent 2 2 5 2 2 4" xfId="9672"/>
    <cellStyle name="Percent 2 2 5 2 2 5" xfId="6720"/>
    <cellStyle name="Percent 2 2 5 2 3" xfId="7163"/>
    <cellStyle name="Percent 2 2 5 2 3 2" xfId="8640"/>
    <cellStyle name="Percent 2 2 5 2 3 2 2" xfId="11537"/>
    <cellStyle name="Percent 2 2 5 2 3 3" xfId="10097"/>
    <cellStyle name="Percent 2 2 5 2 4" xfId="7982"/>
    <cellStyle name="Percent 2 2 5 2 4 2" xfId="10879"/>
    <cellStyle name="Percent 2 2 5 2 5" xfId="9439"/>
    <cellStyle name="Percent 2 2 5 2 6" xfId="6487"/>
    <cellStyle name="Percent 2 2 5 3" xfId="1332"/>
    <cellStyle name="Percent 2 2 5 3 2" xfId="7280"/>
    <cellStyle name="Percent 2 2 5 3 2 2" xfId="8757"/>
    <cellStyle name="Percent 2 2 5 3 2 2 2" xfId="11654"/>
    <cellStyle name="Percent 2 2 5 3 2 3" xfId="10214"/>
    <cellStyle name="Percent 2 2 5 3 3" xfId="8099"/>
    <cellStyle name="Percent 2 2 5 3 3 2" xfId="10996"/>
    <cellStyle name="Percent 2 2 5 3 4" xfId="9556"/>
    <cellStyle name="Percent 2 2 5 3 5" xfId="6604"/>
    <cellStyle name="Percent 2 2 5 4" xfId="1333"/>
    <cellStyle name="Percent 2 2 5 4 2" xfId="7047"/>
    <cellStyle name="Percent 2 2 5 4 2 2" xfId="8524"/>
    <cellStyle name="Percent 2 2 5 4 2 2 2" xfId="11421"/>
    <cellStyle name="Percent 2 2 5 4 2 3" xfId="9981"/>
    <cellStyle name="Percent 2 2 5 4 3" xfId="7865"/>
    <cellStyle name="Percent 2 2 5 4 3 2" xfId="10763"/>
    <cellStyle name="Percent 2 2 5 4 4" xfId="9323"/>
    <cellStyle name="Percent 2 2 5 4 5" xfId="6368"/>
    <cellStyle name="Percent 2 2 5 5" xfId="5533"/>
    <cellStyle name="Percent 2 2 5 5 2" xfId="8353"/>
    <cellStyle name="Percent 2 2 5 5 2 2" xfId="11250"/>
    <cellStyle name="Percent 2 2 5 5 3" xfId="9810"/>
    <cellStyle name="Percent 2 2 5 5 4" xfId="6875"/>
    <cellStyle name="Percent 2 2 5 6" xfId="7692"/>
    <cellStyle name="Percent 2 2 5 6 2" xfId="10592"/>
    <cellStyle name="Percent 2 2 5 7" xfId="9152"/>
    <cellStyle name="Percent 2 2 5 8" xfId="6170"/>
    <cellStyle name="Percent 2 2 6" xfId="1334"/>
    <cellStyle name="Percent 2 2 6 2" xfId="1335"/>
    <cellStyle name="Percent 2 2 6 2 2" xfId="7344"/>
    <cellStyle name="Percent 2 2 6 2 2 2" xfId="8821"/>
    <cellStyle name="Percent 2 2 6 2 2 2 2" xfId="11718"/>
    <cellStyle name="Percent 2 2 6 2 2 3" xfId="10278"/>
    <cellStyle name="Percent 2 2 6 2 3" xfId="8163"/>
    <cellStyle name="Percent 2 2 6 2 3 2" xfId="11060"/>
    <cellStyle name="Percent 2 2 6 2 4" xfId="9620"/>
    <cellStyle name="Percent 2 2 6 2 5" xfId="6668"/>
    <cellStyle name="Percent 2 2 6 3" xfId="1336"/>
    <cellStyle name="Percent 2 2 6 3 2" xfId="7111"/>
    <cellStyle name="Percent 2 2 6 3 2 2" xfId="8588"/>
    <cellStyle name="Percent 2 2 6 3 2 2 2" xfId="11485"/>
    <cellStyle name="Percent 2 2 6 3 2 3" xfId="10045"/>
    <cellStyle name="Percent 2 2 6 3 3" xfId="7930"/>
    <cellStyle name="Percent 2 2 6 3 3 2" xfId="10827"/>
    <cellStyle name="Percent 2 2 6 3 4" xfId="9387"/>
    <cellStyle name="Percent 2 2 6 3 5" xfId="6435"/>
    <cellStyle name="Percent 2 2 6 4" xfId="5534"/>
    <cellStyle name="Percent 2 2 6 4 2" xfId="8409"/>
    <cellStyle name="Percent 2 2 6 4 2 2" xfId="11306"/>
    <cellStyle name="Percent 2 2 6 4 3" xfId="9866"/>
    <cellStyle name="Percent 2 2 6 4 4" xfId="6932"/>
    <cellStyle name="Percent 2 2 6 5" xfId="7749"/>
    <cellStyle name="Percent 2 2 6 5 2" xfId="10648"/>
    <cellStyle name="Percent 2 2 6 6" xfId="9208"/>
    <cellStyle name="Percent 2 2 6 7" xfId="6233"/>
    <cellStyle name="Percent 2 2 7" xfId="1337"/>
    <cellStyle name="Percent 2 2 7 2" xfId="7228"/>
    <cellStyle name="Percent 2 2 7 2 2" xfId="8705"/>
    <cellStyle name="Percent 2 2 7 2 2 2" xfId="11602"/>
    <cellStyle name="Percent 2 2 7 2 3" xfId="10162"/>
    <cellStyle name="Percent 2 2 7 3" xfId="8047"/>
    <cellStyle name="Percent 2 2 7 3 2" xfId="10944"/>
    <cellStyle name="Percent 2 2 7 4" xfId="9504"/>
    <cellStyle name="Percent 2 2 7 5" xfId="6552"/>
    <cellStyle name="Percent 2 2 8" xfId="1338"/>
    <cellStyle name="Percent 2 2 8 2" xfId="6995"/>
    <cellStyle name="Percent 2 2 8 2 2" xfId="8472"/>
    <cellStyle name="Percent 2 2 8 2 2 2" xfId="11369"/>
    <cellStyle name="Percent 2 2 8 2 3" xfId="9929"/>
    <cellStyle name="Percent 2 2 8 3" xfId="7813"/>
    <cellStyle name="Percent 2 2 8 3 2" xfId="10711"/>
    <cellStyle name="Percent 2 2 8 4" xfId="9271"/>
    <cellStyle name="Percent 2 2 8 5" xfId="6316"/>
    <cellStyle name="Percent 2 2 9" xfId="5522"/>
    <cellStyle name="Percent 2 2 9 2" xfId="8935"/>
    <cellStyle name="Percent 2 2 9 2 2" xfId="11832"/>
    <cellStyle name="Percent 2 2 9 3" xfId="10392"/>
    <cellStyle name="Percent 2 2 9 4" xfId="7461"/>
    <cellStyle name="Percent 2 20" xfId="6051"/>
    <cellStyle name="Percent 2 3" xfId="1339"/>
    <cellStyle name="Percent 2 3 10" xfId="7521"/>
    <cellStyle name="Percent 2 3 10 2" xfId="8993"/>
    <cellStyle name="Percent 2 3 10 2 2" xfId="11890"/>
    <cellStyle name="Percent 2 3 10 3" xfId="10450"/>
    <cellStyle name="Percent 2 3 11" xfId="6792"/>
    <cellStyle name="Percent 2 3 11 2" xfId="8273"/>
    <cellStyle name="Percent 2 3 11 2 2" xfId="11170"/>
    <cellStyle name="Percent 2 3 11 3" xfId="9730"/>
    <cellStyle name="Percent 2 3 12" xfId="7612"/>
    <cellStyle name="Percent 2 3 12 2" xfId="10512"/>
    <cellStyle name="Percent 2 3 13" xfId="9072"/>
    <cellStyle name="Percent 2 3 14" xfId="6077"/>
    <cellStyle name="Percent 2 3 2" xfId="1340"/>
    <cellStyle name="Percent 2 3 2 10" xfId="7620"/>
    <cellStyle name="Percent 2 3 2 10 2" xfId="10520"/>
    <cellStyle name="Percent 2 3 2 11" xfId="9080"/>
    <cellStyle name="Percent 2 3 2 12" xfId="6085"/>
    <cellStyle name="Percent 2 3 2 2" xfId="1341"/>
    <cellStyle name="Percent 2 3 2 2 10" xfId="9110"/>
    <cellStyle name="Percent 2 3 2 2 11" xfId="6122"/>
    <cellStyle name="Percent 2 3 2 2 2" xfId="1342"/>
    <cellStyle name="Percent 2 3 2 2 2 2" xfId="1343"/>
    <cellStyle name="Percent 2 3 2 2 2 2 2" xfId="1344"/>
    <cellStyle name="Percent 2 3 2 2 2 2 2 2" xfId="7435"/>
    <cellStyle name="Percent 2 3 2 2 2 2 2 2 2" xfId="8912"/>
    <cellStyle name="Percent 2 3 2 2 2 2 2 2 2 2" xfId="11809"/>
    <cellStyle name="Percent 2 3 2 2 2 2 2 2 3" xfId="10369"/>
    <cellStyle name="Percent 2 3 2 2 2 2 2 3" xfId="8254"/>
    <cellStyle name="Percent 2 3 2 2 2 2 2 3 2" xfId="11151"/>
    <cellStyle name="Percent 2 3 2 2 2 2 2 4" xfId="9711"/>
    <cellStyle name="Percent 2 3 2 2 2 2 2 5" xfId="6759"/>
    <cellStyle name="Percent 2 3 2 2 2 2 3" xfId="7202"/>
    <cellStyle name="Percent 2 3 2 2 2 2 3 2" xfId="8679"/>
    <cellStyle name="Percent 2 3 2 2 2 2 3 2 2" xfId="11576"/>
    <cellStyle name="Percent 2 3 2 2 2 2 3 3" xfId="10136"/>
    <cellStyle name="Percent 2 3 2 2 2 2 4" xfId="8021"/>
    <cellStyle name="Percent 2 3 2 2 2 2 4 2" xfId="10918"/>
    <cellStyle name="Percent 2 3 2 2 2 2 5" xfId="9478"/>
    <cellStyle name="Percent 2 3 2 2 2 2 6" xfId="6526"/>
    <cellStyle name="Percent 2 3 2 2 2 3" xfId="1345"/>
    <cellStyle name="Percent 2 3 2 2 2 3 2" xfId="7319"/>
    <cellStyle name="Percent 2 3 2 2 2 3 2 2" xfId="8796"/>
    <cellStyle name="Percent 2 3 2 2 2 3 2 2 2" xfId="11693"/>
    <cellStyle name="Percent 2 3 2 2 2 3 2 3" xfId="10253"/>
    <cellStyle name="Percent 2 3 2 2 2 3 3" xfId="8138"/>
    <cellStyle name="Percent 2 3 2 2 2 3 3 2" xfId="11035"/>
    <cellStyle name="Percent 2 3 2 2 2 3 4" xfId="9595"/>
    <cellStyle name="Percent 2 3 2 2 2 3 5" xfId="6643"/>
    <cellStyle name="Percent 2 3 2 2 2 4" xfId="1346"/>
    <cellStyle name="Percent 2 3 2 2 2 4 2" xfId="7086"/>
    <cellStyle name="Percent 2 3 2 2 2 4 2 2" xfId="8563"/>
    <cellStyle name="Percent 2 3 2 2 2 4 2 2 2" xfId="11460"/>
    <cellStyle name="Percent 2 3 2 2 2 4 2 3" xfId="10020"/>
    <cellStyle name="Percent 2 3 2 2 2 4 3" xfId="7904"/>
    <cellStyle name="Percent 2 3 2 2 2 4 3 2" xfId="10802"/>
    <cellStyle name="Percent 2 3 2 2 2 4 4" xfId="9362"/>
    <cellStyle name="Percent 2 3 2 2 2 4 5" xfId="6407"/>
    <cellStyle name="Percent 2 3 2 2 2 5" xfId="6914"/>
    <cellStyle name="Percent 2 3 2 2 2 5 2" xfId="8392"/>
    <cellStyle name="Percent 2 3 2 2 2 5 2 2" xfId="11289"/>
    <cellStyle name="Percent 2 3 2 2 2 5 3" xfId="9849"/>
    <cellStyle name="Percent 2 3 2 2 2 6" xfId="7731"/>
    <cellStyle name="Percent 2 3 2 2 2 6 2" xfId="10631"/>
    <cellStyle name="Percent 2 3 2 2 2 7" xfId="9191"/>
    <cellStyle name="Percent 2 3 2 2 2 8" xfId="6210"/>
    <cellStyle name="Percent 2 3 2 2 3" xfId="1347"/>
    <cellStyle name="Percent 2 3 2 2 3 2" xfId="1348"/>
    <cellStyle name="Percent 2 3 2 2 3 2 2" xfId="7379"/>
    <cellStyle name="Percent 2 3 2 2 3 2 2 2" xfId="8856"/>
    <cellStyle name="Percent 2 3 2 2 3 2 2 2 2" xfId="11753"/>
    <cellStyle name="Percent 2 3 2 2 3 2 2 3" xfId="10313"/>
    <cellStyle name="Percent 2 3 2 2 3 2 3" xfId="8198"/>
    <cellStyle name="Percent 2 3 2 2 3 2 3 2" xfId="11095"/>
    <cellStyle name="Percent 2 3 2 2 3 2 4" xfId="9655"/>
    <cellStyle name="Percent 2 3 2 2 3 2 5" xfId="6703"/>
    <cellStyle name="Percent 2 3 2 2 3 3" xfId="1349"/>
    <cellStyle name="Percent 2 3 2 2 3 3 2" xfId="7146"/>
    <cellStyle name="Percent 2 3 2 2 3 3 2 2" xfId="8623"/>
    <cellStyle name="Percent 2 3 2 2 3 3 2 2 2" xfId="11520"/>
    <cellStyle name="Percent 2 3 2 2 3 3 2 3" xfId="10080"/>
    <cellStyle name="Percent 2 3 2 2 3 3 3" xfId="7965"/>
    <cellStyle name="Percent 2 3 2 2 3 3 3 2" xfId="10862"/>
    <cellStyle name="Percent 2 3 2 2 3 3 4" xfId="9422"/>
    <cellStyle name="Percent 2 3 2 2 3 3 5" xfId="6470"/>
    <cellStyle name="Percent 2 3 2 2 3 4" xfId="6971"/>
    <cellStyle name="Percent 2 3 2 2 3 4 2" xfId="8448"/>
    <cellStyle name="Percent 2 3 2 2 3 4 2 2" xfId="11345"/>
    <cellStyle name="Percent 2 3 2 2 3 4 3" xfId="9905"/>
    <cellStyle name="Percent 2 3 2 2 3 5" xfId="7788"/>
    <cellStyle name="Percent 2 3 2 2 3 5 2" xfId="10687"/>
    <cellStyle name="Percent 2 3 2 2 3 6" xfId="9247"/>
    <cellStyle name="Percent 2 3 2 2 3 7" xfId="6272"/>
    <cellStyle name="Percent 2 3 2 2 4" xfId="1350"/>
    <cellStyle name="Percent 2 3 2 2 4 2" xfId="7263"/>
    <cellStyle name="Percent 2 3 2 2 4 2 2" xfId="8740"/>
    <cellStyle name="Percent 2 3 2 2 4 2 2 2" xfId="11637"/>
    <cellStyle name="Percent 2 3 2 2 4 2 3" xfId="10197"/>
    <cellStyle name="Percent 2 3 2 2 4 3" xfId="8082"/>
    <cellStyle name="Percent 2 3 2 2 4 3 2" xfId="10979"/>
    <cellStyle name="Percent 2 3 2 2 4 4" xfId="9539"/>
    <cellStyle name="Percent 2 3 2 2 4 5" xfId="6587"/>
    <cellStyle name="Percent 2 3 2 2 5" xfId="1351"/>
    <cellStyle name="Percent 2 3 2 2 5 2" xfId="7030"/>
    <cellStyle name="Percent 2 3 2 2 5 2 2" xfId="8507"/>
    <cellStyle name="Percent 2 3 2 2 5 2 2 2" xfId="11404"/>
    <cellStyle name="Percent 2 3 2 2 5 2 3" xfId="9964"/>
    <cellStyle name="Percent 2 3 2 2 5 3" xfId="7848"/>
    <cellStyle name="Percent 2 3 2 2 5 3 2" xfId="10746"/>
    <cellStyle name="Percent 2 3 2 2 5 4" xfId="9306"/>
    <cellStyle name="Percent 2 3 2 2 5 5" xfId="6351"/>
    <cellStyle name="Percent 2 3 2 2 6" xfId="7496"/>
    <cellStyle name="Percent 2 3 2 2 6 2" xfId="8970"/>
    <cellStyle name="Percent 2 3 2 2 6 2 2" xfId="11867"/>
    <cellStyle name="Percent 2 3 2 2 6 3" xfId="10427"/>
    <cellStyle name="Percent 2 3 2 2 7" xfId="7555"/>
    <cellStyle name="Percent 2 3 2 2 7 2" xfId="9027"/>
    <cellStyle name="Percent 2 3 2 2 7 2 2" xfId="11924"/>
    <cellStyle name="Percent 2 3 2 2 7 3" xfId="10484"/>
    <cellStyle name="Percent 2 3 2 2 8" xfId="6831"/>
    <cellStyle name="Percent 2 3 2 2 8 2" xfId="8311"/>
    <cellStyle name="Percent 2 3 2 2 8 2 2" xfId="11208"/>
    <cellStyle name="Percent 2 3 2 2 8 3" xfId="9768"/>
    <cellStyle name="Percent 2 3 2 2 9" xfId="7650"/>
    <cellStyle name="Percent 2 3 2 2 9 2" xfId="10550"/>
    <cellStyle name="Percent 2 3 2 3" xfId="1352"/>
    <cellStyle name="Percent 2 3 2 3 2" xfId="1353"/>
    <cellStyle name="Percent 2 3 2 3 2 2" xfId="1354"/>
    <cellStyle name="Percent 2 3 2 3 2 2 2" xfId="7405"/>
    <cellStyle name="Percent 2 3 2 3 2 2 2 2" xfId="8882"/>
    <cellStyle name="Percent 2 3 2 3 2 2 2 2 2" xfId="11779"/>
    <cellStyle name="Percent 2 3 2 3 2 2 2 3" xfId="10339"/>
    <cellStyle name="Percent 2 3 2 3 2 2 3" xfId="8224"/>
    <cellStyle name="Percent 2 3 2 3 2 2 3 2" xfId="11121"/>
    <cellStyle name="Percent 2 3 2 3 2 2 4" xfId="9681"/>
    <cellStyle name="Percent 2 3 2 3 2 2 5" xfId="6729"/>
    <cellStyle name="Percent 2 3 2 3 2 3" xfId="7172"/>
    <cellStyle name="Percent 2 3 2 3 2 3 2" xfId="8649"/>
    <cellStyle name="Percent 2 3 2 3 2 3 2 2" xfId="11546"/>
    <cellStyle name="Percent 2 3 2 3 2 3 3" xfId="10106"/>
    <cellStyle name="Percent 2 3 2 3 2 4" xfId="7991"/>
    <cellStyle name="Percent 2 3 2 3 2 4 2" xfId="10888"/>
    <cellStyle name="Percent 2 3 2 3 2 5" xfId="9448"/>
    <cellStyle name="Percent 2 3 2 3 2 6" xfId="6496"/>
    <cellStyle name="Percent 2 3 2 3 3" xfId="1355"/>
    <cellStyle name="Percent 2 3 2 3 3 2" xfId="7289"/>
    <cellStyle name="Percent 2 3 2 3 3 2 2" xfId="8766"/>
    <cellStyle name="Percent 2 3 2 3 3 2 2 2" xfId="11663"/>
    <cellStyle name="Percent 2 3 2 3 3 2 3" xfId="10223"/>
    <cellStyle name="Percent 2 3 2 3 3 3" xfId="8108"/>
    <cellStyle name="Percent 2 3 2 3 3 3 2" xfId="11005"/>
    <cellStyle name="Percent 2 3 2 3 3 4" xfId="9565"/>
    <cellStyle name="Percent 2 3 2 3 3 5" xfId="6613"/>
    <cellStyle name="Percent 2 3 2 3 4" xfId="1356"/>
    <cellStyle name="Percent 2 3 2 3 4 2" xfId="7056"/>
    <cellStyle name="Percent 2 3 2 3 4 2 2" xfId="8533"/>
    <cellStyle name="Percent 2 3 2 3 4 2 2 2" xfId="11430"/>
    <cellStyle name="Percent 2 3 2 3 4 2 3" xfId="9990"/>
    <cellStyle name="Percent 2 3 2 3 4 3" xfId="7874"/>
    <cellStyle name="Percent 2 3 2 3 4 3 2" xfId="10772"/>
    <cellStyle name="Percent 2 3 2 3 4 4" xfId="9332"/>
    <cellStyle name="Percent 2 3 2 3 4 5" xfId="6377"/>
    <cellStyle name="Percent 2 3 2 3 5" xfId="6884"/>
    <cellStyle name="Percent 2 3 2 3 5 2" xfId="8362"/>
    <cellStyle name="Percent 2 3 2 3 5 2 2" xfId="11259"/>
    <cellStyle name="Percent 2 3 2 3 5 3" xfId="9819"/>
    <cellStyle name="Percent 2 3 2 3 6" xfId="7701"/>
    <cellStyle name="Percent 2 3 2 3 6 2" xfId="10601"/>
    <cellStyle name="Percent 2 3 2 3 7" xfId="9161"/>
    <cellStyle name="Percent 2 3 2 3 8" xfId="6179"/>
    <cellStyle name="Percent 2 3 2 4" xfId="1357"/>
    <cellStyle name="Percent 2 3 2 4 2" xfId="1358"/>
    <cellStyle name="Percent 2 3 2 4 2 2" xfId="7353"/>
    <cellStyle name="Percent 2 3 2 4 2 2 2" xfId="8830"/>
    <cellStyle name="Percent 2 3 2 4 2 2 2 2" xfId="11727"/>
    <cellStyle name="Percent 2 3 2 4 2 2 3" xfId="10287"/>
    <cellStyle name="Percent 2 3 2 4 2 3" xfId="8172"/>
    <cellStyle name="Percent 2 3 2 4 2 3 2" xfId="11069"/>
    <cellStyle name="Percent 2 3 2 4 2 4" xfId="9629"/>
    <cellStyle name="Percent 2 3 2 4 2 5" xfId="6677"/>
    <cellStyle name="Percent 2 3 2 4 3" xfId="1359"/>
    <cellStyle name="Percent 2 3 2 4 3 2" xfId="7120"/>
    <cellStyle name="Percent 2 3 2 4 3 2 2" xfId="8597"/>
    <cellStyle name="Percent 2 3 2 4 3 2 2 2" xfId="11494"/>
    <cellStyle name="Percent 2 3 2 4 3 2 3" xfId="10054"/>
    <cellStyle name="Percent 2 3 2 4 3 3" xfId="7939"/>
    <cellStyle name="Percent 2 3 2 4 3 3 2" xfId="10836"/>
    <cellStyle name="Percent 2 3 2 4 3 4" xfId="9396"/>
    <cellStyle name="Percent 2 3 2 4 3 5" xfId="6444"/>
    <cellStyle name="Percent 2 3 2 4 4" xfId="6941"/>
    <cellStyle name="Percent 2 3 2 4 4 2" xfId="8418"/>
    <cellStyle name="Percent 2 3 2 4 4 2 2" xfId="11315"/>
    <cellStyle name="Percent 2 3 2 4 4 3" xfId="9875"/>
    <cellStyle name="Percent 2 3 2 4 5" xfId="7758"/>
    <cellStyle name="Percent 2 3 2 4 5 2" xfId="10657"/>
    <cellStyle name="Percent 2 3 2 4 6" xfId="9217"/>
    <cellStyle name="Percent 2 3 2 4 7" xfId="6242"/>
    <cellStyle name="Percent 2 3 2 5" xfId="1360"/>
    <cellStyle name="Percent 2 3 2 5 2" xfId="7237"/>
    <cellStyle name="Percent 2 3 2 5 2 2" xfId="8714"/>
    <cellStyle name="Percent 2 3 2 5 2 2 2" xfId="11611"/>
    <cellStyle name="Percent 2 3 2 5 2 3" xfId="10171"/>
    <cellStyle name="Percent 2 3 2 5 3" xfId="8056"/>
    <cellStyle name="Percent 2 3 2 5 3 2" xfId="10953"/>
    <cellStyle name="Percent 2 3 2 5 4" xfId="9513"/>
    <cellStyle name="Percent 2 3 2 5 5" xfId="6561"/>
    <cellStyle name="Percent 2 3 2 6" xfId="1361"/>
    <cellStyle name="Percent 2 3 2 6 2" xfId="7004"/>
    <cellStyle name="Percent 2 3 2 6 2 2" xfId="8481"/>
    <cellStyle name="Percent 2 3 2 6 2 2 2" xfId="11378"/>
    <cellStyle name="Percent 2 3 2 6 2 3" xfId="9938"/>
    <cellStyle name="Percent 2 3 2 6 3" xfId="7822"/>
    <cellStyle name="Percent 2 3 2 6 3 2" xfId="10720"/>
    <cellStyle name="Percent 2 3 2 6 4" xfId="9280"/>
    <cellStyle name="Percent 2 3 2 6 5" xfId="6325"/>
    <cellStyle name="Percent 2 3 2 7" xfId="7470"/>
    <cellStyle name="Percent 2 3 2 7 2" xfId="8944"/>
    <cellStyle name="Percent 2 3 2 7 2 2" xfId="11841"/>
    <cellStyle name="Percent 2 3 2 7 3" xfId="10401"/>
    <cellStyle name="Percent 2 3 2 8" xfId="7529"/>
    <cellStyle name="Percent 2 3 2 8 2" xfId="9001"/>
    <cellStyle name="Percent 2 3 2 8 2 2" xfId="11898"/>
    <cellStyle name="Percent 2 3 2 8 3" xfId="10458"/>
    <cellStyle name="Percent 2 3 2 9" xfId="6800"/>
    <cellStyle name="Percent 2 3 2 9 2" xfId="8281"/>
    <cellStyle name="Percent 2 3 2 9 2 2" xfId="11178"/>
    <cellStyle name="Percent 2 3 2 9 3" xfId="9738"/>
    <cellStyle name="Percent 2 3 3" xfId="1362"/>
    <cellStyle name="Percent 2 3 3 10" xfId="7628"/>
    <cellStyle name="Percent 2 3 3 10 2" xfId="10528"/>
    <cellStyle name="Percent 2 3 3 11" xfId="9088"/>
    <cellStyle name="Percent 2 3 3 12" xfId="6093"/>
    <cellStyle name="Percent 2 3 3 2" xfId="1363"/>
    <cellStyle name="Percent 2 3 3 2 10" xfId="9118"/>
    <cellStyle name="Percent 2 3 3 2 11" xfId="6130"/>
    <cellStyle name="Percent 2 3 3 2 2" xfId="1364"/>
    <cellStyle name="Percent 2 3 3 2 2 2" xfId="1365"/>
    <cellStyle name="Percent 2 3 3 2 2 2 2" xfId="1366"/>
    <cellStyle name="Percent 2 3 3 2 2 2 2 2" xfId="7443"/>
    <cellStyle name="Percent 2 3 3 2 2 2 2 2 2" xfId="8920"/>
    <cellStyle name="Percent 2 3 3 2 2 2 2 2 2 2" xfId="11817"/>
    <cellStyle name="Percent 2 3 3 2 2 2 2 2 3" xfId="10377"/>
    <cellStyle name="Percent 2 3 3 2 2 2 2 3" xfId="8262"/>
    <cellStyle name="Percent 2 3 3 2 2 2 2 3 2" xfId="11159"/>
    <cellStyle name="Percent 2 3 3 2 2 2 2 4" xfId="9719"/>
    <cellStyle name="Percent 2 3 3 2 2 2 2 5" xfId="6767"/>
    <cellStyle name="Percent 2 3 3 2 2 2 3" xfId="7210"/>
    <cellStyle name="Percent 2 3 3 2 2 2 3 2" xfId="8687"/>
    <cellStyle name="Percent 2 3 3 2 2 2 3 2 2" xfId="11584"/>
    <cellStyle name="Percent 2 3 3 2 2 2 3 3" xfId="10144"/>
    <cellStyle name="Percent 2 3 3 2 2 2 4" xfId="8029"/>
    <cellStyle name="Percent 2 3 3 2 2 2 4 2" xfId="10926"/>
    <cellStyle name="Percent 2 3 3 2 2 2 5" xfId="9486"/>
    <cellStyle name="Percent 2 3 3 2 2 2 6" xfId="6534"/>
    <cellStyle name="Percent 2 3 3 2 2 3" xfId="1367"/>
    <cellStyle name="Percent 2 3 3 2 2 3 2" xfId="7327"/>
    <cellStyle name="Percent 2 3 3 2 2 3 2 2" xfId="8804"/>
    <cellStyle name="Percent 2 3 3 2 2 3 2 2 2" xfId="11701"/>
    <cellStyle name="Percent 2 3 3 2 2 3 2 3" xfId="10261"/>
    <cellStyle name="Percent 2 3 3 2 2 3 3" xfId="8146"/>
    <cellStyle name="Percent 2 3 3 2 2 3 3 2" xfId="11043"/>
    <cellStyle name="Percent 2 3 3 2 2 3 4" xfId="9603"/>
    <cellStyle name="Percent 2 3 3 2 2 3 5" xfId="6651"/>
    <cellStyle name="Percent 2 3 3 2 2 4" xfId="1368"/>
    <cellStyle name="Percent 2 3 3 2 2 4 2" xfId="7094"/>
    <cellStyle name="Percent 2 3 3 2 2 4 2 2" xfId="8571"/>
    <cellStyle name="Percent 2 3 3 2 2 4 2 2 2" xfId="11468"/>
    <cellStyle name="Percent 2 3 3 2 2 4 2 3" xfId="10028"/>
    <cellStyle name="Percent 2 3 3 2 2 4 3" xfId="7912"/>
    <cellStyle name="Percent 2 3 3 2 2 4 3 2" xfId="10810"/>
    <cellStyle name="Percent 2 3 3 2 2 4 4" xfId="9370"/>
    <cellStyle name="Percent 2 3 3 2 2 4 5" xfId="6415"/>
    <cellStyle name="Percent 2 3 3 2 2 5" xfId="6922"/>
    <cellStyle name="Percent 2 3 3 2 2 5 2" xfId="8400"/>
    <cellStyle name="Percent 2 3 3 2 2 5 2 2" xfId="11297"/>
    <cellStyle name="Percent 2 3 3 2 2 5 3" xfId="9857"/>
    <cellStyle name="Percent 2 3 3 2 2 6" xfId="7739"/>
    <cellStyle name="Percent 2 3 3 2 2 6 2" xfId="10639"/>
    <cellStyle name="Percent 2 3 3 2 2 7" xfId="9199"/>
    <cellStyle name="Percent 2 3 3 2 2 8" xfId="6218"/>
    <cellStyle name="Percent 2 3 3 2 3" xfId="1369"/>
    <cellStyle name="Percent 2 3 3 2 3 2" xfId="1370"/>
    <cellStyle name="Percent 2 3 3 2 3 2 2" xfId="7387"/>
    <cellStyle name="Percent 2 3 3 2 3 2 2 2" xfId="8864"/>
    <cellStyle name="Percent 2 3 3 2 3 2 2 2 2" xfId="11761"/>
    <cellStyle name="Percent 2 3 3 2 3 2 2 3" xfId="10321"/>
    <cellStyle name="Percent 2 3 3 2 3 2 3" xfId="8206"/>
    <cellStyle name="Percent 2 3 3 2 3 2 3 2" xfId="11103"/>
    <cellStyle name="Percent 2 3 3 2 3 2 4" xfId="9663"/>
    <cellStyle name="Percent 2 3 3 2 3 2 5" xfId="6711"/>
    <cellStyle name="Percent 2 3 3 2 3 3" xfId="1371"/>
    <cellStyle name="Percent 2 3 3 2 3 3 2" xfId="7154"/>
    <cellStyle name="Percent 2 3 3 2 3 3 2 2" xfId="8631"/>
    <cellStyle name="Percent 2 3 3 2 3 3 2 2 2" xfId="11528"/>
    <cellStyle name="Percent 2 3 3 2 3 3 2 3" xfId="10088"/>
    <cellStyle name="Percent 2 3 3 2 3 3 3" xfId="7973"/>
    <cellStyle name="Percent 2 3 3 2 3 3 3 2" xfId="10870"/>
    <cellStyle name="Percent 2 3 3 2 3 3 4" xfId="9430"/>
    <cellStyle name="Percent 2 3 3 2 3 3 5" xfId="6478"/>
    <cellStyle name="Percent 2 3 3 2 3 4" xfId="6979"/>
    <cellStyle name="Percent 2 3 3 2 3 4 2" xfId="8456"/>
    <cellStyle name="Percent 2 3 3 2 3 4 2 2" xfId="11353"/>
    <cellStyle name="Percent 2 3 3 2 3 4 3" xfId="9913"/>
    <cellStyle name="Percent 2 3 3 2 3 5" xfId="7796"/>
    <cellStyle name="Percent 2 3 3 2 3 5 2" xfId="10695"/>
    <cellStyle name="Percent 2 3 3 2 3 6" xfId="9255"/>
    <cellStyle name="Percent 2 3 3 2 3 7" xfId="6280"/>
    <cellStyle name="Percent 2 3 3 2 4" xfId="1372"/>
    <cellStyle name="Percent 2 3 3 2 4 2" xfId="7271"/>
    <cellStyle name="Percent 2 3 3 2 4 2 2" xfId="8748"/>
    <cellStyle name="Percent 2 3 3 2 4 2 2 2" xfId="11645"/>
    <cellStyle name="Percent 2 3 3 2 4 2 3" xfId="10205"/>
    <cellStyle name="Percent 2 3 3 2 4 3" xfId="8090"/>
    <cellStyle name="Percent 2 3 3 2 4 3 2" xfId="10987"/>
    <cellStyle name="Percent 2 3 3 2 4 4" xfId="9547"/>
    <cellStyle name="Percent 2 3 3 2 4 5" xfId="6595"/>
    <cellStyle name="Percent 2 3 3 2 5" xfId="1373"/>
    <cellStyle name="Percent 2 3 3 2 5 2" xfId="7038"/>
    <cellStyle name="Percent 2 3 3 2 5 2 2" xfId="8515"/>
    <cellStyle name="Percent 2 3 3 2 5 2 2 2" xfId="11412"/>
    <cellStyle name="Percent 2 3 3 2 5 2 3" xfId="9972"/>
    <cellStyle name="Percent 2 3 3 2 5 3" xfId="7856"/>
    <cellStyle name="Percent 2 3 3 2 5 3 2" xfId="10754"/>
    <cellStyle name="Percent 2 3 3 2 5 4" xfId="9314"/>
    <cellStyle name="Percent 2 3 3 2 5 5" xfId="6359"/>
    <cellStyle name="Percent 2 3 3 2 6" xfId="7504"/>
    <cellStyle name="Percent 2 3 3 2 6 2" xfId="8978"/>
    <cellStyle name="Percent 2 3 3 2 6 2 2" xfId="11875"/>
    <cellStyle name="Percent 2 3 3 2 6 3" xfId="10435"/>
    <cellStyle name="Percent 2 3 3 2 7" xfId="7563"/>
    <cellStyle name="Percent 2 3 3 2 7 2" xfId="9035"/>
    <cellStyle name="Percent 2 3 3 2 7 2 2" xfId="11932"/>
    <cellStyle name="Percent 2 3 3 2 7 3" xfId="10492"/>
    <cellStyle name="Percent 2 3 3 2 8" xfId="6839"/>
    <cellStyle name="Percent 2 3 3 2 8 2" xfId="8319"/>
    <cellStyle name="Percent 2 3 3 2 8 2 2" xfId="11216"/>
    <cellStyle name="Percent 2 3 3 2 8 3" xfId="9776"/>
    <cellStyle name="Percent 2 3 3 2 9" xfId="7658"/>
    <cellStyle name="Percent 2 3 3 2 9 2" xfId="10558"/>
    <cellStyle name="Percent 2 3 3 3" xfId="1374"/>
    <cellStyle name="Percent 2 3 3 3 2" xfId="1375"/>
    <cellStyle name="Percent 2 3 3 3 2 2" xfId="1376"/>
    <cellStyle name="Percent 2 3 3 3 2 2 2" xfId="7413"/>
    <cellStyle name="Percent 2 3 3 3 2 2 2 2" xfId="8890"/>
    <cellStyle name="Percent 2 3 3 3 2 2 2 2 2" xfId="11787"/>
    <cellStyle name="Percent 2 3 3 3 2 2 2 3" xfId="10347"/>
    <cellStyle name="Percent 2 3 3 3 2 2 3" xfId="8232"/>
    <cellStyle name="Percent 2 3 3 3 2 2 3 2" xfId="11129"/>
    <cellStyle name="Percent 2 3 3 3 2 2 4" xfId="9689"/>
    <cellStyle name="Percent 2 3 3 3 2 2 5" xfId="6737"/>
    <cellStyle name="Percent 2 3 3 3 2 3" xfId="7180"/>
    <cellStyle name="Percent 2 3 3 3 2 3 2" xfId="8657"/>
    <cellStyle name="Percent 2 3 3 3 2 3 2 2" xfId="11554"/>
    <cellStyle name="Percent 2 3 3 3 2 3 3" xfId="10114"/>
    <cellStyle name="Percent 2 3 3 3 2 4" xfId="7999"/>
    <cellStyle name="Percent 2 3 3 3 2 4 2" xfId="10896"/>
    <cellStyle name="Percent 2 3 3 3 2 5" xfId="9456"/>
    <cellStyle name="Percent 2 3 3 3 2 6" xfId="6504"/>
    <cellStyle name="Percent 2 3 3 3 3" xfId="1377"/>
    <cellStyle name="Percent 2 3 3 3 3 2" xfId="7297"/>
    <cellStyle name="Percent 2 3 3 3 3 2 2" xfId="8774"/>
    <cellStyle name="Percent 2 3 3 3 3 2 2 2" xfId="11671"/>
    <cellStyle name="Percent 2 3 3 3 3 2 3" xfId="10231"/>
    <cellStyle name="Percent 2 3 3 3 3 3" xfId="8116"/>
    <cellStyle name="Percent 2 3 3 3 3 3 2" xfId="11013"/>
    <cellStyle name="Percent 2 3 3 3 3 4" xfId="9573"/>
    <cellStyle name="Percent 2 3 3 3 3 5" xfId="6621"/>
    <cellStyle name="Percent 2 3 3 3 4" xfId="1378"/>
    <cellStyle name="Percent 2 3 3 3 4 2" xfId="7064"/>
    <cellStyle name="Percent 2 3 3 3 4 2 2" xfId="8541"/>
    <cellStyle name="Percent 2 3 3 3 4 2 2 2" xfId="11438"/>
    <cellStyle name="Percent 2 3 3 3 4 2 3" xfId="9998"/>
    <cellStyle name="Percent 2 3 3 3 4 3" xfId="7882"/>
    <cellStyle name="Percent 2 3 3 3 4 3 2" xfId="10780"/>
    <cellStyle name="Percent 2 3 3 3 4 4" xfId="9340"/>
    <cellStyle name="Percent 2 3 3 3 4 5" xfId="6385"/>
    <cellStyle name="Percent 2 3 3 3 5" xfId="6892"/>
    <cellStyle name="Percent 2 3 3 3 5 2" xfId="8370"/>
    <cellStyle name="Percent 2 3 3 3 5 2 2" xfId="11267"/>
    <cellStyle name="Percent 2 3 3 3 5 3" xfId="9827"/>
    <cellStyle name="Percent 2 3 3 3 6" xfId="7709"/>
    <cellStyle name="Percent 2 3 3 3 6 2" xfId="10609"/>
    <cellStyle name="Percent 2 3 3 3 7" xfId="9169"/>
    <cellStyle name="Percent 2 3 3 3 8" xfId="6187"/>
    <cellStyle name="Percent 2 3 3 4" xfId="1379"/>
    <cellStyle name="Percent 2 3 3 4 2" xfId="1380"/>
    <cellStyle name="Percent 2 3 3 4 2 2" xfId="7361"/>
    <cellStyle name="Percent 2 3 3 4 2 2 2" xfId="8838"/>
    <cellStyle name="Percent 2 3 3 4 2 2 2 2" xfId="11735"/>
    <cellStyle name="Percent 2 3 3 4 2 2 3" xfId="10295"/>
    <cellStyle name="Percent 2 3 3 4 2 3" xfId="8180"/>
    <cellStyle name="Percent 2 3 3 4 2 3 2" xfId="11077"/>
    <cellStyle name="Percent 2 3 3 4 2 4" xfId="9637"/>
    <cellStyle name="Percent 2 3 3 4 2 5" xfId="6685"/>
    <cellStyle name="Percent 2 3 3 4 3" xfId="1381"/>
    <cellStyle name="Percent 2 3 3 4 3 2" xfId="7128"/>
    <cellStyle name="Percent 2 3 3 4 3 2 2" xfId="8605"/>
    <cellStyle name="Percent 2 3 3 4 3 2 2 2" xfId="11502"/>
    <cellStyle name="Percent 2 3 3 4 3 2 3" xfId="10062"/>
    <cellStyle name="Percent 2 3 3 4 3 3" xfId="7947"/>
    <cellStyle name="Percent 2 3 3 4 3 3 2" xfId="10844"/>
    <cellStyle name="Percent 2 3 3 4 3 4" xfId="9404"/>
    <cellStyle name="Percent 2 3 3 4 3 5" xfId="6452"/>
    <cellStyle name="Percent 2 3 3 4 4" xfId="6949"/>
    <cellStyle name="Percent 2 3 3 4 4 2" xfId="8426"/>
    <cellStyle name="Percent 2 3 3 4 4 2 2" xfId="11323"/>
    <cellStyle name="Percent 2 3 3 4 4 3" xfId="9883"/>
    <cellStyle name="Percent 2 3 3 4 5" xfId="7766"/>
    <cellStyle name="Percent 2 3 3 4 5 2" xfId="10665"/>
    <cellStyle name="Percent 2 3 3 4 6" xfId="9225"/>
    <cellStyle name="Percent 2 3 3 4 7" xfId="6250"/>
    <cellStyle name="Percent 2 3 3 5" xfId="1382"/>
    <cellStyle name="Percent 2 3 3 5 2" xfId="7245"/>
    <cellStyle name="Percent 2 3 3 5 2 2" xfId="8722"/>
    <cellStyle name="Percent 2 3 3 5 2 2 2" xfId="11619"/>
    <cellStyle name="Percent 2 3 3 5 2 3" xfId="10179"/>
    <cellStyle name="Percent 2 3 3 5 3" xfId="8064"/>
    <cellStyle name="Percent 2 3 3 5 3 2" xfId="10961"/>
    <cellStyle name="Percent 2 3 3 5 4" xfId="9521"/>
    <cellStyle name="Percent 2 3 3 5 5" xfId="6569"/>
    <cellStyle name="Percent 2 3 3 6" xfId="1383"/>
    <cellStyle name="Percent 2 3 3 6 2" xfId="7012"/>
    <cellStyle name="Percent 2 3 3 6 2 2" xfId="8489"/>
    <cellStyle name="Percent 2 3 3 6 2 2 2" xfId="11386"/>
    <cellStyle name="Percent 2 3 3 6 2 3" xfId="9946"/>
    <cellStyle name="Percent 2 3 3 6 3" xfId="7830"/>
    <cellStyle name="Percent 2 3 3 6 3 2" xfId="10728"/>
    <cellStyle name="Percent 2 3 3 6 4" xfId="9288"/>
    <cellStyle name="Percent 2 3 3 6 5" xfId="6333"/>
    <cellStyle name="Percent 2 3 3 7" xfId="7478"/>
    <cellStyle name="Percent 2 3 3 7 2" xfId="8952"/>
    <cellStyle name="Percent 2 3 3 7 2 2" xfId="11849"/>
    <cellStyle name="Percent 2 3 3 7 3" xfId="10409"/>
    <cellStyle name="Percent 2 3 3 8" xfId="7537"/>
    <cellStyle name="Percent 2 3 3 8 2" xfId="9009"/>
    <cellStyle name="Percent 2 3 3 8 2 2" xfId="11906"/>
    <cellStyle name="Percent 2 3 3 8 3" xfId="10466"/>
    <cellStyle name="Percent 2 3 3 9" xfId="6808"/>
    <cellStyle name="Percent 2 3 3 9 2" xfId="8289"/>
    <cellStyle name="Percent 2 3 3 9 2 2" xfId="11186"/>
    <cellStyle name="Percent 2 3 3 9 3" xfId="9746"/>
    <cellStyle name="Percent 2 3 4" xfId="1384"/>
    <cellStyle name="Percent 2 3 4 10" xfId="9102"/>
    <cellStyle name="Percent 2 3 4 11" xfId="6114"/>
    <cellStyle name="Percent 2 3 4 2" xfId="1385"/>
    <cellStyle name="Percent 2 3 4 2 2" xfId="1386"/>
    <cellStyle name="Percent 2 3 4 2 2 2" xfId="1387"/>
    <cellStyle name="Percent 2 3 4 2 2 2 2" xfId="7427"/>
    <cellStyle name="Percent 2 3 4 2 2 2 2 2" xfId="8904"/>
    <cellStyle name="Percent 2 3 4 2 2 2 2 2 2" xfId="11801"/>
    <cellStyle name="Percent 2 3 4 2 2 2 2 3" xfId="10361"/>
    <cellStyle name="Percent 2 3 4 2 2 2 3" xfId="8246"/>
    <cellStyle name="Percent 2 3 4 2 2 2 3 2" xfId="11143"/>
    <cellStyle name="Percent 2 3 4 2 2 2 4" xfId="9703"/>
    <cellStyle name="Percent 2 3 4 2 2 2 5" xfId="6751"/>
    <cellStyle name="Percent 2 3 4 2 2 3" xfId="7194"/>
    <cellStyle name="Percent 2 3 4 2 2 3 2" xfId="8671"/>
    <cellStyle name="Percent 2 3 4 2 2 3 2 2" xfId="11568"/>
    <cellStyle name="Percent 2 3 4 2 2 3 3" xfId="10128"/>
    <cellStyle name="Percent 2 3 4 2 2 4" xfId="8013"/>
    <cellStyle name="Percent 2 3 4 2 2 4 2" xfId="10910"/>
    <cellStyle name="Percent 2 3 4 2 2 5" xfId="9470"/>
    <cellStyle name="Percent 2 3 4 2 2 6" xfId="6518"/>
    <cellStyle name="Percent 2 3 4 2 3" xfId="1388"/>
    <cellStyle name="Percent 2 3 4 2 3 2" xfId="7311"/>
    <cellStyle name="Percent 2 3 4 2 3 2 2" xfId="8788"/>
    <cellStyle name="Percent 2 3 4 2 3 2 2 2" xfId="11685"/>
    <cellStyle name="Percent 2 3 4 2 3 2 3" xfId="10245"/>
    <cellStyle name="Percent 2 3 4 2 3 3" xfId="8130"/>
    <cellStyle name="Percent 2 3 4 2 3 3 2" xfId="11027"/>
    <cellStyle name="Percent 2 3 4 2 3 4" xfId="9587"/>
    <cellStyle name="Percent 2 3 4 2 3 5" xfId="6635"/>
    <cellStyle name="Percent 2 3 4 2 4" xfId="1389"/>
    <cellStyle name="Percent 2 3 4 2 4 2" xfId="7078"/>
    <cellStyle name="Percent 2 3 4 2 4 2 2" xfId="8555"/>
    <cellStyle name="Percent 2 3 4 2 4 2 2 2" xfId="11452"/>
    <cellStyle name="Percent 2 3 4 2 4 2 3" xfId="10012"/>
    <cellStyle name="Percent 2 3 4 2 4 3" xfId="7896"/>
    <cellStyle name="Percent 2 3 4 2 4 3 2" xfId="10794"/>
    <cellStyle name="Percent 2 3 4 2 4 4" xfId="9354"/>
    <cellStyle name="Percent 2 3 4 2 4 5" xfId="6399"/>
    <cellStyle name="Percent 2 3 4 2 5" xfId="6906"/>
    <cellStyle name="Percent 2 3 4 2 5 2" xfId="8384"/>
    <cellStyle name="Percent 2 3 4 2 5 2 2" xfId="11281"/>
    <cellStyle name="Percent 2 3 4 2 5 3" xfId="9841"/>
    <cellStyle name="Percent 2 3 4 2 6" xfId="7723"/>
    <cellStyle name="Percent 2 3 4 2 6 2" xfId="10623"/>
    <cellStyle name="Percent 2 3 4 2 7" xfId="9183"/>
    <cellStyle name="Percent 2 3 4 2 8" xfId="6202"/>
    <cellStyle name="Percent 2 3 4 3" xfId="1390"/>
    <cellStyle name="Percent 2 3 4 3 2" xfId="1391"/>
    <cellStyle name="Percent 2 3 4 3 2 2" xfId="7371"/>
    <cellStyle name="Percent 2 3 4 3 2 2 2" xfId="8848"/>
    <cellStyle name="Percent 2 3 4 3 2 2 2 2" xfId="11745"/>
    <cellStyle name="Percent 2 3 4 3 2 2 3" xfId="10305"/>
    <cellStyle name="Percent 2 3 4 3 2 3" xfId="8190"/>
    <cellStyle name="Percent 2 3 4 3 2 3 2" xfId="11087"/>
    <cellStyle name="Percent 2 3 4 3 2 4" xfId="9647"/>
    <cellStyle name="Percent 2 3 4 3 2 5" xfId="6695"/>
    <cellStyle name="Percent 2 3 4 3 3" xfId="1392"/>
    <cellStyle name="Percent 2 3 4 3 3 2" xfId="7138"/>
    <cellStyle name="Percent 2 3 4 3 3 2 2" xfId="8615"/>
    <cellStyle name="Percent 2 3 4 3 3 2 2 2" xfId="11512"/>
    <cellStyle name="Percent 2 3 4 3 3 2 3" xfId="10072"/>
    <cellStyle name="Percent 2 3 4 3 3 3" xfId="7957"/>
    <cellStyle name="Percent 2 3 4 3 3 3 2" xfId="10854"/>
    <cellStyle name="Percent 2 3 4 3 3 4" xfId="9414"/>
    <cellStyle name="Percent 2 3 4 3 3 5" xfId="6462"/>
    <cellStyle name="Percent 2 3 4 3 4" xfId="6963"/>
    <cellStyle name="Percent 2 3 4 3 4 2" xfId="8440"/>
    <cellStyle name="Percent 2 3 4 3 4 2 2" xfId="11337"/>
    <cellStyle name="Percent 2 3 4 3 4 3" xfId="9897"/>
    <cellStyle name="Percent 2 3 4 3 5" xfId="7780"/>
    <cellStyle name="Percent 2 3 4 3 5 2" xfId="10679"/>
    <cellStyle name="Percent 2 3 4 3 6" xfId="9239"/>
    <cellStyle name="Percent 2 3 4 3 7" xfId="6264"/>
    <cellStyle name="Percent 2 3 4 4" xfId="1393"/>
    <cellStyle name="Percent 2 3 4 4 2" xfId="7255"/>
    <cellStyle name="Percent 2 3 4 4 2 2" xfId="8732"/>
    <cellStyle name="Percent 2 3 4 4 2 2 2" xfId="11629"/>
    <cellStyle name="Percent 2 3 4 4 2 3" xfId="10189"/>
    <cellStyle name="Percent 2 3 4 4 3" xfId="8074"/>
    <cellStyle name="Percent 2 3 4 4 3 2" xfId="10971"/>
    <cellStyle name="Percent 2 3 4 4 4" xfId="9531"/>
    <cellStyle name="Percent 2 3 4 4 5" xfId="6579"/>
    <cellStyle name="Percent 2 3 4 5" xfId="1394"/>
    <cellStyle name="Percent 2 3 4 5 2" xfId="7022"/>
    <cellStyle name="Percent 2 3 4 5 2 2" xfId="8499"/>
    <cellStyle name="Percent 2 3 4 5 2 2 2" xfId="11396"/>
    <cellStyle name="Percent 2 3 4 5 2 3" xfId="9956"/>
    <cellStyle name="Percent 2 3 4 5 3" xfId="7840"/>
    <cellStyle name="Percent 2 3 4 5 3 2" xfId="10738"/>
    <cellStyle name="Percent 2 3 4 5 4" xfId="9298"/>
    <cellStyle name="Percent 2 3 4 5 5" xfId="6343"/>
    <cellStyle name="Percent 2 3 4 6" xfId="7488"/>
    <cellStyle name="Percent 2 3 4 6 2" xfId="8962"/>
    <cellStyle name="Percent 2 3 4 6 2 2" xfId="11859"/>
    <cellStyle name="Percent 2 3 4 6 3" xfId="10419"/>
    <cellStyle name="Percent 2 3 4 7" xfId="7547"/>
    <cellStyle name="Percent 2 3 4 7 2" xfId="9019"/>
    <cellStyle name="Percent 2 3 4 7 2 2" xfId="11916"/>
    <cellStyle name="Percent 2 3 4 7 3" xfId="10476"/>
    <cellStyle name="Percent 2 3 4 8" xfId="6823"/>
    <cellStyle name="Percent 2 3 4 8 2" xfId="8303"/>
    <cellStyle name="Percent 2 3 4 8 2 2" xfId="11200"/>
    <cellStyle name="Percent 2 3 4 8 3" xfId="9760"/>
    <cellStyle name="Percent 2 3 4 9" xfId="7642"/>
    <cellStyle name="Percent 2 3 4 9 2" xfId="10542"/>
    <cellStyle name="Percent 2 3 5" xfId="1395"/>
    <cellStyle name="Percent 2 3 5 2" xfId="1396"/>
    <cellStyle name="Percent 2 3 5 2 2" xfId="1397"/>
    <cellStyle name="Percent 2 3 5 2 2 2" xfId="7397"/>
    <cellStyle name="Percent 2 3 5 2 2 2 2" xfId="8874"/>
    <cellStyle name="Percent 2 3 5 2 2 2 2 2" xfId="11771"/>
    <cellStyle name="Percent 2 3 5 2 2 2 3" xfId="10331"/>
    <cellStyle name="Percent 2 3 5 2 2 3" xfId="8216"/>
    <cellStyle name="Percent 2 3 5 2 2 3 2" xfId="11113"/>
    <cellStyle name="Percent 2 3 5 2 2 4" xfId="9673"/>
    <cellStyle name="Percent 2 3 5 2 2 5" xfId="6721"/>
    <cellStyle name="Percent 2 3 5 2 3" xfId="7164"/>
    <cellStyle name="Percent 2 3 5 2 3 2" xfId="8641"/>
    <cellStyle name="Percent 2 3 5 2 3 2 2" xfId="11538"/>
    <cellStyle name="Percent 2 3 5 2 3 3" xfId="10098"/>
    <cellStyle name="Percent 2 3 5 2 4" xfId="7983"/>
    <cellStyle name="Percent 2 3 5 2 4 2" xfId="10880"/>
    <cellStyle name="Percent 2 3 5 2 5" xfId="9440"/>
    <cellStyle name="Percent 2 3 5 2 6" xfId="6488"/>
    <cellStyle name="Percent 2 3 5 3" xfId="1398"/>
    <cellStyle name="Percent 2 3 5 3 2" xfId="7281"/>
    <cellStyle name="Percent 2 3 5 3 2 2" xfId="8758"/>
    <cellStyle name="Percent 2 3 5 3 2 2 2" xfId="11655"/>
    <cellStyle name="Percent 2 3 5 3 2 3" xfId="10215"/>
    <cellStyle name="Percent 2 3 5 3 3" xfId="8100"/>
    <cellStyle name="Percent 2 3 5 3 3 2" xfId="10997"/>
    <cellStyle name="Percent 2 3 5 3 4" xfId="9557"/>
    <cellStyle name="Percent 2 3 5 3 5" xfId="6605"/>
    <cellStyle name="Percent 2 3 5 4" xfId="1399"/>
    <cellStyle name="Percent 2 3 5 4 2" xfId="7048"/>
    <cellStyle name="Percent 2 3 5 4 2 2" xfId="8525"/>
    <cellStyle name="Percent 2 3 5 4 2 2 2" xfId="11422"/>
    <cellStyle name="Percent 2 3 5 4 2 3" xfId="9982"/>
    <cellStyle name="Percent 2 3 5 4 3" xfId="7866"/>
    <cellStyle name="Percent 2 3 5 4 3 2" xfId="10764"/>
    <cellStyle name="Percent 2 3 5 4 4" xfId="9324"/>
    <cellStyle name="Percent 2 3 5 4 5" xfId="6369"/>
    <cellStyle name="Percent 2 3 5 5" xfId="6876"/>
    <cellStyle name="Percent 2 3 5 5 2" xfId="8354"/>
    <cellStyle name="Percent 2 3 5 5 2 2" xfId="11251"/>
    <cellStyle name="Percent 2 3 5 5 3" xfId="9811"/>
    <cellStyle name="Percent 2 3 5 6" xfId="7693"/>
    <cellStyle name="Percent 2 3 5 6 2" xfId="10593"/>
    <cellStyle name="Percent 2 3 5 7" xfId="9153"/>
    <cellStyle name="Percent 2 3 5 8" xfId="6171"/>
    <cellStyle name="Percent 2 3 6" xfId="1400"/>
    <cellStyle name="Percent 2 3 6 2" xfId="1401"/>
    <cellStyle name="Percent 2 3 6 2 2" xfId="7345"/>
    <cellStyle name="Percent 2 3 6 2 2 2" xfId="8822"/>
    <cellStyle name="Percent 2 3 6 2 2 2 2" xfId="11719"/>
    <cellStyle name="Percent 2 3 6 2 2 3" xfId="10279"/>
    <cellStyle name="Percent 2 3 6 2 3" xfId="8164"/>
    <cellStyle name="Percent 2 3 6 2 3 2" xfId="11061"/>
    <cellStyle name="Percent 2 3 6 2 4" xfId="9621"/>
    <cellStyle name="Percent 2 3 6 2 5" xfId="6669"/>
    <cellStyle name="Percent 2 3 6 3" xfId="1402"/>
    <cellStyle name="Percent 2 3 6 3 2" xfId="7112"/>
    <cellStyle name="Percent 2 3 6 3 2 2" xfId="8589"/>
    <cellStyle name="Percent 2 3 6 3 2 2 2" xfId="11486"/>
    <cellStyle name="Percent 2 3 6 3 2 3" xfId="10046"/>
    <cellStyle name="Percent 2 3 6 3 3" xfId="7931"/>
    <cellStyle name="Percent 2 3 6 3 3 2" xfId="10828"/>
    <cellStyle name="Percent 2 3 6 3 4" xfId="9388"/>
    <cellStyle name="Percent 2 3 6 3 5" xfId="6436"/>
    <cellStyle name="Percent 2 3 6 4" xfId="6933"/>
    <cellStyle name="Percent 2 3 6 4 2" xfId="8410"/>
    <cellStyle name="Percent 2 3 6 4 2 2" xfId="11307"/>
    <cellStyle name="Percent 2 3 6 4 3" xfId="9867"/>
    <cellStyle name="Percent 2 3 6 5" xfId="7750"/>
    <cellStyle name="Percent 2 3 6 5 2" xfId="10649"/>
    <cellStyle name="Percent 2 3 6 6" xfId="9209"/>
    <cellStyle name="Percent 2 3 6 7" xfId="6234"/>
    <cellStyle name="Percent 2 3 7" xfId="1403"/>
    <cellStyle name="Percent 2 3 7 2" xfId="7229"/>
    <cellStyle name="Percent 2 3 7 2 2" xfId="8706"/>
    <cellStyle name="Percent 2 3 7 2 2 2" xfId="11603"/>
    <cellStyle name="Percent 2 3 7 2 3" xfId="10163"/>
    <cellStyle name="Percent 2 3 7 3" xfId="8048"/>
    <cellStyle name="Percent 2 3 7 3 2" xfId="10945"/>
    <cellStyle name="Percent 2 3 7 4" xfId="9505"/>
    <cellStyle name="Percent 2 3 7 5" xfId="6553"/>
    <cellStyle name="Percent 2 3 8" xfId="1404"/>
    <cellStyle name="Percent 2 3 8 2" xfId="6996"/>
    <cellStyle name="Percent 2 3 8 2 2" xfId="8473"/>
    <cellStyle name="Percent 2 3 8 2 2 2" xfId="11370"/>
    <cellStyle name="Percent 2 3 8 2 3" xfId="9930"/>
    <cellStyle name="Percent 2 3 8 3" xfId="7814"/>
    <cellStyle name="Percent 2 3 8 3 2" xfId="10712"/>
    <cellStyle name="Percent 2 3 8 4" xfId="9272"/>
    <cellStyle name="Percent 2 3 8 5" xfId="6317"/>
    <cellStyle name="Percent 2 3 9" xfId="5535"/>
    <cellStyle name="Percent 2 3 9 2" xfId="8936"/>
    <cellStyle name="Percent 2 3 9 2 2" xfId="11833"/>
    <cellStyle name="Percent 2 3 9 3" xfId="10393"/>
    <cellStyle name="Percent 2 3 9 4" xfId="7462"/>
    <cellStyle name="Percent 2 4" xfId="1405"/>
    <cellStyle name="Percent 2 5" xfId="1406"/>
    <cellStyle name="Percent 2 5 2" xfId="5537"/>
    <cellStyle name="Percent 2 5 2 2" xfId="5538"/>
    <cellStyle name="Percent 2 5 2 2 2" xfId="5539"/>
    <cellStyle name="Percent 2 5 2 2 2 2" xfId="5540"/>
    <cellStyle name="Percent 2 5 2 2 3" xfId="5541"/>
    <cellStyle name="Percent 2 5 2 3" xfId="5542"/>
    <cellStyle name="Percent 2 5 2 3 2" xfId="5543"/>
    <cellStyle name="Percent 2 5 2 4" xfId="5544"/>
    <cellStyle name="Percent 2 5 3" xfId="5545"/>
    <cellStyle name="Percent 2 5 3 2" xfId="5546"/>
    <cellStyle name="Percent 2 5 3 2 2" xfId="5547"/>
    <cellStyle name="Percent 2 5 3 2 2 2" xfId="5548"/>
    <cellStyle name="Percent 2 5 3 2 3" xfId="5549"/>
    <cellStyle name="Percent 2 5 3 3" xfId="5550"/>
    <cellStyle name="Percent 2 5 3 3 2" xfId="5551"/>
    <cellStyle name="Percent 2 5 3 4" xfId="5552"/>
    <cellStyle name="Percent 2 5 4" xfId="5553"/>
    <cellStyle name="Percent 2 5 4 2" xfId="5554"/>
    <cellStyle name="Percent 2 5 4 2 2" xfId="5555"/>
    <cellStyle name="Percent 2 5 4 3" xfId="5556"/>
    <cellStyle name="Percent 2 5 5" xfId="5557"/>
    <cellStyle name="Percent 2 5 5 2" xfId="5558"/>
    <cellStyle name="Percent 2 5 6" xfId="5559"/>
    <cellStyle name="Percent 2 5 7" xfId="5536"/>
    <cellStyle name="Percent 2 5 8" xfId="6065"/>
    <cellStyle name="Percent 2 6" xfId="5560"/>
    <cellStyle name="Percent 2 6 2" xfId="5561"/>
    <cellStyle name="Percent 2 6 2 2" xfId="5562"/>
    <cellStyle name="Percent 2 6 2 2 2" xfId="5563"/>
    <cellStyle name="Percent 2 6 2 2 2 2" xfId="5564"/>
    <cellStyle name="Percent 2 6 2 2 3" xfId="5565"/>
    <cellStyle name="Percent 2 6 2 3" xfId="5566"/>
    <cellStyle name="Percent 2 6 2 3 2" xfId="5567"/>
    <cellStyle name="Percent 2 6 2 4" xfId="5568"/>
    <cellStyle name="Percent 2 6 2 5" xfId="10502"/>
    <cellStyle name="Percent 2 6 3" xfId="5569"/>
    <cellStyle name="Percent 2 6 3 2" xfId="5570"/>
    <cellStyle name="Percent 2 6 3 2 2" xfId="5571"/>
    <cellStyle name="Percent 2 6 3 2 2 2" xfId="5572"/>
    <cellStyle name="Percent 2 6 3 2 3" xfId="5573"/>
    <cellStyle name="Percent 2 6 3 3" xfId="5574"/>
    <cellStyle name="Percent 2 6 3 3 2" xfId="5575"/>
    <cellStyle name="Percent 2 6 3 4" xfId="5576"/>
    <cellStyle name="Percent 2 6 4" xfId="5577"/>
    <cellStyle name="Percent 2 6 4 2" xfId="5578"/>
    <cellStyle name="Percent 2 6 4 2 2" xfId="5579"/>
    <cellStyle name="Percent 2 6 4 3" xfId="5580"/>
    <cellStyle name="Percent 2 6 5" xfId="5581"/>
    <cellStyle name="Percent 2 6 5 2" xfId="5582"/>
    <cellStyle name="Percent 2 6 6" xfId="5583"/>
    <cellStyle name="Percent 2 6 7" xfId="7590"/>
    <cellStyle name="Percent 2 7" xfId="5584"/>
    <cellStyle name="Percent 2 7 2" xfId="5585"/>
    <cellStyle name="Percent 2 7 3" xfId="5586"/>
    <cellStyle name="Percent 2 7 4" xfId="5587"/>
    <cellStyle name="Percent 2 7 4 2" xfId="5588"/>
    <cellStyle name="Percent 2 7 4 2 2" xfId="5589"/>
    <cellStyle name="Percent 2 7 4 3" xfId="5590"/>
    <cellStyle name="Percent 2 7 5" xfId="5591"/>
    <cellStyle name="Percent 2 7 5 2" xfId="5592"/>
    <cellStyle name="Percent 2 7 6" xfId="5593"/>
    <cellStyle name="Percent 2 7 7" xfId="9060"/>
    <cellStyle name="Percent 2 8" xfId="5594"/>
    <cellStyle name="Percent 2 8 2" xfId="5595"/>
    <cellStyle name="Percent 2 8 2 2" xfId="5596"/>
    <cellStyle name="Percent 2 8 2 2 2" xfId="5597"/>
    <cellStyle name="Percent 2 8 2 3" xfId="5598"/>
    <cellStyle name="Percent 2 8 3" xfId="5599"/>
    <cellStyle name="Percent 2 8 3 2" xfId="5600"/>
    <cellStyle name="Percent 2 8 4" xfId="5601"/>
    <cellStyle name="Percent 2 9" xfId="5602"/>
    <cellStyle name="Percent 20" xfId="1407"/>
    <cellStyle name="Percent 20 2" xfId="6282"/>
    <cellStyle name="Percent 21" xfId="1408"/>
    <cellStyle name="Percent 21 2" xfId="6284"/>
    <cellStyle name="Percent 22" xfId="1409"/>
    <cellStyle name="Percent 22 2" xfId="6292"/>
    <cellStyle name="Percent 23" xfId="1410"/>
    <cellStyle name="Percent 23 2" xfId="6771"/>
    <cellStyle name="Percent 24" xfId="1411"/>
    <cellStyle name="Percent 24 2" xfId="6295"/>
    <cellStyle name="Percent 25" xfId="1412"/>
    <cellStyle name="Percent 25 2" xfId="6772"/>
    <cellStyle name="Percent 26" xfId="1413"/>
    <cellStyle name="Percent 26 2" xfId="6303"/>
    <cellStyle name="Percent 27" xfId="1414"/>
    <cellStyle name="Percent 27 2" xfId="6285"/>
    <cellStyle name="Percent 28" xfId="1415"/>
    <cellStyle name="Percent 28 2" xfId="6291"/>
    <cellStyle name="Percent 29" xfId="1416"/>
    <cellStyle name="Percent 29 2" xfId="6774"/>
    <cellStyle name="Percent 3" xfId="1417"/>
    <cellStyle name="Percent 3 2" xfId="1418"/>
    <cellStyle name="Percent 3 2 2" xfId="1419"/>
    <cellStyle name="Percent 3 2 2 2" xfId="5606"/>
    <cellStyle name="Percent 3 2 2 2 2" xfId="8342"/>
    <cellStyle name="Percent 3 2 2 2 2 2" xfId="11239"/>
    <cellStyle name="Percent 3 2 2 2 3" xfId="9799"/>
    <cellStyle name="Percent 3 2 2 2 4" xfId="6864"/>
    <cellStyle name="Percent 3 2 2 3" xfId="5605"/>
    <cellStyle name="Percent 3 2 2 3 2" xfId="10581"/>
    <cellStyle name="Percent 3 2 2 3 3" xfId="7681"/>
    <cellStyle name="Percent 3 2 2 4" xfId="9141"/>
    <cellStyle name="Percent 3 2 2 5" xfId="6156"/>
    <cellStyle name="Percent 3 2 3" xfId="1420"/>
    <cellStyle name="Percent 3 2 3 2" xfId="5607"/>
    <cellStyle name="Percent 3 2 3 2 2" xfId="9039"/>
    <cellStyle name="Percent 3 2 3 2 2 2" xfId="11936"/>
    <cellStyle name="Percent 3 2 3 2 3" xfId="10496"/>
    <cellStyle name="Percent 3 2 3 2 4" xfId="7581"/>
    <cellStyle name="Percent 3 2 3 3" xfId="7588"/>
    <cellStyle name="Percent 3 2 3 3 2" xfId="10500"/>
    <cellStyle name="Percent 3 2 3 4" xfId="9053"/>
    <cellStyle name="Percent 3 2 3 4 2" xfId="11940"/>
    <cellStyle name="Percent 3 2 3 5" xfId="9058"/>
    <cellStyle name="Percent 3 2 3 6" xfId="6048"/>
    <cellStyle name="Percent 3 2 4" xfId="5608"/>
    <cellStyle name="Percent 3 2 5" xfId="5604"/>
    <cellStyle name="Percent 3 3" xfId="1421"/>
    <cellStyle name="Percent 3 3 2" xfId="5609"/>
    <cellStyle name="Percent 3 3 3" xfId="6097"/>
    <cellStyle name="Percent 3 4" xfId="1422"/>
    <cellStyle name="Percent 3 4 2" xfId="5610"/>
    <cellStyle name="Percent 3 4 2 2" xfId="8338"/>
    <cellStyle name="Percent 3 4 2 2 2" xfId="11235"/>
    <cellStyle name="Percent 3 4 2 3" xfId="9795"/>
    <cellStyle name="Percent 3 4 2 4" xfId="6859"/>
    <cellStyle name="Percent 3 4 3" xfId="7677"/>
    <cellStyle name="Percent 3 4 3 2" xfId="10577"/>
    <cellStyle name="Percent 3 4 4" xfId="9137"/>
    <cellStyle name="Percent 3 4 5" xfId="6151"/>
    <cellStyle name="Percent 3 5" xfId="1423"/>
    <cellStyle name="Percent 3 6" xfId="1520"/>
    <cellStyle name="Percent 3 7" xfId="5603"/>
    <cellStyle name="Percent 30" xfId="1424"/>
    <cellStyle name="Percent 30 2" xfId="6300"/>
    <cellStyle name="Percent 31" xfId="1425"/>
    <cellStyle name="Percent 31 2" xfId="6302"/>
    <cellStyle name="Percent 32" xfId="17"/>
    <cellStyle name="Percent 32 2" xfId="6293"/>
    <cellStyle name="Percent 33" xfId="1426"/>
    <cellStyle name="Percent 33 2" xfId="6773"/>
    <cellStyle name="Percent 34" xfId="1427"/>
    <cellStyle name="Percent 35" xfId="1428"/>
    <cellStyle name="Percent 36" xfId="1429"/>
    <cellStyle name="Percent 37" xfId="1430"/>
    <cellStyle name="Percent 38" xfId="1431"/>
    <cellStyle name="Percent 39" xfId="1432"/>
    <cellStyle name="Percent 4" xfId="1433"/>
    <cellStyle name="Percent 4 2" xfId="1434"/>
    <cellStyle name="Percent 4 2 2" xfId="5613"/>
    <cellStyle name="Percent 4 2 2 2" xfId="8348"/>
    <cellStyle name="Percent 4 2 2 2 2" xfId="11245"/>
    <cellStyle name="Percent 4 2 2 3" xfId="9805"/>
    <cellStyle name="Percent 4 2 2 4" xfId="6870"/>
    <cellStyle name="Percent 4 2 3" xfId="5612"/>
    <cellStyle name="Percent 4 2 3 2" xfId="10587"/>
    <cellStyle name="Percent 4 2 3 3" xfId="7687"/>
    <cellStyle name="Percent 4 2 4" xfId="9147"/>
    <cellStyle name="Percent 4 2 5" xfId="6165"/>
    <cellStyle name="Percent 4 3" xfId="1435"/>
    <cellStyle name="Percent 4 3 2" xfId="5615"/>
    <cellStyle name="Percent 4 3 2 2" xfId="5616"/>
    <cellStyle name="Percent 4 3 3" xfId="5617"/>
    <cellStyle name="Percent 4 3 4" xfId="5614"/>
    <cellStyle name="Percent 4 4" xfId="5611"/>
    <cellStyle name="Percent 40" xfId="1436"/>
    <cellStyle name="Percent 41" xfId="1437"/>
    <cellStyle name="Percent 42" xfId="1438"/>
    <cellStyle name="Percent 43" xfId="1439"/>
    <cellStyle name="Percent 44" xfId="1440"/>
    <cellStyle name="Percent 45" xfId="1441"/>
    <cellStyle name="Percent 46" xfId="1442"/>
    <cellStyle name="Percent 47" xfId="1443"/>
    <cellStyle name="Percent 48" xfId="1444"/>
    <cellStyle name="Percent 49" xfId="1445"/>
    <cellStyle name="Percent 49 2" xfId="7448"/>
    <cellStyle name="Percent 5" xfId="1446"/>
    <cellStyle name="Percent 5 2" xfId="5619"/>
    <cellStyle name="Percent 5 2 2" xfId="5620"/>
    <cellStyle name="Percent 5 2 2 2" xfId="5621"/>
    <cellStyle name="Percent 5 2 3" xfId="5622"/>
    <cellStyle name="Percent 5 3" xfId="5618"/>
    <cellStyle name="Percent 5 4" xfId="6106"/>
    <cellStyle name="Percent 50" xfId="1447"/>
    <cellStyle name="Percent 50 2" xfId="7445"/>
    <cellStyle name="Percent 51" xfId="1448"/>
    <cellStyle name="Percent 51 2" xfId="7508"/>
    <cellStyle name="Percent 52" xfId="1449"/>
    <cellStyle name="Percent 52 2" xfId="6784"/>
    <cellStyle name="Percent 53" xfId="1450"/>
    <cellStyle name="Percent 53 2" xfId="6848"/>
    <cellStyle name="Percent 54" xfId="1451"/>
    <cellStyle name="Percent 54 2" xfId="7566"/>
    <cellStyle name="Percent 55" xfId="1515"/>
    <cellStyle name="Percent 56" xfId="1521"/>
    <cellStyle name="Percent 56 2" xfId="7568"/>
    <cellStyle name="Percent 57" xfId="1522"/>
    <cellStyle name="Percent 57 2" xfId="6861"/>
    <cellStyle name="Percent 58" xfId="1523"/>
    <cellStyle name="Percent 58 2" xfId="7571"/>
    <cellStyle name="Percent 59" xfId="1524"/>
    <cellStyle name="Percent 59 2" xfId="6776"/>
    <cellStyle name="Percent 6" xfId="1452"/>
    <cellStyle name="Percent 6 2" xfId="1453"/>
    <cellStyle name="Percent 6 2 2" xfId="1454"/>
    <cellStyle name="Percent 6 2 2 2" xfId="5626"/>
    <cellStyle name="Percent 6 2 2 2 2" xfId="8894"/>
    <cellStyle name="Percent 6 2 2 2 2 2" xfId="11791"/>
    <cellStyle name="Percent 6 2 2 2 3" xfId="10351"/>
    <cellStyle name="Percent 6 2 2 2 4" xfId="7417"/>
    <cellStyle name="Percent 6 2 2 3" xfId="5625"/>
    <cellStyle name="Percent 6 2 2 3 2" xfId="11133"/>
    <cellStyle name="Percent 6 2 2 3 3" xfId="8236"/>
    <cellStyle name="Percent 6 2 2 4" xfId="9693"/>
    <cellStyle name="Percent 6 2 2 5" xfId="6741"/>
    <cellStyle name="Percent 6 2 3" xfId="1455"/>
    <cellStyle name="Percent 6 2 3 2" xfId="5627"/>
    <cellStyle name="Percent 6 2 3 2 2" xfId="8661"/>
    <cellStyle name="Percent 6 2 3 2 2 2" xfId="11558"/>
    <cellStyle name="Percent 6 2 3 2 3" xfId="10118"/>
    <cellStyle name="Percent 6 2 3 2 4" xfId="7184"/>
    <cellStyle name="Percent 6 2 3 3" xfId="8003"/>
    <cellStyle name="Percent 6 2 3 3 2" xfId="10900"/>
    <cellStyle name="Percent 6 2 3 4" xfId="9460"/>
    <cellStyle name="Percent 6 2 3 5" xfId="6508"/>
    <cellStyle name="Percent 6 2 4" xfId="5624"/>
    <cellStyle name="Percent 6 2 4 2" xfId="8374"/>
    <cellStyle name="Percent 6 2 4 2 2" xfId="11271"/>
    <cellStyle name="Percent 6 2 4 3" xfId="9831"/>
    <cellStyle name="Percent 6 2 4 4" xfId="6896"/>
    <cellStyle name="Percent 6 2 5" xfId="7713"/>
    <cellStyle name="Percent 6 2 5 2" xfId="10613"/>
    <cellStyle name="Percent 6 2 6" xfId="9173"/>
    <cellStyle name="Percent 6 2 7" xfId="6192"/>
    <cellStyle name="Percent 6 3" xfId="1456"/>
    <cellStyle name="Percent 6 3 2" xfId="1457"/>
    <cellStyle name="Percent 6 3 2 2" xfId="5630"/>
    <cellStyle name="Percent 6 3 2 2 2" xfId="8778"/>
    <cellStyle name="Percent 6 3 2 2 2 2" xfId="11675"/>
    <cellStyle name="Percent 6 3 2 2 3" xfId="10235"/>
    <cellStyle name="Percent 6 3 2 2 4" xfId="7301"/>
    <cellStyle name="Percent 6 3 2 3" xfId="5629"/>
    <cellStyle name="Percent 6 3 2 3 2" xfId="11017"/>
    <cellStyle name="Percent 6 3 2 3 3" xfId="8120"/>
    <cellStyle name="Percent 6 3 2 4" xfId="9577"/>
    <cellStyle name="Percent 6 3 2 5" xfId="6625"/>
    <cellStyle name="Percent 6 3 3" xfId="5631"/>
    <cellStyle name="Percent 6 3 3 2" xfId="8430"/>
    <cellStyle name="Percent 6 3 3 2 2" xfId="11327"/>
    <cellStyle name="Percent 6 3 3 3" xfId="9887"/>
    <cellStyle name="Percent 6 3 3 4" xfId="6953"/>
    <cellStyle name="Percent 6 3 4" xfId="5628"/>
    <cellStyle name="Percent 6 3 4 2" xfId="10669"/>
    <cellStyle name="Percent 6 3 4 3" xfId="7770"/>
    <cellStyle name="Percent 6 3 5" xfId="9229"/>
    <cellStyle name="Percent 6 3 6" xfId="6254"/>
    <cellStyle name="Percent 6 4" xfId="1458"/>
    <cellStyle name="Percent 6 4 2" xfId="7068"/>
    <cellStyle name="Percent 6 4 2 2" xfId="8545"/>
    <cellStyle name="Percent 6 4 2 2 2" xfId="11442"/>
    <cellStyle name="Percent 6 4 2 3" xfId="10002"/>
    <cellStyle name="Percent 6 4 3" xfId="7886"/>
    <cellStyle name="Percent 6 4 3 2" xfId="10784"/>
    <cellStyle name="Percent 6 4 4" xfId="9344"/>
    <cellStyle name="Percent 6 4 5" xfId="6389"/>
    <cellStyle name="Percent 6 5" xfId="5623"/>
    <cellStyle name="Percent 6 5 2" xfId="8293"/>
    <cellStyle name="Percent 6 5 2 2" xfId="11190"/>
    <cellStyle name="Percent 6 5 3" xfId="9750"/>
    <cellStyle name="Percent 6 5 4" xfId="6812"/>
    <cellStyle name="Percent 6 6" xfId="7632"/>
    <cellStyle name="Percent 6 6 2" xfId="10532"/>
    <cellStyle name="Percent 6 7" xfId="9092"/>
    <cellStyle name="Percent 6 8" xfId="6101"/>
    <cellStyle name="Percent 60" xfId="1528"/>
    <cellStyle name="Percent 60 2" xfId="7564"/>
    <cellStyle name="Percent 61" xfId="4992"/>
    <cellStyle name="Percent 61 2" xfId="6777"/>
    <cellStyle name="Percent 62" xfId="6023"/>
    <cellStyle name="Percent 62 2" xfId="6779"/>
    <cellStyle name="Percent 63" xfId="6780"/>
    <cellStyle name="Percent 64" xfId="6064"/>
    <cellStyle name="Percent 65" xfId="7574"/>
    <cellStyle name="Percent 66" xfId="7577"/>
    <cellStyle name="Percent 67" xfId="7576"/>
    <cellStyle name="Percent 7" xfId="1459"/>
    <cellStyle name="Percent 7 2" xfId="1460"/>
    <cellStyle name="Percent 7 2 2" xfId="5634"/>
    <cellStyle name="Percent 7 2 2 2" xfId="5635"/>
    <cellStyle name="Percent 7 2 3" xfId="5636"/>
    <cellStyle name="Percent 7 2 4" xfId="5633"/>
    <cellStyle name="Percent 7 2 5" xfId="6422"/>
    <cellStyle name="Percent 7 3" xfId="5637"/>
    <cellStyle name="Percent 7 3 2" xfId="5638"/>
    <cellStyle name="Percent 7 4" xfId="5639"/>
    <cellStyle name="Percent 7 5" xfId="5632"/>
    <cellStyle name="Percent 8" xfId="1461"/>
    <cellStyle name="Percent 8 2" xfId="1462"/>
    <cellStyle name="Percent 8 2 2" xfId="7214"/>
    <cellStyle name="Percent 8 2 2 2" xfId="8691"/>
    <cellStyle name="Percent 8 2 2 2 2" xfId="11588"/>
    <cellStyle name="Percent 8 2 2 3" xfId="10148"/>
    <cellStyle name="Percent 8 2 3" xfId="8033"/>
    <cellStyle name="Percent 8 2 3 2" xfId="10930"/>
    <cellStyle name="Percent 8 2 4" xfId="9490"/>
    <cellStyle name="Percent 8 2 5" xfId="6538"/>
    <cellStyle name="Percent 8 3" xfId="5640"/>
    <cellStyle name="Percent 9" xfId="1463"/>
    <cellStyle name="Percent 9 2" xfId="5641"/>
    <cellStyle name="Percent Hard" xfId="5642"/>
    <cellStyle name="percentage" xfId="5643"/>
    <cellStyle name="PercentChange" xfId="5644"/>
    <cellStyle name="PLAN1" xfId="5645"/>
    <cellStyle name="Porcentaje" xfId="5646"/>
    <cellStyle name="Pourcentage_Profit &amp; Loss" xfId="5647"/>
    <cellStyle name="PrePop Currency (0)" xfId="5648"/>
    <cellStyle name="PrePop Currency (2)" xfId="5649"/>
    <cellStyle name="PrePop Units (0)" xfId="5650"/>
    <cellStyle name="PrePop Units (1)" xfId="5651"/>
    <cellStyle name="PrePop Units (2)" xfId="5652"/>
    <cellStyle name="Procenten" xfId="5653"/>
    <cellStyle name="Procenten estimate" xfId="5654"/>
    <cellStyle name="Procenten_EMI" xfId="5655"/>
    <cellStyle name="Profit figure" xfId="5656"/>
    <cellStyle name="Protected" xfId="5657"/>
    <cellStyle name="ProtectedDates" xfId="5658"/>
    <cellStyle name="PSChar" xfId="5659"/>
    <cellStyle name="PSDate" xfId="5660"/>
    <cellStyle name="PSDec" xfId="5661"/>
    <cellStyle name="PSHeading" xfId="5662"/>
    <cellStyle name="PSInt" xfId="5663"/>
    <cellStyle name="PSSpacer" xfId="5664"/>
    <cellStyle name="RatioX" xfId="5665"/>
    <cellStyle name="Red font" xfId="5666"/>
    <cellStyle name="ref" xfId="5667"/>
    <cellStyle name="Right" xfId="5668"/>
    <cellStyle name="Salomon Logo" xfId="5669"/>
    <cellStyle name="ScripFactor" xfId="5670"/>
    <cellStyle name="SectionHeading" xfId="5671"/>
    <cellStyle name="Shade" xfId="5672"/>
    <cellStyle name="Shaded" xfId="5673"/>
    <cellStyle name="Single Accounting" xfId="5674"/>
    <cellStyle name="SingleLineAcctgn" xfId="5675"/>
    <cellStyle name="SingleLinePercent" xfId="5676"/>
    <cellStyle name="Source Superscript" xfId="5677"/>
    <cellStyle name="Source Text" xfId="5678"/>
    <cellStyle name="ssp " xfId="5679"/>
    <cellStyle name="Standard" xfId="5680"/>
    <cellStyle name="Style 1" xfId="5681"/>
    <cellStyle name="Style 10" xfId="5682"/>
    <cellStyle name="Style 100" xfId="5683"/>
    <cellStyle name="Style 101" xfId="5684"/>
    <cellStyle name="Style 102" xfId="5685"/>
    <cellStyle name="Style 103" xfId="5686"/>
    <cellStyle name="Style 104" xfId="5687"/>
    <cellStyle name="Style 105" xfId="5688"/>
    <cellStyle name="Style 106" xfId="5689"/>
    <cellStyle name="Style 107" xfId="5690"/>
    <cellStyle name="Style 108" xfId="5691"/>
    <cellStyle name="Style 109" xfId="5692"/>
    <cellStyle name="Style 11" xfId="5693"/>
    <cellStyle name="Style 110" xfId="5694"/>
    <cellStyle name="Style 111" xfId="5695"/>
    <cellStyle name="Style 112" xfId="5696"/>
    <cellStyle name="Style 113" xfId="5697"/>
    <cellStyle name="Style 114" xfId="5698"/>
    <cellStyle name="Style 115" xfId="5699"/>
    <cellStyle name="Style 116" xfId="5700"/>
    <cellStyle name="Style 117" xfId="5701"/>
    <cellStyle name="Style 118" xfId="5702"/>
    <cellStyle name="Style 119" xfId="5703"/>
    <cellStyle name="Style 12" xfId="5704"/>
    <cellStyle name="Style 120" xfId="5705"/>
    <cellStyle name="Style 121" xfId="5706"/>
    <cellStyle name="Style 122" xfId="5707"/>
    <cellStyle name="Style 123" xfId="5708"/>
    <cellStyle name="Style 124" xfId="5709"/>
    <cellStyle name="Style 125" xfId="5710"/>
    <cellStyle name="Style 126" xfId="5711"/>
    <cellStyle name="Style 127" xfId="5712"/>
    <cellStyle name="Style 128" xfId="5713"/>
    <cellStyle name="Style 129" xfId="5714"/>
    <cellStyle name="Style 13" xfId="5715"/>
    <cellStyle name="Style 130" xfId="5716"/>
    <cellStyle name="Style 131" xfId="5717"/>
    <cellStyle name="Style 132" xfId="5718"/>
    <cellStyle name="Style 133" xfId="5719"/>
    <cellStyle name="Style 134" xfId="5720"/>
    <cellStyle name="Style 135" xfId="5721"/>
    <cellStyle name="Style 136" xfId="5722"/>
    <cellStyle name="Style 137" xfId="5723"/>
    <cellStyle name="Style 138" xfId="5724"/>
    <cellStyle name="Style 139" xfId="5725"/>
    <cellStyle name="Style 14" xfId="5726"/>
    <cellStyle name="Style 140" xfId="5727"/>
    <cellStyle name="Style 141" xfId="5728"/>
    <cellStyle name="Style 142" xfId="5729"/>
    <cellStyle name="Style 143" xfId="5730"/>
    <cellStyle name="Style 144" xfId="5731"/>
    <cellStyle name="Style 145" xfId="5732"/>
    <cellStyle name="Style 146" xfId="5733"/>
    <cellStyle name="Style 147" xfId="5734"/>
    <cellStyle name="Style 148" xfId="5735"/>
    <cellStyle name="Style 149" xfId="5736"/>
    <cellStyle name="Style 15" xfId="5737"/>
    <cellStyle name="Style 150" xfId="5738"/>
    <cellStyle name="Style 151" xfId="5739"/>
    <cellStyle name="Style 152" xfId="5740"/>
    <cellStyle name="Style 153" xfId="5741"/>
    <cellStyle name="Style 154" xfId="5742"/>
    <cellStyle name="Style 155" xfId="5743"/>
    <cellStyle name="Style 156" xfId="5744"/>
    <cellStyle name="Style 157" xfId="5745"/>
    <cellStyle name="Style 158" xfId="5746"/>
    <cellStyle name="Style 159" xfId="5747"/>
    <cellStyle name="Style 16" xfId="5748"/>
    <cellStyle name="Style 160" xfId="5749"/>
    <cellStyle name="Style 161" xfId="5750"/>
    <cellStyle name="Style 162" xfId="5751"/>
    <cellStyle name="Style 163" xfId="5752"/>
    <cellStyle name="Style 164" xfId="5753"/>
    <cellStyle name="Style 165" xfId="5754"/>
    <cellStyle name="Style 166" xfId="5755"/>
    <cellStyle name="Style 167" xfId="5756"/>
    <cellStyle name="Style 168" xfId="5757"/>
    <cellStyle name="Style 169" xfId="5758"/>
    <cellStyle name="Style 17" xfId="5759"/>
    <cellStyle name="Style 170" xfId="5760"/>
    <cellStyle name="Style 171" xfId="5761"/>
    <cellStyle name="Style 172" xfId="5762"/>
    <cellStyle name="Style 173" xfId="5763"/>
    <cellStyle name="Style 174" xfId="5764"/>
    <cellStyle name="Style 175" xfId="5765"/>
    <cellStyle name="Style 176" xfId="5766"/>
    <cellStyle name="Style 177" xfId="5767"/>
    <cellStyle name="Style 178" xfId="5768"/>
    <cellStyle name="Style 179" xfId="5769"/>
    <cellStyle name="Style 18" xfId="5770"/>
    <cellStyle name="Style 180" xfId="5771"/>
    <cellStyle name="Style 181" xfId="5772"/>
    <cellStyle name="Style 182" xfId="5773"/>
    <cellStyle name="Style 183" xfId="5774"/>
    <cellStyle name="Style 184" xfId="5775"/>
    <cellStyle name="Style 185" xfId="5776"/>
    <cellStyle name="Style 186" xfId="5777"/>
    <cellStyle name="Style 187" xfId="5778"/>
    <cellStyle name="Style 188" xfId="5779"/>
    <cellStyle name="Style 189" xfId="5780"/>
    <cellStyle name="Style 19" xfId="5781"/>
    <cellStyle name="Style 190" xfId="5782"/>
    <cellStyle name="Style 191" xfId="5783"/>
    <cellStyle name="Style 192" xfId="5784"/>
    <cellStyle name="Style 193" xfId="5785"/>
    <cellStyle name="Style 194" xfId="5786"/>
    <cellStyle name="Style 195" xfId="5787"/>
    <cellStyle name="Style 196" xfId="5788"/>
    <cellStyle name="Style 197" xfId="5789"/>
    <cellStyle name="Style 198" xfId="5790"/>
    <cellStyle name="Style 199" xfId="5791"/>
    <cellStyle name="Style 2" xfId="5792"/>
    <cellStyle name="Style 20" xfId="5793"/>
    <cellStyle name="Style 200" xfId="5794"/>
    <cellStyle name="Style 201" xfId="5795"/>
    <cellStyle name="Style 202" xfId="5796"/>
    <cellStyle name="Style 203" xfId="5797"/>
    <cellStyle name="Style 204" xfId="5798"/>
    <cellStyle name="Style 205" xfId="5799"/>
    <cellStyle name="Style 206" xfId="5800"/>
    <cellStyle name="Style 207" xfId="5801"/>
    <cellStyle name="Style 208" xfId="5802"/>
    <cellStyle name="Style 209" xfId="5803"/>
    <cellStyle name="Style 21" xfId="5804"/>
    <cellStyle name="Style 21 2" xfId="5805"/>
    <cellStyle name="Style 22" xfId="5806"/>
    <cellStyle name="Style 22 2" xfId="5807"/>
    <cellStyle name="Style 22 3" xfId="5808"/>
    <cellStyle name="Style 22 4" xfId="5809"/>
    <cellStyle name="Style 23" xfId="3"/>
    <cellStyle name="Style 23 2" xfId="1464"/>
    <cellStyle name="Style 23 2 2" xfId="6076"/>
    <cellStyle name="Style 23 3" xfId="5810"/>
    <cellStyle name="Style 23 3 2" xfId="6075"/>
    <cellStyle name="Style 23 4" xfId="6045"/>
    <cellStyle name="Style 24" xfId="5811"/>
    <cellStyle name="Style 24 2" xfId="5812"/>
    <cellStyle name="Style 24 3" xfId="5813"/>
    <cellStyle name="Style 24 4" xfId="5814"/>
    <cellStyle name="Style 25" xfId="5815"/>
    <cellStyle name="Style 25 2" xfId="5816"/>
    <cellStyle name="Style 25 3" xfId="5817"/>
    <cellStyle name="Style 26" xfId="5818"/>
    <cellStyle name="Style 26 2" xfId="5819"/>
    <cellStyle name="Style 26 3" xfId="5820"/>
    <cellStyle name="Style 26 4" xfId="5821"/>
    <cellStyle name="Style 27" xfId="5822"/>
    <cellStyle name="Style 28" xfId="5823"/>
    <cellStyle name="Style 29" xfId="5824"/>
    <cellStyle name="Style 3" xfId="5825"/>
    <cellStyle name="Style 30" xfId="5826"/>
    <cellStyle name="Style 31" xfId="5827"/>
    <cellStyle name="Style 32" xfId="5828"/>
    <cellStyle name="Style 33" xfId="5829"/>
    <cellStyle name="Style 34" xfId="5830"/>
    <cellStyle name="Style 35" xfId="5831"/>
    <cellStyle name="Style 36" xfId="5832"/>
    <cellStyle name="Style 37" xfId="5833"/>
    <cellStyle name="Style 38" xfId="5834"/>
    <cellStyle name="Style 39" xfId="5835"/>
    <cellStyle name="Style 4" xfId="5836"/>
    <cellStyle name="Style 40" xfId="5837"/>
    <cellStyle name="Style 41" xfId="5838"/>
    <cellStyle name="Style 42" xfId="5839"/>
    <cellStyle name="Style 43" xfId="5840"/>
    <cellStyle name="Style 44" xfId="5841"/>
    <cellStyle name="Style 45" xfId="5842"/>
    <cellStyle name="Style 46" xfId="5843"/>
    <cellStyle name="Style 47" xfId="5844"/>
    <cellStyle name="Style 48" xfId="5845"/>
    <cellStyle name="Style 49" xfId="5846"/>
    <cellStyle name="Style 5" xfId="5847"/>
    <cellStyle name="Style 50" xfId="5848"/>
    <cellStyle name="Style 51" xfId="5849"/>
    <cellStyle name="Style 52" xfId="5850"/>
    <cellStyle name="Style 53" xfId="5851"/>
    <cellStyle name="Style 54" xfId="5852"/>
    <cellStyle name="Style 55" xfId="5853"/>
    <cellStyle name="Style 56" xfId="5854"/>
    <cellStyle name="Style 57" xfId="5855"/>
    <cellStyle name="Style 58" xfId="5856"/>
    <cellStyle name="Style 59" xfId="5857"/>
    <cellStyle name="Style 6" xfId="5858"/>
    <cellStyle name="Style 60" xfId="5859"/>
    <cellStyle name="Style 61" xfId="5860"/>
    <cellStyle name="Style 62" xfId="5861"/>
    <cellStyle name="Style 63" xfId="5862"/>
    <cellStyle name="Style 64" xfId="5863"/>
    <cellStyle name="Style 65" xfId="5864"/>
    <cellStyle name="Style 66" xfId="5865"/>
    <cellStyle name="Style 67" xfId="5866"/>
    <cellStyle name="Style 68" xfId="5867"/>
    <cellStyle name="Style 69" xfId="5868"/>
    <cellStyle name="Style 7" xfId="5869"/>
    <cellStyle name="Style 70" xfId="5870"/>
    <cellStyle name="Style 71" xfId="5871"/>
    <cellStyle name="Style 72" xfId="5872"/>
    <cellStyle name="Style 73" xfId="5873"/>
    <cellStyle name="Style 74" xfId="5874"/>
    <cellStyle name="Style 75" xfId="5875"/>
    <cellStyle name="Style 76" xfId="5876"/>
    <cellStyle name="Style 77" xfId="5877"/>
    <cellStyle name="Style 78" xfId="5878"/>
    <cellStyle name="Style 79" xfId="5879"/>
    <cellStyle name="Style 8" xfId="5880"/>
    <cellStyle name="Style 80" xfId="5881"/>
    <cellStyle name="Style 81" xfId="5882"/>
    <cellStyle name="Style 82" xfId="5883"/>
    <cellStyle name="Style 83" xfId="5884"/>
    <cellStyle name="Style 84" xfId="5885"/>
    <cellStyle name="Style 85" xfId="5886"/>
    <cellStyle name="Style 86" xfId="5887"/>
    <cellStyle name="Style 87" xfId="5888"/>
    <cellStyle name="Style 88" xfId="5889"/>
    <cellStyle name="Style 89" xfId="5890"/>
    <cellStyle name="Style 9" xfId="5891"/>
    <cellStyle name="Style 90" xfId="5892"/>
    <cellStyle name="Style 91" xfId="5893"/>
    <cellStyle name="Style 92" xfId="5894"/>
    <cellStyle name="Style 93" xfId="5895"/>
    <cellStyle name="Style 94" xfId="5896"/>
    <cellStyle name="Style 95" xfId="5897"/>
    <cellStyle name="Style 96" xfId="5898"/>
    <cellStyle name="Style 97" xfId="5899"/>
    <cellStyle name="Style 98" xfId="5900"/>
    <cellStyle name="Style 99" xfId="5901"/>
    <cellStyle name="STYLE1" xfId="5902"/>
    <cellStyle name="STYLE2" xfId="5903"/>
    <cellStyle name="STYLE3" xfId="5904"/>
    <cellStyle name="Subhead" xfId="5905"/>
    <cellStyle name="Subtotal_left" xfId="5906"/>
    <cellStyle name="SwitchCell" xfId="5907"/>
    <cellStyle name="t" xfId="5908"/>
    <cellStyle name="Table Col Head" xfId="5909"/>
    <cellStyle name="Table Head" xfId="5910"/>
    <cellStyle name="Table Head Aligned" xfId="5911"/>
    <cellStyle name="Table Head Blue" xfId="5912"/>
    <cellStyle name="Table Head Green" xfId="5913"/>
    <cellStyle name="Table Head_Val_Sum_Graph" xfId="5914"/>
    <cellStyle name="Table Sub Head" xfId="5915"/>
    <cellStyle name="Table Text" xfId="5916"/>
    <cellStyle name="Table Title" xfId="5917"/>
    <cellStyle name="Table Units" xfId="5918"/>
    <cellStyle name="Table_Header" xfId="5919"/>
    <cellStyle name="TableBorder" xfId="5920"/>
    <cellStyle name="TableColumnHeader" xfId="5921"/>
    <cellStyle name="TableColumnHeader 2" xfId="5990"/>
    <cellStyle name="TableHeading" xfId="5922"/>
    <cellStyle name="TableHighlight" xfId="5923"/>
    <cellStyle name="TableNote" xfId="5924"/>
    <cellStyle name="test a style" xfId="5925"/>
    <cellStyle name="Text 1" xfId="5926"/>
    <cellStyle name="Text Head 1" xfId="5927"/>
    <cellStyle name="Text Indent A" xfId="5928"/>
    <cellStyle name="Text Indent B" xfId="5929"/>
    <cellStyle name="Text Indent C" xfId="5930"/>
    <cellStyle name="Text Wrap" xfId="5931"/>
    <cellStyle name="Time" xfId="5932"/>
    <cellStyle name="Times 10" xfId="5933"/>
    <cellStyle name="Times 12" xfId="5934"/>
    <cellStyle name="Times New Roman" xfId="5935"/>
    <cellStyle name="Title" xfId="6043" builtinId="15" customBuiltin="1"/>
    <cellStyle name="Title 2" xfId="1465"/>
    <cellStyle name="Title 2 2" xfId="1466"/>
    <cellStyle name="Title 2 2 2" xfId="5936"/>
    <cellStyle name="Title 3" xfId="1467"/>
    <cellStyle name="Title 3 2" xfId="5937"/>
    <cellStyle name="title1" xfId="5938"/>
    <cellStyle name="title2" xfId="5939"/>
    <cellStyle name="Title-2" xfId="5940"/>
    <cellStyle name="Titles" xfId="5941"/>
    <cellStyle name="titre_col" xfId="5942"/>
    <cellStyle name="TOC" xfId="5943"/>
    <cellStyle name="Total 10" xfId="1468"/>
    <cellStyle name="Total 11" xfId="1469"/>
    <cellStyle name="Total 12" xfId="1470"/>
    <cellStyle name="Total 13" xfId="1471"/>
    <cellStyle name="Total 14" xfId="1472"/>
    <cellStyle name="Total 15" xfId="1473"/>
    <cellStyle name="Total 16" xfId="1474"/>
    <cellStyle name="Total 16 2" xfId="6132"/>
    <cellStyle name="Total 2" xfId="1475"/>
    <cellStyle name="Total 2 10" xfId="5945"/>
    <cellStyle name="Total 2 11" xfId="5944"/>
    <cellStyle name="Total 2 12" xfId="5989"/>
    <cellStyle name="Total 2 2" xfId="1476"/>
    <cellStyle name="Total 2 2 2" xfId="5947"/>
    <cellStyle name="Total 2 2 3" xfId="5946"/>
    <cellStyle name="Total 2 2 4" xfId="5988"/>
    <cellStyle name="Total 2 3" xfId="5948"/>
    <cellStyle name="Total 2 4" xfId="5949"/>
    <cellStyle name="Total 2 5" xfId="5950"/>
    <cellStyle name="Total 2 6" xfId="5951"/>
    <cellStyle name="Total 2 7" xfId="5952"/>
    <cellStyle name="Total 2 8" xfId="5953"/>
    <cellStyle name="Total 2 9" xfId="5954"/>
    <cellStyle name="Total 3" xfId="1477"/>
    <cellStyle name="Total 3 2" xfId="5955"/>
    <cellStyle name="Total 4" xfId="1478"/>
    <cellStyle name="Total 5" xfId="1479"/>
    <cellStyle name="Total 6" xfId="1480"/>
    <cellStyle name="Total 7" xfId="1481"/>
    <cellStyle name="Total 8" xfId="1482"/>
    <cellStyle name="Total 9" xfId="1483"/>
    <cellStyle name="Total Bold" xfId="5956"/>
    <cellStyle name="Totals" xfId="5957"/>
    <cellStyle name="Underline_Single" xfId="5958"/>
    <cellStyle name="UnProtectedCalc" xfId="5959"/>
    <cellStyle name="Valuta (0)_Sheet1" xfId="5960"/>
    <cellStyle name="Valuta_piv_polio" xfId="5961"/>
    <cellStyle name="Währung [0]_A17 - 31.03.1998" xfId="5962"/>
    <cellStyle name="Währung_A17 - 31.03.1998" xfId="5963"/>
    <cellStyle name="Warburg" xfId="5964"/>
    <cellStyle name="Warning Text 10" xfId="1484"/>
    <cellStyle name="Warning Text 11" xfId="1485"/>
    <cellStyle name="Warning Text 12" xfId="1486"/>
    <cellStyle name="Warning Text 13" xfId="1487"/>
    <cellStyle name="Warning Text 14" xfId="1488"/>
    <cellStyle name="Warning Text 15" xfId="1489"/>
    <cellStyle name="Warning Text 16" xfId="1490"/>
    <cellStyle name="Warning Text 2" xfId="1491"/>
    <cellStyle name="Warning Text 2 10" xfId="5965"/>
    <cellStyle name="Warning Text 2 2" xfId="1492"/>
    <cellStyle name="Warning Text 2 2 2" xfId="5966"/>
    <cellStyle name="Warning Text 2 3" xfId="5967"/>
    <cellStyle name="Warning Text 2 4" xfId="5968"/>
    <cellStyle name="Warning Text 2 5" xfId="5969"/>
    <cellStyle name="Warning Text 2 6" xfId="5970"/>
    <cellStyle name="Warning Text 2 7" xfId="5971"/>
    <cellStyle name="Warning Text 2 8" xfId="5972"/>
    <cellStyle name="Warning Text 2 9" xfId="5973"/>
    <cellStyle name="Warning Text 3" xfId="1493"/>
    <cellStyle name="Warning Text 4" xfId="1494"/>
    <cellStyle name="Warning Text 5" xfId="1495"/>
    <cellStyle name="Warning Text 6" xfId="1496"/>
    <cellStyle name="Warning Text 7" xfId="1497"/>
    <cellStyle name="Warning Text 8" xfId="1498"/>
    <cellStyle name="Warning Text 9" xfId="1499"/>
    <cellStyle name="wild guess" xfId="5974"/>
    <cellStyle name="Wildguess" xfId="5975"/>
    <cellStyle name="Year" xfId="5976"/>
    <cellStyle name="Year Estimate" xfId="5977"/>
    <cellStyle name="Year, Actual" xfId="5978"/>
    <cellStyle name="YearE_ Pies " xfId="5979"/>
    <cellStyle name="YearFormat" xfId="5980"/>
    <cellStyle name="Yen" xfId="5981"/>
    <cellStyle name="YesNo" xfId="5982"/>
    <cellStyle name="쬞\?1@" xfId="5983"/>
    <cellStyle name="常规 2" xfId="5984"/>
    <cellStyle name="標準_car_JP" xfId="5985"/>
  </cellStyles>
  <dxfs count="91">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97F640"/>
      <color rgb="FFCCFFCC"/>
      <color rgb="FF4BEB3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9" Type="http://schemas.openxmlformats.org/officeDocument/2006/relationships/externalLink" Target="externalLinks/externalLink22.xml"/><Relationship Id="rId3" Type="http://schemas.openxmlformats.org/officeDocument/2006/relationships/worksheet" Target="worksheets/sheet3.xml"/><Relationship Id="rId21" Type="http://schemas.openxmlformats.org/officeDocument/2006/relationships/externalLink" Target="externalLinks/externalLink4.xml"/><Relationship Id="rId34" Type="http://schemas.openxmlformats.org/officeDocument/2006/relationships/externalLink" Target="externalLinks/externalLink17.xml"/><Relationship Id="rId42" Type="http://schemas.openxmlformats.org/officeDocument/2006/relationships/externalLink" Target="externalLinks/externalLink25.xml"/><Relationship Id="rId47" Type="http://schemas.openxmlformats.org/officeDocument/2006/relationships/externalLink" Target="externalLinks/externalLink30.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externalLink" Target="externalLinks/externalLink16.xml"/><Relationship Id="rId38" Type="http://schemas.openxmlformats.org/officeDocument/2006/relationships/externalLink" Target="externalLinks/externalLink21.xml"/><Relationship Id="rId46" Type="http://schemas.openxmlformats.org/officeDocument/2006/relationships/externalLink" Target="externalLinks/externalLink2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externalLink" Target="externalLinks/externalLink12.xml"/><Relationship Id="rId41" Type="http://schemas.openxmlformats.org/officeDocument/2006/relationships/externalLink" Target="externalLinks/externalLink2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externalLink" Target="externalLinks/externalLink15.xml"/><Relationship Id="rId37" Type="http://schemas.openxmlformats.org/officeDocument/2006/relationships/externalLink" Target="externalLinks/externalLink20.xml"/><Relationship Id="rId40" Type="http://schemas.openxmlformats.org/officeDocument/2006/relationships/externalLink" Target="externalLinks/externalLink23.xml"/><Relationship Id="rId45" Type="http://schemas.openxmlformats.org/officeDocument/2006/relationships/externalLink" Target="externalLinks/externalLink2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36" Type="http://schemas.openxmlformats.org/officeDocument/2006/relationships/externalLink" Target="externalLinks/externalLink19.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externalLink" Target="externalLinks/externalLink14.xml"/><Relationship Id="rId44" Type="http://schemas.openxmlformats.org/officeDocument/2006/relationships/externalLink" Target="externalLinks/externalLink27.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externalLink" Target="externalLinks/externalLink13.xml"/><Relationship Id="rId35" Type="http://schemas.openxmlformats.org/officeDocument/2006/relationships/externalLink" Target="externalLinks/externalLink18.xml"/><Relationship Id="rId43" Type="http://schemas.openxmlformats.org/officeDocument/2006/relationships/externalLink" Target="externalLinks/externalLink26.xml"/><Relationship Id="rId48" Type="http://schemas.openxmlformats.org/officeDocument/2006/relationships/externalLink" Target="externalLinks/externalLink31.xml"/><Relationship Id="rId8" Type="http://schemas.openxmlformats.org/officeDocument/2006/relationships/worksheet" Target="worksheets/sheet8.xml"/><Relationship Id="rId51"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latin typeface="Arial" panose="020B0604020202020204" pitchFamily="34" charset="0"/>
                <a:cs typeface="Arial" panose="020B0604020202020204" pitchFamily="34" charset="0"/>
              </a:defRPr>
            </a:pPr>
            <a:r>
              <a:rPr lang="en-US" sz="1100">
                <a:latin typeface="Arial" panose="020B0604020202020204" pitchFamily="34" charset="0"/>
                <a:cs typeface="Arial" panose="020B0604020202020204" pitchFamily="34" charset="0"/>
              </a:rPr>
              <a:t>Table</a:t>
            </a:r>
            <a:r>
              <a:rPr lang="en-US" sz="1100" baseline="0">
                <a:latin typeface="Arial" panose="020B0604020202020204" pitchFamily="34" charset="0"/>
                <a:cs typeface="Arial" panose="020B0604020202020204" pitchFamily="34" charset="0"/>
              </a:rPr>
              <a:t> 3.37: </a:t>
            </a:r>
            <a:r>
              <a:rPr lang="en-US" sz="1100">
                <a:latin typeface="Arial" panose="020B0604020202020204" pitchFamily="34" charset="0"/>
                <a:cs typeface="Arial" panose="020B0604020202020204" pitchFamily="34" charset="0"/>
              </a:rPr>
              <a:t>Average</a:t>
            </a:r>
            <a:r>
              <a:rPr lang="en-US" sz="1100" baseline="0">
                <a:latin typeface="Arial" panose="020B0604020202020204" pitchFamily="34" charset="0"/>
                <a:cs typeface="Arial" panose="020B0604020202020204" pitchFamily="34" charset="0"/>
              </a:rPr>
              <a:t> Consumption for GS &lt; 50 kW and Residential</a:t>
            </a:r>
            <a:endParaRPr lang="en-US" sz="1100">
              <a:latin typeface="Arial" panose="020B0604020202020204" pitchFamily="34" charset="0"/>
              <a:cs typeface="Arial" panose="020B0604020202020204" pitchFamily="34" charset="0"/>
            </a:endParaRPr>
          </a:p>
        </c:rich>
      </c:tx>
      <c:layout>
        <c:manualLayout>
          <c:xMode val="edge"/>
          <c:yMode val="edge"/>
          <c:x val="0.11280010364110565"/>
          <c:y val="3.0635386179891439E-2"/>
        </c:manualLayout>
      </c:layout>
    </c:title>
    <c:plotArea>
      <c:layout>
        <c:manualLayout>
          <c:layoutTarget val="inner"/>
          <c:xMode val="edge"/>
          <c:yMode val="edge"/>
          <c:x val="0.22514695540015719"/>
          <c:y val="0.109445864791464"/>
          <c:w val="0.55298207922664111"/>
          <c:h val="0.66610305290786065"/>
        </c:manualLayout>
      </c:layout>
      <c:lineChart>
        <c:grouping val="standard"/>
        <c:ser>
          <c:idx val="1"/>
          <c:order val="1"/>
          <c:tx>
            <c:v>GS &lt; 50 KW</c:v>
          </c:tx>
          <c:marker>
            <c:spPr>
              <a:ln>
                <a:noFill/>
              </a:ln>
            </c:spPr>
          </c:marker>
          <c:cat>
            <c:strRef>
              <c:f>'Exhibit 3 Tables 1'!$C$597:$H$597</c:f>
              <c:strCache>
                <c:ptCount val="6"/>
                <c:pt idx="0">
                  <c:v>2012 Board Approved</c:v>
                </c:pt>
                <c:pt idx="1">
                  <c:v>2012 Actual</c:v>
                </c:pt>
                <c:pt idx="2">
                  <c:v>2013 Actual</c:v>
                </c:pt>
                <c:pt idx="3">
                  <c:v>2014 Actual</c:v>
                </c:pt>
                <c:pt idx="4">
                  <c:v>2015 Actual</c:v>
                </c:pt>
                <c:pt idx="5">
                  <c:v>2016 Test Year</c:v>
                </c:pt>
              </c:strCache>
            </c:strRef>
          </c:cat>
          <c:val>
            <c:numRef>
              <c:f>'Exhibit 3 Tables 1'!$C$603:$H$603</c:f>
              <c:numCache>
                <c:formatCode>#,##0_);[Red]\(#,##0\)</c:formatCode>
                <c:ptCount val="6"/>
                <c:pt idx="0">
                  <c:v>2143.5601731601732</c:v>
                </c:pt>
                <c:pt idx="1">
                  <c:v>2128.6994588744587</c:v>
                </c:pt>
                <c:pt idx="2">
                  <c:v>2206.2131093544135</c:v>
                </c:pt>
                <c:pt idx="3">
                  <c:v>2292.1961759504861</c:v>
                </c:pt>
                <c:pt idx="4">
                  <c:v>2319.5342544923628</c:v>
                </c:pt>
                <c:pt idx="5" formatCode="_(* #,##0_);_(* \(#,##0\);_(* &quot;-&quot;??_);_(@_)">
                  <c:v>2291.5115940315318</c:v>
                </c:pt>
              </c:numCache>
            </c:numRef>
          </c:val>
        </c:ser>
        <c:marker val="1"/>
        <c:axId val="73152768"/>
        <c:axId val="73166848"/>
      </c:lineChart>
      <c:lineChart>
        <c:grouping val="standard"/>
        <c:ser>
          <c:idx val="0"/>
          <c:order val="0"/>
          <c:tx>
            <c:v>Residential</c:v>
          </c:tx>
          <c:cat>
            <c:strRef>
              <c:f>'Exhibit 3 Tables 1'!$C$597:$H$597</c:f>
              <c:strCache>
                <c:ptCount val="6"/>
                <c:pt idx="0">
                  <c:v>2012 Board Approved</c:v>
                </c:pt>
                <c:pt idx="1">
                  <c:v>2012 Actual</c:v>
                </c:pt>
                <c:pt idx="2">
                  <c:v>2013 Actual</c:v>
                </c:pt>
                <c:pt idx="3">
                  <c:v>2014 Actual</c:v>
                </c:pt>
                <c:pt idx="4">
                  <c:v>2015 Actual</c:v>
                </c:pt>
                <c:pt idx="5">
                  <c:v>2016 Test Year</c:v>
                </c:pt>
              </c:strCache>
            </c:strRef>
          </c:cat>
          <c:val>
            <c:numRef>
              <c:f>'Exhibit 3 Tables 1'!$C$600:$H$600</c:f>
              <c:numCache>
                <c:formatCode>#,##0_);[Red]\(#,##0\)</c:formatCode>
                <c:ptCount val="6"/>
                <c:pt idx="0">
                  <c:v>740.7038476874003</c:v>
                </c:pt>
                <c:pt idx="1">
                  <c:v>698.4574129353233</c:v>
                </c:pt>
                <c:pt idx="2">
                  <c:v>707.79275074478653</c:v>
                </c:pt>
                <c:pt idx="3">
                  <c:v>698.94556878306878</c:v>
                </c:pt>
                <c:pt idx="4">
                  <c:v>675.01502044585152</c:v>
                </c:pt>
                <c:pt idx="5" formatCode="_(* #,##0_);_(* \(#,##0\);_(* &quot;-&quot;??_);_(@_)">
                  <c:v>665.22124710773687</c:v>
                </c:pt>
              </c:numCache>
            </c:numRef>
          </c:val>
        </c:ser>
        <c:marker val="1"/>
        <c:axId val="73171328"/>
        <c:axId val="73169152"/>
      </c:lineChart>
      <c:catAx>
        <c:axId val="73152768"/>
        <c:scaling>
          <c:orientation val="minMax"/>
        </c:scaling>
        <c:axPos val="b"/>
        <c:tickLblPos val="nextTo"/>
        <c:crossAx val="73166848"/>
        <c:crosses val="autoZero"/>
        <c:auto val="1"/>
        <c:lblAlgn val="ctr"/>
        <c:lblOffset val="100"/>
      </c:catAx>
      <c:valAx>
        <c:axId val="73166848"/>
        <c:scaling>
          <c:orientation val="minMax"/>
          <c:max val="2400"/>
          <c:min val="2100"/>
        </c:scaling>
        <c:axPos val="l"/>
        <c:majorGridlines/>
        <c:title>
          <c:tx>
            <c:rich>
              <a:bodyPr rot="0" vert="horz"/>
              <a:lstStyle/>
              <a:p>
                <a:pPr>
                  <a:defRPr/>
                </a:pPr>
                <a:r>
                  <a:rPr lang="en-US"/>
                  <a:t>GS&lt;50 kW</a:t>
                </a:r>
              </a:p>
              <a:p>
                <a:pPr>
                  <a:defRPr/>
                </a:pPr>
                <a:r>
                  <a:rPr lang="en-US"/>
                  <a:t>kWh per Month </a:t>
                </a:r>
              </a:p>
            </c:rich>
          </c:tx>
          <c:layout>
            <c:manualLayout>
              <c:xMode val="edge"/>
              <c:yMode val="edge"/>
              <c:x val="8.8354754393358073E-4"/>
              <c:y val="0.43773693748830494"/>
            </c:manualLayout>
          </c:layout>
        </c:title>
        <c:numFmt formatCode="0_);[Red]\(0\)" sourceLinked="0"/>
        <c:tickLblPos val="nextTo"/>
        <c:txPr>
          <a:bodyPr/>
          <a:lstStyle/>
          <a:p>
            <a:pPr>
              <a:defRPr>
                <a:solidFill>
                  <a:srgbClr val="C00000"/>
                </a:solidFill>
              </a:defRPr>
            </a:pPr>
            <a:endParaRPr lang="en-US"/>
          </a:p>
        </c:txPr>
        <c:crossAx val="73152768"/>
        <c:crosses val="autoZero"/>
        <c:crossBetween val="between"/>
      </c:valAx>
      <c:valAx>
        <c:axId val="73169152"/>
        <c:scaling>
          <c:orientation val="minMax"/>
          <c:max val="750"/>
          <c:min val="670"/>
        </c:scaling>
        <c:axPos val="r"/>
        <c:title>
          <c:tx>
            <c:rich>
              <a:bodyPr rot="0" vert="horz"/>
              <a:lstStyle/>
              <a:p>
                <a:pPr>
                  <a:defRPr/>
                </a:pPr>
                <a:r>
                  <a:rPr lang="en-US"/>
                  <a:t>Residential</a:t>
                </a:r>
              </a:p>
              <a:p>
                <a:pPr>
                  <a:defRPr/>
                </a:pPr>
                <a:r>
                  <a:rPr lang="en-US"/>
                  <a:t>kWh per Month</a:t>
                </a:r>
              </a:p>
            </c:rich>
          </c:tx>
          <c:layout>
            <c:manualLayout>
              <c:xMode val="edge"/>
              <c:yMode val="edge"/>
              <c:x val="0.83724395806521412"/>
              <c:y val="0.45592725801577128"/>
            </c:manualLayout>
          </c:layout>
        </c:title>
        <c:numFmt formatCode="#,##0_);[Red]\(#,##0\)" sourceLinked="1"/>
        <c:tickLblPos val="nextTo"/>
        <c:txPr>
          <a:bodyPr/>
          <a:lstStyle/>
          <a:p>
            <a:pPr>
              <a:defRPr>
                <a:solidFill>
                  <a:schemeClr val="tx2"/>
                </a:solidFill>
              </a:defRPr>
            </a:pPr>
            <a:endParaRPr lang="en-US"/>
          </a:p>
        </c:txPr>
        <c:crossAx val="73171328"/>
        <c:crosses val="max"/>
        <c:crossBetween val="between"/>
      </c:valAx>
      <c:catAx>
        <c:axId val="73171328"/>
        <c:scaling>
          <c:orientation val="minMax"/>
        </c:scaling>
        <c:delete val="1"/>
        <c:axPos val="b"/>
        <c:tickLblPos val="none"/>
        <c:crossAx val="73169152"/>
        <c:crosses val="autoZero"/>
        <c:auto val="1"/>
        <c:lblAlgn val="ctr"/>
        <c:lblOffset val="100"/>
      </c:catAx>
    </c:plotArea>
    <c:legend>
      <c:legendPos val="t"/>
      <c:layout>
        <c:manualLayout>
          <c:xMode val="edge"/>
          <c:yMode val="edge"/>
          <c:x val="0.30579447029144846"/>
          <c:y val="0.13804050004945081"/>
          <c:w val="0.3608595465754374"/>
          <c:h val="7.6058495886304214E-2"/>
        </c:manualLayout>
      </c:layout>
    </c:legend>
    <c:plotVisOnly val="1"/>
    <c:dispBlanksAs val="gap"/>
  </c:chart>
  <c:printSettings>
    <c:headerFooter/>
    <c:pageMargins b="0.750000000000001" l="0.70000000000000062" r="0.70000000000000062" t="0.75000000000000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lrMapOvr bg1="lt1" tx1="dk1" bg2="lt2" tx2="dk2" accent1="accent1" accent2="accent2" accent3="accent3" accent4="accent4" accent5="accent5" accent6="accent6" hlink="hlink" folHlink="folHlink"/>
  <c:chart>
    <c:title>
      <c:tx>
        <c:rich>
          <a:bodyPr/>
          <a:lstStyle/>
          <a:p>
            <a:pPr>
              <a:defRPr sz="1100">
                <a:latin typeface="Arial" panose="020B0604020202020204" pitchFamily="34" charset="0"/>
                <a:cs typeface="Arial" panose="020B0604020202020204" pitchFamily="34" charset="0"/>
              </a:defRPr>
            </a:pPr>
            <a:r>
              <a:rPr lang="en-US" sz="1100" b="1" i="0" u="none" strike="noStrike" baseline="0">
                <a:effectLst/>
                <a:latin typeface="Arial" panose="020B0604020202020204" pitchFamily="34" charset="0"/>
                <a:cs typeface="Arial" panose="020B0604020202020204" pitchFamily="34" charset="0"/>
              </a:rPr>
              <a:t>Table 3.38: </a:t>
            </a:r>
            <a:r>
              <a:rPr lang="en-US" sz="1100">
                <a:latin typeface="Arial" panose="020B0604020202020204" pitchFamily="34" charset="0"/>
                <a:cs typeface="Arial" panose="020B0604020202020204" pitchFamily="34" charset="0"/>
              </a:rPr>
              <a:t>Average</a:t>
            </a:r>
            <a:r>
              <a:rPr lang="en-US" sz="1100" baseline="0">
                <a:latin typeface="Arial" panose="020B0604020202020204" pitchFamily="34" charset="0"/>
                <a:cs typeface="Arial" panose="020B0604020202020204" pitchFamily="34" charset="0"/>
              </a:rPr>
              <a:t> Consumption for GS 50 to 4,999 kW</a:t>
            </a:r>
            <a:endParaRPr lang="en-US" sz="1100">
              <a:latin typeface="Arial" panose="020B0604020202020204" pitchFamily="34" charset="0"/>
              <a:cs typeface="Arial" panose="020B0604020202020204" pitchFamily="34" charset="0"/>
            </a:endParaRPr>
          </a:p>
        </c:rich>
      </c:tx>
    </c:title>
    <c:plotArea>
      <c:layout>
        <c:manualLayout>
          <c:layoutTarget val="inner"/>
          <c:xMode val="edge"/>
          <c:yMode val="edge"/>
          <c:x val="0.25190643924575035"/>
          <c:y val="0.17484416357210317"/>
          <c:w val="0.55298207922664111"/>
          <c:h val="0.61263211501547465"/>
        </c:manualLayout>
      </c:layout>
      <c:lineChart>
        <c:grouping val="standard"/>
        <c:ser>
          <c:idx val="1"/>
          <c:order val="1"/>
          <c:tx>
            <c:v>kWh per Month</c:v>
          </c:tx>
          <c:marker>
            <c:spPr>
              <a:ln>
                <a:noFill/>
              </a:ln>
            </c:spPr>
          </c:marker>
          <c:cat>
            <c:strRef>
              <c:f>'Exhibit 3 Tables 1'!$C$597:$H$597</c:f>
              <c:strCache>
                <c:ptCount val="6"/>
                <c:pt idx="0">
                  <c:v>2012 Board Approved</c:v>
                </c:pt>
                <c:pt idx="1">
                  <c:v>2012 Actual</c:v>
                </c:pt>
                <c:pt idx="2">
                  <c:v>2013 Actual</c:v>
                </c:pt>
                <c:pt idx="3">
                  <c:v>2014 Actual</c:v>
                </c:pt>
                <c:pt idx="4">
                  <c:v>2015 Actual</c:v>
                </c:pt>
                <c:pt idx="5">
                  <c:v>2016 Test Year</c:v>
                </c:pt>
              </c:strCache>
            </c:strRef>
          </c:cat>
          <c:val>
            <c:numRef>
              <c:f>'Exhibit 3 Tables 1'!$C$606:$H$606</c:f>
              <c:numCache>
                <c:formatCode>#,##0_);[Red]\(#,##0\)</c:formatCode>
                <c:ptCount val="6"/>
                <c:pt idx="0">
                  <c:v>48189.900252525251</c:v>
                </c:pt>
                <c:pt idx="1">
                  <c:v>52922.881840796013</c:v>
                </c:pt>
                <c:pt idx="2">
                  <c:v>54162.183333333327</c:v>
                </c:pt>
                <c:pt idx="3">
                  <c:v>55448.458333333336</c:v>
                </c:pt>
                <c:pt idx="4">
                  <c:v>53278.74609375</c:v>
                </c:pt>
                <c:pt idx="5" formatCode="_(* #,##0_);_(* \(#,##0\);_(* &quot;-&quot;??_);_(@_)">
                  <c:v>51375.024739583336</c:v>
                </c:pt>
              </c:numCache>
            </c:numRef>
          </c:val>
        </c:ser>
        <c:marker val="1"/>
        <c:axId val="73357184"/>
        <c:axId val="73358720"/>
      </c:lineChart>
      <c:lineChart>
        <c:grouping val="standard"/>
        <c:ser>
          <c:idx val="0"/>
          <c:order val="0"/>
          <c:tx>
            <c:v>kW</c:v>
          </c:tx>
          <c:cat>
            <c:strRef>
              <c:f>'Exhibit 3 Tables 1'!$C$597:$H$597</c:f>
              <c:strCache>
                <c:ptCount val="6"/>
                <c:pt idx="0">
                  <c:v>2012 Board Approved</c:v>
                </c:pt>
                <c:pt idx="1">
                  <c:v>2012 Actual</c:v>
                </c:pt>
                <c:pt idx="2">
                  <c:v>2013 Actual</c:v>
                </c:pt>
                <c:pt idx="3">
                  <c:v>2014 Actual</c:v>
                </c:pt>
                <c:pt idx="4">
                  <c:v>2015 Actual</c:v>
                </c:pt>
                <c:pt idx="5">
                  <c:v>2016 Test Year</c:v>
                </c:pt>
              </c:strCache>
            </c:strRef>
          </c:cat>
          <c:val>
            <c:numRef>
              <c:f>'Exhibit 3 Tables 1'!$C$607:$H$607</c:f>
              <c:numCache>
                <c:formatCode>#,##0_);[Red]\(#,##0\)</c:formatCode>
                <c:ptCount val="6"/>
                <c:pt idx="0">
                  <c:v>1918.969696969697</c:v>
                </c:pt>
                <c:pt idx="1">
                  <c:v>1872.6716417910447</c:v>
                </c:pt>
                <c:pt idx="2">
                  <c:v>2048.4307692307693</c:v>
                </c:pt>
                <c:pt idx="3">
                  <c:v>2061.671875</c:v>
                </c:pt>
                <c:pt idx="4">
                  <c:v>1964.600625</c:v>
                </c:pt>
                <c:pt idx="5">
                  <c:v>1804.328125</c:v>
                </c:pt>
              </c:numCache>
            </c:numRef>
          </c:val>
        </c:ser>
        <c:marker val="1"/>
        <c:axId val="73371008"/>
        <c:axId val="73369088"/>
      </c:lineChart>
      <c:catAx>
        <c:axId val="73357184"/>
        <c:scaling>
          <c:orientation val="minMax"/>
        </c:scaling>
        <c:axPos val="b"/>
        <c:tickLblPos val="nextTo"/>
        <c:crossAx val="73358720"/>
        <c:crosses val="autoZero"/>
        <c:auto val="1"/>
        <c:lblAlgn val="ctr"/>
        <c:lblOffset val="100"/>
      </c:catAx>
      <c:valAx>
        <c:axId val="73358720"/>
        <c:scaling>
          <c:orientation val="minMax"/>
          <c:min val="47000"/>
        </c:scaling>
        <c:axPos val="l"/>
        <c:majorGridlines/>
        <c:title>
          <c:tx>
            <c:rich>
              <a:bodyPr rot="0" vert="horz"/>
              <a:lstStyle/>
              <a:p>
                <a:pPr>
                  <a:defRPr>
                    <a:solidFill>
                      <a:sysClr val="windowText" lastClr="000000"/>
                    </a:solidFill>
                  </a:defRPr>
                </a:pPr>
                <a:r>
                  <a:rPr lang="en-US">
                    <a:solidFill>
                      <a:sysClr val="windowText" lastClr="000000"/>
                    </a:solidFill>
                  </a:rPr>
                  <a:t>kWh per Month</a:t>
                </a:r>
              </a:p>
            </c:rich>
          </c:tx>
          <c:layout>
            <c:manualLayout>
              <c:xMode val="edge"/>
              <c:yMode val="edge"/>
              <c:x val="1.4706561372400027E-2"/>
              <c:y val="0.45753792353345496"/>
            </c:manualLayout>
          </c:layout>
        </c:title>
        <c:numFmt formatCode="_(* #,##0_);_(* \(#,##0\);_(* &quot;-&quot;??_);_(@_)" sourceLinked="0"/>
        <c:tickLblPos val="nextTo"/>
        <c:spPr>
          <a:ln>
            <a:solidFill>
              <a:srgbClr val="C00000"/>
            </a:solidFill>
          </a:ln>
        </c:spPr>
        <c:txPr>
          <a:bodyPr/>
          <a:lstStyle/>
          <a:p>
            <a:pPr>
              <a:defRPr>
                <a:solidFill>
                  <a:srgbClr val="C00000"/>
                </a:solidFill>
              </a:defRPr>
            </a:pPr>
            <a:endParaRPr lang="en-US"/>
          </a:p>
        </c:txPr>
        <c:crossAx val="73357184"/>
        <c:crosses val="autoZero"/>
        <c:crossBetween val="between"/>
        <c:majorUnit val="2000"/>
      </c:valAx>
      <c:valAx>
        <c:axId val="73369088"/>
        <c:scaling>
          <c:orientation val="minMax"/>
          <c:min val="1800"/>
        </c:scaling>
        <c:axPos val="r"/>
        <c:title>
          <c:tx>
            <c:rich>
              <a:bodyPr rot="0" vert="horz"/>
              <a:lstStyle/>
              <a:p>
                <a:pPr>
                  <a:defRPr/>
                </a:pPr>
                <a:r>
                  <a:rPr lang="en-US"/>
                  <a:t>kW</a:t>
                </a:r>
              </a:p>
            </c:rich>
          </c:tx>
          <c:layout>
            <c:manualLayout>
              <c:xMode val="edge"/>
              <c:yMode val="edge"/>
              <c:x val="0.90280193326630465"/>
              <c:y val="0.4778545020053318"/>
            </c:manualLayout>
          </c:layout>
        </c:title>
        <c:numFmt formatCode="#,##0_);[Red]\(#,##0\)" sourceLinked="1"/>
        <c:tickLblPos val="nextTo"/>
        <c:spPr>
          <a:ln>
            <a:solidFill>
              <a:srgbClr val="1F497D"/>
            </a:solidFill>
          </a:ln>
        </c:spPr>
        <c:txPr>
          <a:bodyPr/>
          <a:lstStyle/>
          <a:p>
            <a:pPr>
              <a:defRPr>
                <a:solidFill>
                  <a:schemeClr val="tx2"/>
                </a:solidFill>
              </a:defRPr>
            </a:pPr>
            <a:endParaRPr lang="en-US"/>
          </a:p>
        </c:txPr>
        <c:crossAx val="73371008"/>
        <c:crosses val="max"/>
        <c:crossBetween val="between"/>
      </c:valAx>
      <c:catAx>
        <c:axId val="73371008"/>
        <c:scaling>
          <c:orientation val="minMax"/>
        </c:scaling>
        <c:delete val="1"/>
        <c:axPos val="b"/>
        <c:tickLblPos val="none"/>
        <c:crossAx val="73369088"/>
        <c:crosses val="autoZero"/>
        <c:auto val="1"/>
        <c:lblAlgn val="ctr"/>
        <c:lblOffset val="100"/>
      </c:catAx>
    </c:plotArea>
    <c:legend>
      <c:legendPos val="t"/>
      <c:layout>
        <c:manualLayout>
          <c:xMode val="edge"/>
          <c:yMode val="edge"/>
          <c:x val="0.36053508796733935"/>
          <c:y val="0.17958083105071784"/>
          <c:w val="0.30628483020509234"/>
          <c:h val="5.6333049688951906E-2"/>
        </c:manualLayout>
      </c:layout>
    </c:legend>
    <c:plotVisOnly val="1"/>
    <c:dispBlanksAs val="gap"/>
  </c:chart>
  <c:printSettings>
    <c:headerFooter/>
    <c:pageMargins b="0.750000000000001" l="0.70000000000000062" r="0.70000000000000062" t="0.75000000000000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lrMapOvr bg1="lt1" tx1="dk1" bg2="lt2" tx2="dk2" accent1="accent1" accent2="accent2" accent3="accent3" accent4="accent4" accent5="accent5" accent6="accent6" hlink="hlink" folHlink="folHlink"/>
  <c:chart>
    <c:title>
      <c:tx>
        <c:rich>
          <a:bodyPr/>
          <a:lstStyle/>
          <a:p>
            <a:pPr>
              <a:defRPr sz="1100">
                <a:solidFill>
                  <a:sysClr val="windowText" lastClr="000000"/>
                </a:solidFill>
                <a:latin typeface="Arial" panose="020B0604020202020204" pitchFamily="34" charset="0"/>
                <a:cs typeface="Arial" panose="020B0604020202020204" pitchFamily="34" charset="0"/>
              </a:defRPr>
            </a:pPr>
            <a:r>
              <a:rPr lang="en-US" sz="1100" b="1" i="0" u="none" strike="noStrike" baseline="0">
                <a:solidFill>
                  <a:sysClr val="windowText" lastClr="000000"/>
                </a:solidFill>
                <a:effectLst/>
                <a:latin typeface="Arial" panose="020B0604020202020204" pitchFamily="34" charset="0"/>
                <a:cs typeface="Arial" panose="020B0604020202020204" pitchFamily="34" charset="0"/>
              </a:rPr>
              <a:t>Table 3.39: </a:t>
            </a:r>
            <a:r>
              <a:rPr lang="en-US" sz="1100">
                <a:solidFill>
                  <a:sysClr val="windowText" lastClr="000000"/>
                </a:solidFill>
                <a:latin typeface="Arial" panose="020B0604020202020204" pitchFamily="34" charset="0"/>
                <a:cs typeface="Arial" panose="020B0604020202020204" pitchFamily="34" charset="0"/>
              </a:rPr>
              <a:t>Average Consumption for Street Lights</a:t>
            </a:r>
          </a:p>
        </c:rich>
      </c:tx>
    </c:title>
    <c:plotArea>
      <c:layout>
        <c:manualLayout>
          <c:layoutTarget val="inner"/>
          <c:xMode val="edge"/>
          <c:yMode val="edge"/>
          <c:x val="0.21827201058335521"/>
          <c:y val="0.10543067725588121"/>
          <c:w val="0.57985114780077462"/>
          <c:h val="0.57926806729971503"/>
        </c:manualLayout>
      </c:layout>
      <c:lineChart>
        <c:grouping val="standard"/>
        <c:ser>
          <c:idx val="0"/>
          <c:order val="1"/>
          <c:tx>
            <c:v>kW</c:v>
          </c:tx>
          <c:cat>
            <c:strRef>
              <c:f>'Exhibit 3 Tables 1'!$C$597:$H$597</c:f>
              <c:strCache>
                <c:ptCount val="6"/>
                <c:pt idx="0">
                  <c:v>2012 Board Approved</c:v>
                </c:pt>
                <c:pt idx="1">
                  <c:v>2012 Actual</c:v>
                </c:pt>
                <c:pt idx="2">
                  <c:v>2013 Actual</c:v>
                </c:pt>
                <c:pt idx="3">
                  <c:v>2014 Actual</c:v>
                </c:pt>
                <c:pt idx="4">
                  <c:v>2015 Actual</c:v>
                </c:pt>
                <c:pt idx="5">
                  <c:v>2016 Test Year</c:v>
                </c:pt>
              </c:strCache>
            </c:strRef>
          </c:cat>
          <c:val>
            <c:numRef>
              <c:f>'Exhibit 3 Tables 1'!$C$609:$H$609</c:f>
              <c:numCache>
                <c:formatCode>#,##0_);[Red]\(#,##0\)</c:formatCode>
                <c:ptCount val="6"/>
                <c:pt idx="0">
                  <c:v>70.300468110005852</c:v>
                </c:pt>
                <c:pt idx="1">
                  <c:v>71.139557643374431</c:v>
                </c:pt>
                <c:pt idx="2">
                  <c:v>70.655291935168904</c:v>
                </c:pt>
                <c:pt idx="3">
                  <c:v>64.514010935364183</c:v>
                </c:pt>
                <c:pt idx="4">
                  <c:v>51.270114942528743</c:v>
                </c:pt>
                <c:pt idx="5" formatCode="_(* #,##0_);_(* \(#,##0\);_(* &quot;-&quot;??_);_(@_)">
                  <c:v>37.656243911942333</c:v>
                </c:pt>
              </c:numCache>
            </c:numRef>
          </c:val>
        </c:ser>
        <c:marker val="1"/>
        <c:axId val="73434240"/>
        <c:axId val="73435776"/>
      </c:lineChart>
      <c:lineChart>
        <c:grouping val="standard"/>
        <c:ser>
          <c:idx val="1"/>
          <c:order val="0"/>
          <c:tx>
            <c:v>kWh per Month</c:v>
          </c:tx>
          <c:cat>
            <c:strRef>
              <c:f>'Exhibit 3 Tables 1'!$C$597:$H$597</c:f>
              <c:strCache>
                <c:ptCount val="6"/>
                <c:pt idx="0">
                  <c:v>2012 Board Approved</c:v>
                </c:pt>
                <c:pt idx="1">
                  <c:v>2012 Actual</c:v>
                </c:pt>
                <c:pt idx="2">
                  <c:v>2013 Actual</c:v>
                </c:pt>
                <c:pt idx="3">
                  <c:v>2014 Actual</c:v>
                </c:pt>
                <c:pt idx="4">
                  <c:v>2015 Actual</c:v>
                </c:pt>
                <c:pt idx="5">
                  <c:v>2016 Test Year</c:v>
                </c:pt>
              </c:strCache>
            </c:strRef>
          </c:cat>
          <c:val>
            <c:numRef>
              <c:f>'Exhibit 3 Tables 1'!$C$610:$H$610</c:f>
              <c:numCache>
                <c:formatCode>#,##0.00_);[Red]\(#,##0.00\)</c:formatCode>
                <c:ptCount val="6"/>
                <c:pt idx="0">
                  <c:v>2.2486834406085432</c:v>
                </c:pt>
                <c:pt idx="1">
                  <c:v>2.3012331180270111</c:v>
                </c:pt>
                <c:pt idx="2" formatCode="#,##0_);[Red]\(#,##0\)">
                  <c:v>2.2964264792032805</c:v>
                </c:pt>
                <c:pt idx="3">
                  <c:v>2.1206795547744579</c:v>
                </c:pt>
                <c:pt idx="4">
                  <c:v>1.6724722384570425</c:v>
                </c:pt>
                <c:pt idx="5">
                  <c:v>1.2098188194038575</c:v>
                </c:pt>
              </c:numCache>
            </c:numRef>
          </c:val>
        </c:ser>
        <c:marker val="1"/>
        <c:axId val="73472640"/>
        <c:axId val="73470720"/>
      </c:lineChart>
      <c:catAx>
        <c:axId val="73434240"/>
        <c:scaling>
          <c:orientation val="minMax"/>
        </c:scaling>
        <c:axPos val="b"/>
        <c:tickLblPos val="nextTo"/>
        <c:txPr>
          <a:bodyPr/>
          <a:lstStyle/>
          <a:p>
            <a:pPr algn="ctr" rtl="0">
              <a:defRPr lang="en-US" sz="1000" b="0" i="0" u="none" strike="noStrike" kern="1200" baseline="0">
                <a:solidFill>
                  <a:sysClr val="windowText" lastClr="000000"/>
                </a:solidFill>
                <a:effectLst/>
                <a:latin typeface="+mn-lt"/>
                <a:ea typeface="+mn-ea"/>
                <a:cs typeface="Arial" panose="020B0604020202020204" pitchFamily="34" charset="0"/>
              </a:defRPr>
            </a:pPr>
            <a:endParaRPr lang="en-US"/>
          </a:p>
        </c:txPr>
        <c:crossAx val="73435776"/>
        <c:crosses val="autoZero"/>
        <c:auto val="1"/>
        <c:lblAlgn val="ctr"/>
        <c:lblOffset val="100"/>
      </c:catAx>
      <c:valAx>
        <c:axId val="73435776"/>
        <c:scaling>
          <c:orientation val="minMax"/>
          <c:max val="75"/>
          <c:min val="35"/>
        </c:scaling>
        <c:axPos val="l"/>
        <c:majorGridlines/>
        <c:title>
          <c:tx>
            <c:rich>
              <a:bodyPr rot="0" vert="horz"/>
              <a:lstStyle/>
              <a:p>
                <a:pPr>
                  <a:defRPr>
                    <a:solidFill>
                      <a:sysClr val="windowText" lastClr="000000"/>
                    </a:solidFill>
                  </a:defRPr>
                </a:pPr>
                <a:r>
                  <a:rPr lang="en-US">
                    <a:solidFill>
                      <a:sysClr val="windowText" lastClr="000000"/>
                    </a:solidFill>
                  </a:rPr>
                  <a:t>kWh per Month</a:t>
                </a:r>
              </a:p>
            </c:rich>
          </c:tx>
          <c:layout>
            <c:manualLayout>
              <c:xMode val="edge"/>
              <c:yMode val="edge"/>
              <c:x val="6.8742080263327438E-5"/>
              <c:y val="0.41372149663454588"/>
            </c:manualLayout>
          </c:layout>
        </c:title>
        <c:numFmt formatCode="0_);[Red]\(0\)" sourceLinked="0"/>
        <c:tickLblPos val="nextTo"/>
        <c:spPr>
          <a:ln>
            <a:solidFill>
              <a:srgbClr val="C00000"/>
            </a:solidFill>
          </a:ln>
        </c:spPr>
        <c:txPr>
          <a:bodyPr/>
          <a:lstStyle/>
          <a:p>
            <a:pPr>
              <a:defRPr>
                <a:solidFill>
                  <a:srgbClr val="C00000"/>
                </a:solidFill>
              </a:defRPr>
            </a:pPr>
            <a:endParaRPr lang="en-US"/>
          </a:p>
        </c:txPr>
        <c:crossAx val="73434240"/>
        <c:crosses val="autoZero"/>
        <c:crossBetween val="between"/>
        <c:majorUnit val="5"/>
      </c:valAx>
      <c:valAx>
        <c:axId val="73470720"/>
        <c:scaling>
          <c:orientation val="minMax"/>
          <c:max val="2.5"/>
          <c:min val="1"/>
        </c:scaling>
        <c:axPos val="r"/>
        <c:title>
          <c:tx>
            <c:rich>
              <a:bodyPr rot="0" vert="horz"/>
              <a:lstStyle/>
              <a:p>
                <a:pPr>
                  <a:defRPr>
                    <a:solidFill>
                      <a:sysClr val="windowText" lastClr="000000"/>
                    </a:solidFill>
                  </a:defRPr>
                </a:pPr>
                <a:r>
                  <a:rPr lang="en-US">
                    <a:solidFill>
                      <a:sysClr val="windowText" lastClr="000000"/>
                    </a:solidFill>
                  </a:rPr>
                  <a:t>kW </a:t>
                </a:r>
              </a:p>
            </c:rich>
          </c:tx>
          <c:layout>
            <c:manualLayout>
              <c:xMode val="edge"/>
              <c:yMode val="edge"/>
              <c:x val="0.87944284543946571"/>
              <c:y val="0.42453173383068132"/>
            </c:manualLayout>
          </c:layout>
        </c:title>
        <c:numFmt formatCode="#,##0.0_);[Red]\(#,##0.0\)" sourceLinked="0"/>
        <c:tickLblPos val="nextTo"/>
        <c:spPr>
          <a:ln>
            <a:solidFill>
              <a:srgbClr val="1F497D"/>
            </a:solidFill>
          </a:ln>
        </c:spPr>
        <c:crossAx val="73472640"/>
        <c:crosses val="max"/>
        <c:crossBetween val="between"/>
      </c:valAx>
      <c:catAx>
        <c:axId val="73472640"/>
        <c:scaling>
          <c:orientation val="minMax"/>
        </c:scaling>
        <c:delete val="1"/>
        <c:axPos val="b"/>
        <c:tickLblPos val="none"/>
        <c:crossAx val="73470720"/>
        <c:crosses val="autoZero"/>
        <c:auto val="1"/>
        <c:lblAlgn val="ctr"/>
        <c:lblOffset val="100"/>
      </c:catAx>
    </c:plotArea>
    <c:legend>
      <c:legendPos val="t"/>
      <c:layout>
        <c:manualLayout>
          <c:xMode val="edge"/>
          <c:yMode val="edge"/>
          <c:x val="0.23910369412778626"/>
          <c:y val="0.34515183141697819"/>
          <c:w val="0.34745339953524973"/>
          <c:h val="5.7260036350242349E-2"/>
        </c:manualLayout>
      </c:layout>
    </c:legend>
    <c:plotVisOnly val="1"/>
    <c:dispBlanksAs val="gap"/>
  </c:chart>
  <c:txPr>
    <a:bodyPr/>
    <a:lstStyle/>
    <a:p>
      <a:pPr>
        <a:defRPr>
          <a:solidFill>
            <a:schemeClr val="tx2"/>
          </a:solidFill>
        </a:defRPr>
      </a:pPr>
      <a:endParaRPr lang="en-US"/>
    </a:p>
  </c:txPr>
  <c:printSettings>
    <c:headerFooter/>
    <c:pageMargins b="0.750000000000001" l="0.70000000000000062" r="0.70000000000000062" t="0.75000000000000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latin typeface="Arial" panose="020B0604020202020204" pitchFamily="34" charset="0"/>
                <a:cs typeface="Arial" panose="020B0604020202020204" pitchFamily="34" charset="0"/>
              </a:defRPr>
            </a:pPr>
            <a:r>
              <a:rPr lang="en-US" sz="1100" b="1" i="0" u="none" strike="noStrike" baseline="0">
                <a:effectLst/>
                <a:latin typeface="Arial" panose="020B0604020202020204" pitchFamily="34" charset="0"/>
                <a:cs typeface="Arial" panose="020B0604020202020204" pitchFamily="34" charset="0"/>
              </a:rPr>
              <a:t>Table 3.40: </a:t>
            </a:r>
            <a:r>
              <a:rPr lang="en-US" sz="1100">
                <a:latin typeface="Arial" panose="020B0604020202020204" pitchFamily="34" charset="0"/>
                <a:cs typeface="Arial" panose="020B0604020202020204" pitchFamily="34" charset="0"/>
              </a:rPr>
              <a:t>Average Consumption for Sentinel Lights</a:t>
            </a:r>
          </a:p>
        </c:rich>
      </c:tx>
    </c:title>
    <c:plotArea>
      <c:layout>
        <c:manualLayout>
          <c:layoutTarget val="inner"/>
          <c:xMode val="edge"/>
          <c:yMode val="edge"/>
          <c:x val="0.23519430236236388"/>
          <c:y val="0.1441575838346984"/>
          <c:w val="0.58730598094479736"/>
          <c:h val="0.63704590215226065"/>
        </c:manualLayout>
      </c:layout>
      <c:lineChart>
        <c:grouping val="standard"/>
        <c:ser>
          <c:idx val="0"/>
          <c:order val="0"/>
          <c:tx>
            <c:v>kWh per Month</c:v>
          </c:tx>
          <c:spPr>
            <a:ln>
              <a:solidFill>
                <a:srgbClr val="C00000"/>
              </a:solidFill>
            </a:ln>
          </c:spPr>
          <c:marker>
            <c:spPr>
              <a:solidFill>
                <a:srgbClr val="C00000"/>
              </a:solidFill>
            </c:spPr>
          </c:marker>
          <c:cat>
            <c:strRef>
              <c:f>'Exhibit 3 Tables 1'!$C$597:$H$597</c:f>
              <c:strCache>
                <c:ptCount val="6"/>
                <c:pt idx="0">
                  <c:v>2012 Board Approved</c:v>
                </c:pt>
                <c:pt idx="1">
                  <c:v>2012 Actual</c:v>
                </c:pt>
                <c:pt idx="2">
                  <c:v>2013 Actual</c:v>
                </c:pt>
                <c:pt idx="3">
                  <c:v>2014 Actual</c:v>
                </c:pt>
                <c:pt idx="4">
                  <c:v>2015 Actual</c:v>
                </c:pt>
                <c:pt idx="5">
                  <c:v>2016 Test Year</c:v>
                </c:pt>
              </c:strCache>
            </c:strRef>
          </c:cat>
          <c:val>
            <c:numRef>
              <c:f>'Exhibit 3 Tables 1'!$C$612:$H$612</c:f>
              <c:numCache>
                <c:formatCode>#,##0_);[Red]\(#,##0\)</c:formatCode>
                <c:ptCount val="6"/>
                <c:pt idx="0">
                  <c:v>120.30777777777779</c:v>
                </c:pt>
                <c:pt idx="1">
                  <c:v>120.29555555555555</c:v>
                </c:pt>
                <c:pt idx="2">
                  <c:v>120.31222222222222</c:v>
                </c:pt>
                <c:pt idx="3">
                  <c:v>121.44666666666666</c:v>
                </c:pt>
                <c:pt idx="4">
                  <c:v>121.66888888888889</c:v>
                </c:pt>
                <c:pt idx="5" formatCode="_(* #,##0_);_(* \(#,##0\);_(* &quot;-&quot;??_);_(@_)">
                  <c:v>121.90753424657534</c:v>
                </c:pt>
              </c:numCache>
            </c:numRef>
          </c:val>
        </c:ser>
        <c:marker val="1"/>
        <c:axId val="73490432"/>
        <c:axId val="73492352"/>
      </c:lineChart>
      <c:lineChart>
        <c:grouping val="standard"/>
        <c:ser>
          <c:idx val="1"/>
          <c:order val="1"/>
          <c:tx>
            <c:v>kW</c:v>
          </c:tx>
          <c:spPr>
            <a:ln>
              <a:solidFill>
                <a:schemeClr val="tx2"/>
              </a:solidFill>
            </a:ln>
          </c:spPr>
          <c:marker>
            <c:spPr>
              <a:solidFill>
                <a:schemeClr val="tx2"/>
              </a:solidFill>
            </c:spPr>
          </c:marker>
          <c:cat>
            <c:strRef>
              <c:f>'Exhibit 3 Tables 1'!$C$597:$H$597</c:f>
              <c:strCache>
                <c:ptCount val="6"/>
                <c:pt idx="0">
                  <c:v>2012 Board Approved</c:v>
                </c:pt>
                <c:pt idx="1">
                  <c:v>2012 Actual</c:v>
                </c:pt>
                <c:pt idx="2">
                  <c:v>2013 Actual</c:v>
                </c:pt>
                <c:pt idx="3">
                  <c:v>2014 Actual</c:v>
                </c:pt>
                <c:pt idx="4">
                  <c:v>2015 Actual</c:v>
                </c:pt>
                <c:pt idx="5">
                  <c:v>2016 Test Year</c:v>
                </c:pt>
              </c:strCache>
            </c:strRef>
          </c:cat>
          <c:val>
            <c:numRef>
              <c:f>'Exhibit 3 Tables 1'!$C$613:$H$613</c:f>
              <c:numCache>
                <c:formatCode>#,##0.00_);[Red]\(#,##0.00\)</c:formatCode>
                <c:ptCount val="6"/>
                <c:pt idx="0">
                  <c:v>4.0133333333333336</c:v>
                </c:pt>
                <c:pt idx="1">
                  <c:v>4</c:v>
                </c:pt>
                <c:pt idx="2">
                  <c:v>4</c:v>
                </c:pt>
                <c:pt idx="3">
                  <c:v>4.0266666666666664</c:v>
                </c:pt>
                <c:pt idx="4">
                  <c:v>4.0266666666666664</c:v>
                </c:pt>
                <c:pt idx="5">
                  <c:v>4.1369863013698627</c:v>
                </c:pt>
              </c:numCache>
            </c:numRef>
          </c:val>
        </c:ser>
        <c:marker val="1"/>
        <c:axId val="73496448"/>
        <c:axId val="73494528"/>
      </c:lineChart>
      <c:catAx>
        <c:axId val="73490432"/>
        <c:scaling>
          <c:orientation val="minMax"/>
        </c:scaling>
        <c:axPos val="b"/>
        <c:tickLblPos val="nextTo"/>
        <c:crossAx val="73492352"/>
        <c:crosses val="autoZero"/>
        <c:auto val="1"/>
        <c:lblAlgn val="ctr"/>
        <c:lblOffset val="100"/>
      </c:catAx>
      <c:valAx>
        <c:axId val="73492352"/>
        <c:scaling>
          <c:orientation val="minMax"/>
          <c:max val="125"/>
          <c:min val="115"/>
        </c:scaling>
        <c:axPos val="l"/>
        <c:majorGridlines/>
        <c:title>
          <c:tx>
            <c:rich>
              <a:bodyPr rot="0" vert="horz"/>
              <a:lstStyle/>
              <a:p>
                <a:pPr>
                  <a:defRPr/>
                </a:pPr>
                <a:r>
                  <a:rPr lang="en-US"/>
                  <a:t>kWh per Month</a:t>
                </a:r>
              </a:p>
            </c:rich>
          </c:tx>
        </c:title>
        <c:numFmt formatCode="#,##0_);[Red]\(#,##0\)" sourceLinked="1"/>
        <c:tickLblPos val="nextTo"/>
        <c:spPr>
          <a:ln>
            <a:solidFill>
              <a:srgbClr val="C00000"/>
            </a:solidFill>
          </a:ln>
        </c:spPr>
        <c:txPr>
          <a:bodyPr/>
          <a:lstStyle/>
          <a:p>
            <a:pPr>
              <a:defRPr>
                <a:solidFill>
                  <a:srgbClr val="C00000"/>
                </a:solidFill>
              </a:defRPr>
            </a:pPr>
            <a:endParaRPr lang="en-US"/>
          </a:p>
        </c:txPr>
        <c:crossAx val="73490432"/>
        <c:crosses val="autoZero"/>
        <c:crossBetween val="between"/>
        <c:majorUnit val="2"/>
      </c:valAx>
      <c:valAx>
        <c:axId val="73494528"/>
        <c:scaling>
          <c:orientation val="minMax"/>
          <c:max val="4.5"/>
          <c:min val="3.5"/>
        </c:scaling>
        <c:axPos val="r"/>
        <c:title>
          <c:tx>
            <c:rich>
              <a:bodyPr rot="0" vert="horz"/>
              <a:lstStyle/>
              <a:p>
                <a:pPr>
                  <a:defRPr/>
                </a:pPr>
                <a:r>
                  <a:rPr lang="en-US"/>
                  <a:t>kW</a:t>
                </a:r>
              </a:p>
            </c:rich>
          </c:tx>
        </c:title>
        <c:numFmt formatCode="#,##0.0_);[Red]\(#,##0.0\)" sourceLinked="0"/>
        <c:tickLblPos val="nextTo"/>
        <c:spPr>
          <a:ln>
            <a:solidFill>
              <a:schemeClr val="tx2"/>
            </a:solidFill>
          </a:ln>
        </c:spPr>
        <c:txPr>
          <a:bodyPr/>
          <a:lstStyle/>
          <a:p>
            <a:pPr>
              <a:defRPr>
                <a:solidFill>
                  <a:schemeClr val="tx2"/>
                </a:solidFill>
              </a:defRPr>
            </a:pPr>
            <a:endParaRPr lang="en-US"/>
          </a:p>
        </c:txPr>
        <c:crossAx val="73496448"/>
        <c:crosses val="max"/>
        <c:crossBetween val="between"/>
        <c:majorUnit val="0.2"/>
      </c:valAx>
      <c:catAx>
        <c:axId val="73496448"/>
        <c:scaling>
          <c:orientation val="minMax"/>
        </c:scaling>
        <c:delete val="1"/>
        <c:axPos val="b"/>
        <c:tickLblPos val="none"/>
        <c:crossAx val="73494528"/>
        <c:crosses val="autoZero"/>
        <c:auto val="1"/>
        <c:lblAlgn val="ctr"/>
        <c:lblOffset val="100"/>
      </c:catAx>
    </c:plotArea>
    <c:legend>
      <c:legendPos val="t"/>
      <c:layout>
        <c:manualLayout>
          <c:xMode val="edge"/>
          <c:yMode val="edge"/>
          <c:x val="0.34001515187219528"/>
          <c:y val="0.14598673656272523"/>
          <c:w val="0.35475136451426392"/>
          <c:h val="7.8397630043122613E-2"/>
        </c:manualLayout>
      </c:layout>
    </c:legend>
    <c:plotVisOnly val="1"/>
    <c:dispBlanksAs val="gap"/>
  </c:chart>
  <c:printSettings>
    <c:headerFooter/>
    <c:pageMargins b="0.750000000000001" l="0.70000000000000062" r="0.70000000000000062" t="0.75000000000000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style val="4"/>
  <c:chart>
    <c:title>
      <c:tx>
        <c:rich>
          <a:bodyPr/>
          <a:lstStyle/>
          <a:p>
            <a:pPr>
              <a:defRPr sz="1100">
                <a:latin typeface="Arial" panose="020B0604020202020204" pitchFamily="34" charset="0"/>
                <a:cs typeface="Arial" panose="020B0604020202020204" pitchFamily="34" charset="0"/>
              </a:defRPr>
            </a:pPr>
            <a:r>
              <a:rPr lang="en-US" sz="1100" b="1" i="0" u="none" strike="noStrike" baseline="0">
                <a:effectLst/>
                <a:latin typeface="Arial" panose="020B0604020202020204" pitchFamily="34" charset="0"/>
                <a:cs typeface="Arial" panose="020B0604020202020204" pitchFamily="34" charset="0"/>
              </a:rPr>
              <a:t>Table 3.41: </a:t>
            </a:r>
            <a:r>
              <a:rPr lang="en-US" sz="1100">
                <a:latin typeface="Arial" panose="020B0604020202020204" pitchFamily="34" charset="0"/>
                <a:cs typeface="Arial" panose="020B0604020202020204" pitchFamily="34" charset="0"/>
              </a:rPr>
              <a:t>Average Consumption for USL</a:t>
            </a:r>
          </a:p>
        </c:rich>
      </c:tx>
    </c:title>
    <c:plotArea>
      <c:layout>
        <c:manualLayout>
          <c:layoutTarget val="inner"/>
          <c:xMode val="edge"/>
          <c:yMode val="edge"/>
          <c:x val="0.22815860085051665"/>
          <c:y val="0.10513852612744858"/>
          <c:w val="0.58730598094479736"/>
          <c:h val="0.63704590215226065"/>
        </c:manualLayout>
      </c:layout>
      <c:lineChart>
        <c:grouping val="standard"/>
        <c:ser>
          <c:idx val="0"/>
          <c:order val="0"/>
          <c:tx>
            <c:v>kWh per Month</c:v>
          </c:tx>
          <c:cat>
            <c:strRef>
              <c:f>'Exhibit 3 Tables 1'!$C$597:$H$597</c:f>
              <c:strCache>
                <c:ptCount val="6"/>
                <c:pt idx="0">
                  <c:v>2012 Board Approved</c:v>
                </c:pt>
                <c:pt idx="1">
                  <c:v>2012 Actual</c:v>
                </c:pt>
                <c:pt idx="2">
                  <c:v>2013 Actual</c:v>
                </c:pt>
                <c:pt idx="3">
                  <c:v>2014 Actual</c:v>
                </c:pt>
                <c:pt idx="4">
                  <c:v>2015 Actual</c:v>
                </c:pt>
                <c:pt idx="5">
                  <c:v>2016 Test Year</c:v>
                </c:pt>
              </c:strCache>
            </c:strRef>
          </c:cat>
          <c:val>
            <c:numRef>
              <c:f>'Exhibit 3 Tables 1'!$C$615:$H$615</c:f>
              <c:numCache>
                <c:formatCode>#,##0_);[Red]\(#,##0\)</c:formatCode>
                <c:ptCount val="6"/>
                <c:pt idx="0">
                  <c:v>617.7600574712643</c:v>
                </c:pt>
                <c:pt idx="1">
                  <c:v>693.4236111111112</c:v>
                </c:pt>
                <c:pt idx="2">
                  <c:v>726.63661202185801</c:v>
                </c:pt>
                <c:pt idx="3">
                  <c:v>772.89480874316939</c:v>
                </c:pt>
                <c:pt idx="4">
                  <c:v>767.75564971751419</c:v>
                </c:pt>
                <c:pt idx="5" formatCode="_(* #,##0_);_(* \(#,##0\);_(* &quot;-&quot;??_);_(@_)">
                  <c:v>785.03448275862058</c:v>
                </c:pt>
              </c:numCache>
            </c:numRef>
          </c:val>
        </c:ser>
        <c:marker val="1"/>
        <c:axId val="73524736"/>
        <c:axId val="73526272"/>
      </c:lineChart>
      <c:catAx>
        <c:axId val="73524736"/>
        <c:scaling>
          <c:orientation val="minMax"/>
        </c:scaling>
        <c:axPos val="b"/>
        <c:tickLblPos val="nextTo"/>
        <c:crossAx val="73526272"/>
        <c:crosses val="autoZero"/>
        <c:auto val="1"/>
        <c:lblAlgn val="ctr"/>
        <c:lblOffset val="100"/>
      </c:catAx>
      <c:valAx>
        <c:axId val="73526272"/>
        <c:scaling>
          <c:orientation val="minMax"/>
          <c:min val="500"/>
        </c:scaling>
        <c:axPos val="l"/>
        <c:majorGridlines/>
        <c:title>
          <c:tx>
            <c:rich>
              <a:bodyPr rot="0" vert="horz"/>
              <a:lstStyle/>
              <a:p>
                <a:pPr>
                  <a:defRPr/>
                </a:pPr>
                <a:r>
                  <a:rPr lang="en-US"/>
                  <a:t>kWh per Month</a:t>
                </a:r>
              </a:p>
            </c:rich>
          </c:tx>
        </c:title>
        <c:numFmt formatCode="#,##0_);[Red]\(#,##0\)" sourceLinked="1"/>
        <c:tickLblPos val="nextTo"/>
        <c:spPr>
          <a:ln>
            <a:solidFill>
              <a:srgbClr val="C00000"/>
            </a:solidFill>
          </a:ln>
        </c:spPr>
        <c:txPr>
          <a:bodyPr/>
          <a:lstStyle/>
          <a:p>
            <a:pPr>
              <a:defRPr>
                <a:solidFill>
                  <a:srgbClr val="C00000"/>
                </a:solidFill>
              </a:defRPr>
            </a:pPr>
            <a:endParaRPr lang="en-US"/>
          </a:p>
        </c:txPr>
        <c:crossAx val="73524736"/>
        <c:crosses val="autoZero"/>
        <c:crossBetween val="between"/>
      </c:valAx>
    </c:plotArea>
    <c:legend>
      <c:legendPos val="t"/>
      <c:layout>
        <c:manualLayout>
          <c:xMode val="edge"/>
          <c:yMode val="edge"/>
          <c:x val="0.34001515187219528"/>
          <c:y val="0.14598673656272523"/>
          <c:w val="0.33783680645804648"/>
          <c:h val="6.8301824391804961E-2"/>
        </c:manualLayout>
      </c:layout>
    </c:legend>
    <c:plotVisOnly val="1"/>
    <c:dispBlanksAs val="gap"/>
  </c:chart>
  <c:printSettings>
    <c:headerFooter/>
    <c:pageMargins b="0.750000000000001" l="0.70000000000000062" r="0.70000000000000062" t="0.75000000000000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400"/>
            </a:pPr>
            <a:r>
              <a:rPr lang="en-US" sz="1400"/>
              <a:t>Monthly Actual and Predicted kWh Purchased</a:t>
            </a:r>
          </a:p>
        </c:rich>
      </c:tx>
    </c:title>
    <c:plotArea>
      <c:layout>
        <c:manualLayout>
          <c:layoutTarget val="inner"/>
          <c:xMode val="edge"/>
          <c:yMode val="edge"/>
          <c:x val="0.11816225180067373"/>
          <c:y val="0.1687808174556755"/>
          <c:w val="0.60552440175134459"/>
          <c:h val="0.69338878115451852"/>
        </c:manualLayout>
      </c:layout>
      <c:lineChart>
        <c:grouping val="standard"/>
        <c:ser>
          <c:idx val="0"/>
          <c:order val="0"/>
          <c:tx>
            <c:strRef>
              <c:f>'Purchased Power Model'!$H$5</c:f>
              <c:strCache>
                <c:ptCount val="1"/>
                <c:pt idx="0">
                  <c:v>Revised Purchases kWh</c:v>
                </c:pt>
              </c:strCache>
            </c:strRef>
          </c:tx>
          <c:marker>
            <c:symbol val="none"/>
          </c:marker>
          <c:cat>
            <c:numRef>
              <c:f>'Purchased Power Model'!$B$18:$B$137</c:f>
              <c:numCache>
                <c:formatCode>mmm\-yy</c:formatCode>
                <c:ptCount val="120"/>
                <c:pt idx="0">
                  <c:v>38748</c:v>
                </c:pt>
                <c:pt idx="1">
                  <c:v>38776</c:v>
                </c:pt>
                <c:pt idx="2">
                  <c:v>38807</c:v>
                </c:pt>
                <c:pt idx="3">
                  <c:v>38837</c:v>
                </c:pt>
                <c:pt idx="4">
                  <c:v>38868</c:v>
                </c:pt>
                <c:pt idx="5">
                  <c:v>38898</c:v>
                </c:pt>
                <c:pt idx="6">
                  <c:v>38929</c:v>
                </c:pt>
                <c:pt idx="7">
                  <c:v>38960</c:v>
                </c:pt>
                <c:pt idx="8">
                  <c:v>38990</c:v>
                </c:pt>
                <c:pt idx="9">
                  <c:v>39021</c:v>
                </c:pt>
                <c:pt idx="10">
                  <c:v>39051</c:v>
                </c:pt>
                <c:pt idx="11">
                  <c:v>39082</c:v>
                </c:pt>
                <c:pt idx="12">
                  <c:v>39113</c:v>
                </c:pt>
                <c:pt idx="13">
                  <c:v>39141</c:v>
                </c:pt>
                <c:pt idx="14">
                  <c:v>39172</c:v>
                </c:pt>
                <c:pt idx="15">
                  <c:v>39202</c:v>
                </c:pt>
                <c:pt idx="16">
                  <c:v>39233</c:v>
                </c:pt>
                <c:pt idx="17">
                  <c:v>39263</c:v>
                </c:pt>
                <c:pt idx="18">
                  <c:v>39294</c:v>
                </c:pt>
                <c:pt idx="19">
                  <c:v>39325</c:v>
                </c:pt>
                <c:pt idx="20">
                  <c:v>39355</c:v>
                </c:pt>
                <c:pt idx="21">
                  <c:v>39386</c:v>
                </c:pt>
                <c:pt idx="22">
                  <c:v>39416</c:v>
                </c:pt>
                <c:pt idx="23">
                  <c:v>39447</c:v>
                </c:pt>
                <c:pt idx="24">
                  <c:v>39478</c:v>
                </c:pt>
                <c:pt idx="25">
                  <c:v>39507</c:v>
                </c:pt>
                <c:pt idx="26">
                  <c:v>39538</c:v>
                </c:pt>
                <c:pt idx="27">
                  <c:v>39568</c:v>
                </c:pt>
                <c:pt idx="28">
                  <c:v>39599</c:v>
                </c:pt>
                <c:pt idx="29">
                  <c:v>39629</c:v>
                </c:pt>
                <c:pt idx="30">
                  <c:v>39660</c:v>
                </c:pt>
                <c:pt idx="31">
                  <c:v>39691</c:v>
                </c:pt>
                <c:pt idx="32">
                  <c:v>39721</c:v>
                </c:pt>
                <c:pt idx="33">
                  <c:v>39752</c:v>
                </c:pt>
                <c:pt idx="34">
                  <c:v>39782</c:v>
                </c:pt>
                <c:pt idx="35">
                  <c:v>39813</c:v>
                </c:pt>
                <c:pt idx="36">
                  <c:v>39844</c:v>
                </c:pt>
                <c:pt idx="37">
                  <c:v>39872</c:v>
                </c:pt>
                <c:pt idx="38">
                  <c:v>39903</c:v>
                </c:pt>
                <c:pt idx="39">
                  <c:v>39933</c:v>
                </c:pt>
                <c:pt idx="40">
                  <c:v>39964</c:v>
                </c:pt>
                <c:pt idx="41">
                  <c:v>39994</c:v>
                </c:pt>
                <c:pt idx="42">
                  <c:v>40025</c:v>
                </c:pt>
                <c:pt idx="43">
                  <c:v>40056</c:v>
                </c:pt>
                <c:pt idx="44">
                  <c:v>40086</c:v>
                </c:pt>
                <c:pt idx="45">
                  <c:v>40117</c:v>
                </c:pt>
                <c:pt idx="46">
                  <c:v>40147</c:v>
                </c:pt>
                <c:pt idx="47">
                  <c:v>40178</c:v>
                </c:pt>
                <c:pt idx="48">
                  <c:v>40209</c:v>
                </c:pt>
                <c:pt idx="49">
                  <c:v>40237</c:v>
                </c:pt>
                <c:pt idx="50">
                  <c:v>40268</c:v>
                </c:pt>
                <c:pt idx="51">
                  <c:v>40298</c:v>
                </c:pt>
                <c:pt idx="52">
                  <c:v>40329</c:v>
                </c:pt>
                <c:pt idx="53">
                  <c:v>40359</c:v>
                </c:pt>
                <c:pt idx="54">
                  <c:v>40390</c:v>
                </c:pt>
                <c:pt idx="55">
                  <c:v>40421</c:v>
                </c:pt>
                <c:pt idx="56">
                  <c:v>40451</c:v>
                </c:pt>
                <c:pt idx="57">
                  <c:v>40482</c:v>
                </c:pt>
                <c:pt idx="58">
                  <c:v>40512</c:v>
                </c:pt>
                <c:pt idx="59">
                  <c:v>40543</c:v>
                </c:pt>
                <c:pt idx="60">
                  <c:v>40574</c:v>
                </c:pt>
                <c:pt idx="61">
                  <c:v>40602</c:v>
                </c:pt>
                <c:pt idx="62">
                  <c:v>40633</c:v>
                </c:pt>
                <c:pt idx="63">
                  <c:v>40663</c:v>
                </c:pt>
                <c:pt idx="64">
                  <c:v>40694</c:v>
                </c:pt>
                <c:pt idx="65">
                  <c:v>40724</c:v>
                </c:pt>
                <c:pt idx="66">
                  <c:v>40755</c:v>
                </c:pt>
                <c:pt idx="67">
                  <c:v>40786</c:v>
                </c:pt>
                <c:pt idx="68">
                  <c:v>40816</c:v>
                </c:pt>
                <c:pt idx="69">
                  <c:v>40847</c:v>
                </c:pt>
                <c:pt idx="70">
                  <c:v>40877</c:v>
                </c:pt>
                <c:pt idx="71">
                  <c:v>40908</c:v>
                </c:pt>
                <c:pt idx="72">
                  <c:v>40939</c:v>
                </c:pt>
                <c:pt idx="73">
                  <c:v>40968</c:v>
                </c:pt>
                <c:pt idx="74">
                  <c:v>40999</c:v>
                </c:pt>
                <c:pt idx="75">
                  <c:v>41029</c:v>
                </c:pt>
                <c:pt idx="76">
                  <c:v>41060</c:v>
                </c:pt>
                <c:pt idx="77">
                  <c:v>41090</c:v>
                </c:pt>
                <c:pt idx="78">
                  <c:v>41121</c:v>
                </c:pt>
                <c:pt idx="79">
                  <c:v>41152</c:v>
                </c:pt>
                <c:pt idx="80">
                  <c:v>41182</c:v>
                </c:pt>
                <c:pt idx="81">
                  <c:v>41213</c:v>
                </c:pt>
                <c:pt idx="82">
                  <c:v>41243</c:v>
                </c:pt>
                <c:pt idx="83">
                  <c:v>41274</c:v>
                </c:pt>
                <c:pt idx="84">
                  <c:v>41305</c:v>
                </c:pt>
                <c:pt idx="85">
                  <c:v>41333</c:v>
                </c:pt>
                <c:pt idx="86">
                  <c:v>41364</c:v>
                </c:pt>
                <c:pt idx="87">
                  <c:v>41394</c:v>
                </c:pt>
                <c:pt idx="88">
                  <c:v>41425</c:v>
                </c:pt>
                <c:pt idx="89">
                  <c:v>41455</c:v>
                </c:pt>
                <c:pt idx="90">
                  <c:v>41486</c:v>
                </c:pt>
                <c:pt idx="91">
                  <c:v>41517</c:v>
                </c:pt>
                <c:pt idx="92">
                  <c:v>41547</c:v>
                </c:pt>
                <c:pt idx="93">
                  <c:v>41578</c:v>
                </c:pt>
                <c:pt idx="94">
                  <c:v>41608</c:v>
                </c:pt>
                <c:pt idx="95">
                  <c:v>41639</c:v>
                </c:pt>
                <c:pt idx="96">
                  <c:v>41670</c:v>
                </c:pt>
                <c:pt idx="97">
                  <c:v>41698</c:v>
                </c:pt>
                <c:pt idx="98">
                  <c:v>41729</c:v>
                </c:pt>
                <c:pt idx="99">
                  <c:v>41759</c:v>
                </c:pt>
                <c:pt idx="100">
                  <c:v>41790</c:v>
                </c:pt>
                <c:pt idx="101">
                  <c:v>41820</c:v>
                </c:pt>
                <c:pt idx="102">
                  <c:v>41851</c:v>
                </c:pt>
                <c:pt idx="103">
                  <c:v>41882</c:v>
                </c:pt>
                <c:pt idx="104">
                  <c:v>41912</c:v>
                </c:pt>
                <c:pt idx="105">
                  <c:v>41943</c:v>
                </c:pt>
                <c:pt idx="106">
                  <c:v>41973</c:v>
                </c:pt>
                <c:pt idx="107">
                  <c:v>42004</c:v>
                </c:pt>
                <c:pt idx="108">
                  <c:v>42035</c:v>
                </c:pt>
                <c:pt idx="109">
                  <c:v>42063</c:v>
                </c:pt>
                <c:pt idx="110">
                  <c:v>42094</c:v>
                </c:pt>
                <c:pt idx="111">
                  <c:v>42124</c:v>
                </c:pt>
                <c:pt idx="112">
                  <c:v>42155</c:v>
                </c:pt>
                <c:pt idx="113">
                  <c:v>42185</c:v>
                </c:pt>
                <c:pt idx="114">
                  <c:v>42216</c:v>
                </c:pt>
                <c:pt idx="115">
                  <c:v>42247</c:v>
                </c:pt>
                <c:pt idx="116">
                  <c:v>42277</c:v>
                </c:pt>
                <c:pt idx="117">
                  <c:v>42308</c:v>
                </c:pt>
                <c:pt idx="118">
                  <c:v>42338</c:v>
                </c:pt>
                <c:pt idx="119">
                  <c:v>42369</c:v>
                </c:pt>
              </c:numCache>
              <c:extLst>
                <c:ext xmlns:c15="http://schemas.microsoft.com/office/drawing/2012/chart" uri="{02D57815-91ED-43cb-92C2-25804820EDAC}">
                  <c15:fullRef>
                    <c15:sqref>'Purchased Power Model'!$B$6:$B$137</c15:sqref>
                  </c15:fullRef>
                </c:ext>
              </c:extLst>
            </c:numRef>
          </c:cat>
          <c:val>
            <c:numRef>
              <c:f>'Purchased Power Model'!$H$18:$H$137</c:f>
              <c:numCache>
                <c:formatCode>_-* #,##0_-;\-* #,##0_-;_-* "-"??_-;_-@_-</c:formatCode>
                <c:ptCount val="120"/>
                <c:pt idx="0">
                  <c:v>12508470</c:v>
                </c:pt>
                <c:pt idx="1">
                  <c:v>11727560</c:v>
                </c:pt>
                <c:pt idx="2">
                  <c:v>11784150</c:v>
                </c:pt>
                <c:pt idx="3">
                  <c:v>9406440</c:v>
                </c:pt>
                <c:pt idx="4">
                  <c:v>9293920</c:v>
                </c:pt>
                <c:pt idx="5">
                  <c:v>9564320</c:v>
                </c:pt>
                <c:pt idx="6">
                  <c:v>10639870</c:v>
                </c:pt>
                <c:pt idx="7">
                  <c:v>10096480</c:v>
                </c:pt>
                <c:pt idx="8">
                  <c:v>8938560</c:v>
                </c:pt>
                <c:pt idx="9">
                  <c:v>9952100</c:v>
                </c:pt>
                <c:pt idx="10">
                  <c:v>10436420</c:v>
                </c:pt>
                <c:pt idx="11">
                  <c:v>11345280</c:v>
                </c:pt>
                <c:pt idx="12">
                  <c:v>12568180</c:v>
                </c:pt>
                <c:pt idx="13">
                  <c:v>12210720</c:v>
                </c:pt>
                <c:pt idx="14">
                  <c:v>11873120</c:v>
                </c:pt>
                <c:pt idx="15">
                  <c:v>9854780</c:v>
                </c:pt>
                <c:pt idx="16">
                  <c:v>9000430</c:v>
                </c:pt>
                <c:pt idx="17">
                  <c:v>9265780</c:v>
                </c:pt>
                <c:pt idx="18">
                  <c:v>9662330</c:v>
                </c:pt>
                <c:pt idx="19">
                  <c:v>9982760</c:v>
                </c:pt>
                <c:pt idx="20">
                  <c:v>9063690</c:v>
                </c:pt>
                <c:pt idx="21">
                  <c:v>9402850</c:v>
                </c:pt>
                <c:pt idx="22">
                  <c:v>10423660</c:v>
                </c:pt>
                <c:pt idx="23">
                  <c:v>12253260</c:v>
                </c:pt>
                <c:pt idx="24">
                  <c:v>12288190</c:v>
                </c:pt>
                <c:pt idx="25">
                  <c:v>11701800</c:v>
                </c:pt>
                <c:pt idx="26">
                  <c:v>11663590</c:v>
                </c:pt>
                <c:pt idx="27">
                  <c:v>9464610</c:v>
                </c:pt>
                <c:pt idx="28">
                  <c:v>8709540</c:v>
                </c:pt>
                <c:pt idx="29">
                  <c:v>9032720</c:v>
                </c:pt>
                <c:pt idx="30">
                  <c:v>9681910</c:v>
                </c:pt>
                <c:pt idx="31">
                  <c:v>9241240</c:v>
                </c:pt>
                <c:pt idx="32">
                  <c:v>8800520</c:v>
                </c:pt>
                <c:pt idx="33">
                  <c:v>8997790</c:v>
                </c:pt>
                <c:pt idx="34">
                  <c:v>9775270</c:v>
                </c:pt>
                <c:pt idx="35">
                  <c:v>11977460</c:v>
                </c:pt>
                <c:pt idx="36">
                  <c:v>12715660</c:v>
                </c:pt>
                <c:pt idx="37">
                  <c:v>10806911</c:v>
                </c:pt>
                <c:pt idx="38">
                  <c:v>10822297</c:v>
                </c:pt>
                <c:pt idx="39">
                  <c:v>9188119</c:v>
                </c:pt>
                <c:pt idx="40">
                  <c:v>8646669</c:v>
                </c:pt>
                <c:pt idx="41">
                  <c:v>8694745</c:v>
                </c:pt>
                <c:pt idx="42">
                  <c:v>8965453</c:v>
                </c:pt>
                <c:pt idx="43">
                  <c:v>9534995</c:v>
                </c:pt>
                <c:pt idx="44">
                  <c:v>8543544</c:v>
                </c:pt>
                <c:pt idx="45">
                  <c:v>9341679</c:v>
                </c:pt>
                <c:pt idx="46">
                  <c:v>9542500</c:v>
                </c:pt>
                <c:pt idx="47">
                  <c:v>11612258</c:v>
                </c:pt>
                <c:pt idx="48">
                  <c:v>12078338</c:v>
                </c:pt>
                <c:pt idx="49">
                  <c:v>10494800</c:v>
                </c:pt>
                <c:pt idx="50">
                  <c:v>10154062</c:v>
                </c:pt>
                <c:pt idx="51">
                  <c:v>8300785</c:v>
                </c:pt>
                <c:pt idx="52">
                  <c:v>8510046</c:v>
                </c:pt>
                <c:pt idx="53">
                  <c:v>8680146</c:v>
                </c:pt>
                <c:pt idx="54">
                  <c:v>9983854</c:v>
                </c:pt>
                <c:pt idx="55">
                  <c:v>9543754</c:v>
                </c:pt>
                <c:pt idx="56">
                  <c:v>8579877</c:v>
                </c:pt>
                <c:pt idx="57">
                  <c:v>8994685</c:v>
                </c:pt>
                <c:pt idx="58">
                  <c:v>9833800</c:v>
                </c:pt>
                <c:pt idx="59">
                  <c:v>11438554</c:v>
                </c:pt>
                <c:pt idx="60">
                  <c:v>12132585</c:v>
                </c:pt>
                <c:pt idx="61">
                  <c:v>10868253</c:v>
                </c:pt>
                <c:pt idx="62">
                  <c:v>11068641</c:v>
                </c:pt>
                <c:pt idx="63">
                  <c:v>9074817</c:v>
                </c:pt>
                <c:pt idx="64">
                  <c:v>8658879</c:v>
                </c:pt>
                <c:pt idx="65">
                  <c:v>8778920</c:v>
                </c:pt>
                <c:pt idx="66">
                  <c:v>10001581</c:v>
                </c:pt>
                <c:pt idx="67">
                  <c:v>9454436</c:v>
                </c:pt>
                <c:pt idx="68">
                  <c:v>8634961</c:v>
                </c:pt>
                <c:pt idx="69">
                  <c:v>8927131</c:v>
                </c:pt>
                <c:pt idx="70">
                  <c:v>9482575</c:v>
                </c:pt>
                <c:pt idx="71">
                  <c:v>10919663</c:v>
                </c:pt>
                <c:pt idx="72">
                  <c:v>11700330</c:v>
                </c:pt>
                <c:pt idx="73">
                  <c:v>10395841</c:v>
                </c:pt>
                <c:pt idx="74">
                  <c:v>9872024</c:v>
                </c:pt>
                <c:pt idx="75">
                  <c:v>8707449</c:v>
                </c:pt>
                <c:pt idx="76">
                  <c:v>8480484</c:v>
                </c:pt>
                <c:pt idx="77">
                  <c:v>9037032</c:v>
                </c:pt>
                <c:pt idx="78">
                  <c:v>9784872</c:v>
                </c:pt>
                <c:pt idx="79">
                  <c:v>9438341</c:v>
                </c:pt>
                <c:pt idx="80">
                  <c:v>8463793</c:v>
                </c:pt>
                <c:pt idx="81">
                  <c:v>8669407</c:v>
                </c:pt>
                <c:pt idx="82">
                  <c:v>9769730</c:v>
                </c:pt>
                <c:pt idx="83">
                  <c:v>10961744</c:v>
                </c:pt>
                <c:pt idx="84">
                  <c:v>12001052</c:v>
                </c:pt>
                <c:pt idx="85">
                  <c:v>10703797</c:v>
                </c:pt>
                <c:pt idx="86">
                  <c:v>10577021</c:v>
                </c:pt>
                <c:pt idx="87">
                  <c:v>9121662</c:v>
                </c:pt>
                <c:pt idx="88">
                  <c:v>8211243</c:v>
                </c:pt>
                <c:pt idx="89">
                  <c:v>8287581</c:v>
                </c:pt>
                <c:pt idx="90">
                  <c:v>9598701</c:v>
                </c:pt>
                <c:pt idx="91">
                  <c:v>9619248</c:v>
                </c:pt>
                <c:pt idx="92">
                  <c:v>8194773</c:v>
                </c:pt>
                <c:pt idx="93">
                  <c:v>8732069</c:v>
                </c:pt>
                <c:pt idx="94">
                  <c:v>9931378</c:v>
                </c:pt>
                <c:pt idx="95">
                  <c:v>11616941</c:v>
                </c:pt>
                <c:pt idx="96">
                  <c:v>12522131</c:v>
                </c:pt>
                <c:pt idx="97">
                  <c:v>10695468</c:v>
                </c:pt>
                <c:pt idx="98">
                  <c:v>11273530</c:v>
                </c:pt>
                <c:pt idx="99">
                  <c:v>9031993</c:v>
                </c:pt>
                <c:pt idx="100">
                  <c:v>8286920</c:v>
                </c:pt>
                <c:pt idx="101">
                  <c:v>8579731</c:v>
                </c:pt>
                <c:pt idx="102">
                  <c:v>9080121</c:v>
                </c:pt>
                <c:pt idx="103">
                  <c:v>8989250</c:v>
                </c:pt>
                <c:pt idx="104">
                  <c:v>8464550</c:v>
                </c:pt>
                <c:pt idx="105">
                  <c:v>8670762</c:v>
                </c:pt>
                <c:pt idx="106">
                  <c:v>9598673</c:v>
                </c:pt>
                <c:pt idx="107">
                  <c:v>10755419</c:v>
                </c:pt>
                <c:pt idx="108">
                  <c:v>12180927.15</c:v>
                </c:pt>
                <c:pt idx="109">
                  <c:v>11448305.18</c:v>
                </c:pt>
                <c:pt idx="110">
                  <c:v>10924977.359999999</c:v>
                </c:pt>
                <c:pt idx="111">
                  <c:v>8731936</c:v>
                </c:pt>
                <c:pt idx="112">
                  <c:v>8223122.5700000003</c:v>
                </c:pt>
                <c:pt idx="113">
                  <c:v>8092658.46</c:v>
                </c:pt>
                <c:pt idx="114">
                  <c:v>8978804.4600000009</c:v>
                </c:pt>
                <c:pt idx="115">
                  <c:v>8939421.9100000001</c:v>
                </c:pt>
                <c:pt idx="116">
                  <c:v>8496700.6799999997</c:v>
                </c:pt>
                <c:pt idx="117">
                  <c:v>8450501.8100000005</c:v>
                </c:pt>
                <c:pt idx="118">
                  <c:v>8794018.0199999996</c:v>
                </c:pt>
                <c:pt idx="119">
                  <c:v>9423404.3499999996</c:v>
                </c:pt>
              </c:numCache>
              <c:extLst>
                <c:ext xmlns:c15="http://schemas.microsoft.com/office/drawing/2012/chart" uri="{02D57815-91ED-43cb-92C2-25804820EDAC}">
                  <c15:fullRef>
                    <c15:sqref>'Purchased Power Model'!$H$6:$H$137</c15:sqref>
                  </c15:fullRef>
                </c:ext>
              </c:extLst>
            </c:numRef>
          </c:val>
        </c:ser>
        <c:ser>
          <c:idx val="1"/>
          <c:order val="1"/>
          <c:tx>
            <c:strRef>
              <c:f>'Purchased Power Model'!$U$5</c:f>
              <c:strCache>
                <c:ptCount val="1"/>
                <c:pt idx="0">
                  <c:v>Predicted Purchases(kWh)</c:v>
                </c:pt>
              </c:strCache>
            </c:strRef>
          </c:tx>
          <c:marker>
            <c:symbol val="none"/>
          </c:marker>
          <c:cat>
            <c:numRef>
              <c:f>'Purchased Power Model'!$B$18:$B$137</c:f>
              <c:numCache>
                <c:formatCode>mmm\-yy</c:formatCode>
                <c:ptCount val="120"/>
                <c:pt idx="0">
                  <c:v>38748</c:v>
                </c:pt>
                <c:pt idx="1">
                  <c:v>38776</c:v>
                </c:pt>
                <c:pt idx="2">
                  <c:v>38807</c:v>
                </c:pt>
                <c:pt idx="3">
                  <c:v>38837</c:v>
                </c:pt>
                <c:pt idx="4">
                  <c:v>38868</c:v>
                </c:pt>
                <c:pt idx="5">
                  <c:v>38898</c:v>
                </c:pt>
                <c:pt idx="6">
                  <c:v>38929</c:v>
                </c:pt>
                <c:pt idx="7">
                  <c:v>38960</c:v>
                </c:pt>
                <c:pt idx="8">
                  <c:v>38990</c:v>
                </c:pt>
                <c:pt idx="9">
                  <c:v>39021</c:v>
                </c:pt>
                <c:pt idx="10">
                  <c:v>39051</c:v>
                </c:pt>
                <c:pt idx="11">
                  <c:v>39082</c:v>
                </c:pt>
                <c:pt idx="12">
                  <c:v>39113</c:v>
                </c:pt>
                <c:pt idx="13">
                  <c:v>39141</c:v>
                </c:pt>
                <c:pt idx="14">
                  <c:v>39172</c:v>
                </c:pt>
                <c:pt idx="15">
                  <c:v>39202</c:v>
                </c:pt>
                <c:pt idx="16">
                  <c:v>39233</c:v>
                </c:pt>
                <c:pt idx="17">
                  <c:v>39263</c:v>
                </c:pt>
                <c:pt idx="18">
                  <c:v>39294</c:v>
                </c:pt>
                <c:pt idx="19">
                  <c:v>39325</c:v>
                </c:pt>
                <c:pt idx="20">
                  <c:v>39355</c:v>
                </c:pt>
                <c:pt idx="21">
                  <c:v>39386</c:v>
                </c:pt>
                <c:pt idx="22">
                  <c:v>39416</c:v>
                </c:pt>
                <c:pt idx="23">
                  <c:v>39447</c:v>
                </c:pt>
                <c:pt idx="24">
                  <c:v>39478</c:v>
                </c:pt>
                <c:pt idx="25">
                  <c:v>39507</c:v>
                </c:pt>
                <c:pt idx="26">
                  <c:v>39538</c:v>
                </c:pt>
                <c:pt idx="27">
                  <c:v>39568</c:v>
                </c:pt>
                <c:pt idx="28">
                  <c:v>39599</c:v>
                </c:pt>
                <c:pt idx="29">
                  <c:v>39629</c:v>
                </c:pt>
                <c:pt idx="30">
                  <c:v>39660</c:v>
                </c:pt>
                <c:pt idx="31">
                  <c:v>39691</c:v>
                </c:pt>
                <c:pt idx="32">
                  <c:v>39721</c:v>
                </c:pt>
                <c:pt idx="33">
                  <c:v>39752</c:v>
                </c:pt>
                <c:pt idx="34">
                  <c:v>39782</c:v>
                </c:pt>
                <c:pt idx="35">
                  <c:v>39813</c:v>
                </c:pt>
                <c:pt idx="36">
                  <c:v>39844</c:v>
                </c:pt>
                <c:pt idx="37">
                  <c:v>39872</c:v>
                </c:pt>
                <c:pt idx="38">
                  <c:v>39903</c:v>
                </c:pt>
                <c:pt idx="39">
                  <c:v>39933</c:v>
                </c:pt>
                <c:pt idx="40">
                  <c:v>39964</c:v>
                </c:pt>
                <c:pt idx="41">
                  <c:v>39994</c:v>
                </c:pt>
                <c:pt idx="42">
                  <c:v>40025</c:v>
                </c:pt>
                <c:pt idx="43">
                  <c:v>40056</c:v>
                </c:pt>
                <c:pt idx="44">
                  <c:v>40086</c:v>
                </c:pt>
                <c:pt idx="45">
                  <c:v>40117</c:v>
                </c:pt>
                <c:pt idx="46">
                  <c:v>40147</c:v>
                </c:pt>
                <c:pt idx="47">
                  <c:v>40178</c:v>
                </c:pt>
                <c:pt idx="48">
                  <c:v>40209</c:v>
                </c:pt>
                <c:pt idx="49">
                  <c:v>40237</c:v>
                </c:pt>
                <c:pt idx="50">
                  <c:v>40268</c:v>
                </c:pt>
                <c:pt idx="51">
                  <c:v>40298</c:v>
                </c:pt>
                <c:pt idx="52">
                  <c:v>40329</c:v>
                </c:pt>
                <c:pt idx="53">
                  <c:v>40359</c:v>
                </c:pt>
                <c:pt idx="54">
                  <c:v>40390</c:v>
                </c:pt>
                <c:pt idx="55">
                  <c:v>40421</c:v>
                </c:pt>
                <c:pt idx="56">
                  <c:v>40451</c:v>
                </c:pt>
                <c:pt idx="57">
                  <c:v>40482</c:v>
                </c:pt>
                <c:pt idx="58">
                  <c:v>40512</c:v>
                </c:pt>
                <c:pt idx="59">
                  <c:v>40543</c:v>
                </c:pt>
                <c:pt idx="60">
                  <c:v>40574</c:v>
                </c:pt>
                <c:pt idx="61">
                  <c:v>40602</c:v>
                </c:pt>
                <c:pt idx="62">
                  <c:v>40633</c:v>
                </c:pt>
                <c:pt idx="63">
                  <c:v>40663</c:v>
                </c:pt>
                <c:pt idx="64">
                  <c:v>40694</c:v>
                </c:pt>
                <c:pt idx="65">
                  <c:v>40724</c:v>
                </c:pt>
                <c:pt idx="66">
                  <c:v>40755</c:v>
                </c:pt>
                <c:pt idx="67">
                  <c:v>40786</c:v>
                </c:pt>
                <c:pt idx="68">
                  <c:v>40816</c:v>
                </c:pt>
                <c:pt idx="69">
                  <c:v>40847</c:v>
                </c:pt>
                <c:pt idx="70">
                  <c:v>40877</c:v>
                </c:pt>
                <c:pt idx="71">
                  <c:v>40908</c:v>
                </c:pt>
                <c:pt idx="72">
                  <c:v>40939</c:v>
                </c:pt>
                <c:pt idx="73">
                  <c:v>40968</c:v>
                </c:pt>
                <c:pt idx="74">
                  <c:v>40999</c:v>
                </c:pt>
                <c:pt idx="75">
                  <c:v>41029</c:v>
                </c:pt>
                <c:pt idx="76">
                  <c:v>41060</c:v>
                </c:pt>
                <c:pt idx="77">
                  <c:v>41090</c:v>
                </c:pt>
                <c:pt idx="78">
                  <c:v>41121</c:v>
                </c:pt>
                <c:pt idx="79">
                  <c:v>41152</c:v>
                </c:pt>
                <c:pt idx="80">
                  <c:v>41182</c:v>
                </c:pt>
                <c:pt idx="81">
                  <c:v>41213</c:v>
                </c:pt>
                <c:pt idx="82">
                  <c:v>41243</c:v>
                </c:pt>
                <c:pt idx="83">
                  <c:v>41274</c:v>
                </c:pt>
                <c:pt idx="84">
                  <c:v>41305</c:v>
                </c:pt>
                <c:pt idx="85">
                  <c:v>41333</c:v>
                </c:pt>
                <c:pt idx="86">
                  <c:v>41364</c:v>
                </c:pt>
                <c:pt idx="87">
                  <c:v>41394</c:v>
                </c:pt>
                <c:pt idx="88">
                  <c:v>41425</c:v>
                </c:pt>
                <c:pt idx="89">
                  <c:v>41455</c:v>
                </c:pt>
                <c:pt idx="90">
                  <c:v>41486</c:v>
                </c:pt>
                <c:pt idx="91">
                  <c:v>41517</c:v>
                </c:pt>
                <c:pt idx="92">
                  <c:v>41547</c:v>
                </c:pt>
                <c:pt idx="93">
                  <c:v>41578</c:v>
                </c:pt>
                <c:pt idx="94">
                  <c:v>41608</c:v>
                </c:pt>
                <c:pt idx="95">
                  <c:v>41639</c:v>
                </c:pt>
                <c:pt idx="96">
                  <c:v>41670</c:v>
                </c:pt>
                <c:pt idx="97">
                  <c:v>41698</c:v>
                </c:pt>
                <c:pt idx="98">
                  <c:v>41729</c:v>
                </c:pt>
                <c:pt idx="99">
                  <c:v>41759</c:v>
                </c:pt>
                <c:pt idx="100">
                  <c:v>41790</c:v>
                </c:pt>
                <c:pt idx="101">
                  <c:v>41820</c:v>
                </c:pt>
                <c:pt idx="102">
                  <c:v>41851</c:v>
                </c:pt>
                <c:pt idx="103">
                  <c:v>41882</c:v>
                </c:pt>
                <c:pt idx="104">
                  <c:v>41912</c:v>
                </c:pt>
                <c:pt idx="105">
                  <c:v>41943</c:v>
                </c:pt>
                <c:pt idx="106">
                  <c:v>41973</c:v>
                </c:pt>
                <c:pt idx="107">
                  <c:v>42004</c:v>
                </c:pt>
                <c:pt idx="108">
                  <c:v>42035</c:v>
                </c:pt>
                <c:pt idx="109">
                  <c:v>42063</c:v>
                </c:pt>
                <c:pt idx="110">
                  <c:v>42094</c:v>
                </c:pt>
                <c:pt idx="111">
                  <c:v>42124</c:v>
                </c:pt>
                <c:pt idx="112">
                  <c:v>42155</c:v>
                </c:pt>
                <c:pt idx="113">
                  <c:v>42185</c:v>
                </c:pt>
                <c:pt idx="114">
                  <c:v>42216</c:v>
                </c:pt>
                <c:pt idx="115">
                  <c:v>42247</c:v>
                </c:pt>
                <c:pt idx="116">
                  <c:v>42277</c:v>
                </c:pt>
                <c:pt idx="117">
                  <c:v>42308</c:v>
                </c:pt>
                <c:pt idx="118">
                  <c:v>42338</c:v>
                </c:pt>
                <c:pt idx="119">
                  <c:v>42369</c:v>
                </c:pt>
              </c:numCache>
              <c:extLst>
                <c:ext xmlns:c15="http://schemas.microsoft.com/office/drawing/2012/chart" uri="{02D57815-91ED-43cb-92C2-25804820EDAC}">
                  <c15:fullRef>
                    <c15:sqref>'Purchased Power Model'!$B$6:$B$137</c15:sqref>
                  </c15:fullRef>
                </c:ext>
              </c:extLst>
            </c:numRef>
          </c:cat>
          <c:val>
            <c:numRef>
              <c:f>'Purchased Power Model'!$U$18:$U$137</c:f>
              <c:numCache>
                <c:formatCode>_-* #,##0_-;\-* #,##0_-;_-* "-"??_-;_-@_-</c:formatCode>
                <c:ptCount val="120"/>
                <c:pt idx="0">
                  <c:v>12153001.535024703</c:v>
                </c:pt>
                <c:pt idx="1">
                  <c:v>11483298.616970956</c:v>
                </c:pt>
                <c:pt idx="2">
                  <c:v>11282836.006454384</c:v>
                </c:pt>
                <c:pt idx="3">
                  <c:v>9512956.4350882675</c:v>
                </c:pt>
                <c:pt idx="4">
                  <c:v>9193777.5529760793</c:v>
                </c:pt>
                <c:pt idx="5">
                  <c:v>9382736.8211712167</c:v>
                </c:pt>
                <c:pt idx="6">
                  <c:v>10557103.424623705</c:v>
                </c:pt>
                <c:pt idx="7">
                  <c:v>9736032.4942046963</c:v>
                </c:pt>
                <c:pt idx="8">
                  <c:v>8724789.7528569419</c:v>
                </c:pt>
                <c:pt idx="9">
                  <c:v>9881724.9963888731</c:v>
                </c:pt>
                <c:pt idx="10">
                  <c:v>10128076.76927208</c:v>
                </c:pt>
                <c:pt idx="11">
                  <c:v>11380465.313985048</c:v>
                </c:pt>
                <c:pt idx="12">
                  <c:v>12357900.875117837</c:v>
                </c:pt>
                <c:pt idx="13">
                  <c:v>11854313.946552578</c:v>
                </c:pt>
                <c:pt idx="14">
                  <c:v>11390337.556837998</c:v>
                </c:pt>
                <c:pt idx="15">
                  <c:v>9606316.2676636409</c:v>
                </c:pt>
                <c:pt idx="16">
                  <c:v>9244646.01437716</c:v>
                </c:pt>
                <c:pt idx="17">
                  <c:v>9591497.1894035209</c:v>
                </c:pt>
                <c:pt idx="18">
                  <c:v>9580698.6096608434</c:v>
                </c:pt>
                <c:pt idx="19">
                  <c:v>9815879.2324782405</c:v>
                </c:pt>
                <c:pt idx="20">
                  <c:v>8717985.9447507542</c:v>
                </c:pt>
                <c:pt idx="21">
                  <c:v>9314619.4196236394</c:v>
                </c:pt>
                <c:pt idx="22">
                  <c:v>10504908.469096567</c:v>
                </c:pt>
                <c:pt idx="23">
                  <c:v>12121883.276876023</c:v>
                </c:pt>
                <c:pt idx="24">
                  <c:v>12071174.615474379</c:v>
                </c:pt>
                <c:pt idx="25">
                  <c:v>11683553.018205589</c:v>
                </c:pt>
                <c:pt idx="26">
                  <c:v>11450598.713698111</c:v>
                </c:pt>
                <c:pt idx="27">
                  <c:v>9460965.4263955429</c:v>
                </c:pt>
                <c:pt idx="28">
                  <c:v>9049336.7068860978</c:v>
                </c:pt>
                <c:pt idx="29">
                  <c:v>9368322.1370835882</c:v>
                </c:pt>
                <c:pt idx="30">
                  <c:v>9650854.776006842</c:v>
                </c:pt>
                <c:pt idx="31">
                  <c:v>9289435.7050025649</c:v>
                </c:pt>
                <c:pt idx="32">
                  <c:v>8728413.7772672623</c:v>
                </c:pt>
                <c:pt idx="33">
                  <c:v>9659633.5626671948</c:v>
                </c:pt>
                <c:pt idx="34">
                  <c:v>10372540.463279542</c:v>
                </c:pt>
                <c:pt idx="35">
                  <c:v>12099889.935543779</c:v>
                </c:pt>
                <c:pt idx="36">
                  <c:v>13049606.468674913</c:v>
                </c:pt>
                <c:pt idx="37">
                  <c:v>11068842.576771142</c:v>
                </c:pt>
                <c:pt idx="38">
                  <c:v>11006234.393761342</c:v>
                </c:pt>
                <c:pt idx="39">
                  <c:v>9334043.9502340332</c:v>
                </c:pt>
                <c:pt idx="40">
                  <c:v>8965134.3136551902</c:v>
                </c:pt>
                <c:pt idx="41">
                  <c:v>9153145.3209487814</c:v>
                </c:pt>
                <c:pt idx="42">
                  <c:v>9062256.6246289723</c:v>
                </c:pt>
                <c:pt idx="43">
                  <c:v>9670530.6436466482</c:v>
                </c:pt>
                <c:pt idx="44">
                  <c:v>8342154.7054857258</c:v>
                </c:pt>
                <c:pt idx="45">
                  <c:v>9656268.9668548033</c:v>
                </c:pt>
                <c:pt idx="46">
                  <c:v>9803320.3618102521</c:v>
                </c:pt>
                <c:pt idx="47">
                  <c:v>11745619.734117394</c:v>
                </c:pt>
                <c:pt idx="48">
                  <c:v>11992980.114385521</c:v>
                </c:pt>
                <c:pt idx="49">
                  <c:v>10652920.085643042</c:v>
                </c:pt>
                <c:pt idx="50">
                  <c:v>10219984.842744254</c:v>
                </c:pt>
                <c:pt idx="51">
                  <c:v>8833746.1996417828</c:v>
                </c:pt>
                <c:pt idx="52">
                  <c:v>9024408.6261633243</c:v>
                </c:pt>
                <c:pt idx="53">
                  <c:v>8821068.0114438813</c:v>
                </c:pt>
                <c:pt idx="54">
                  <c:v>10475479.3182962</c:v>
                </c:pt>
                <c:pt idx="55">
                  <c:v>9690734.791365236</c:v>
                </c:pt>
                <c:pt idx="56">
                  <c:v>8601235.5769119095</c:v>
                </c:pt>
                <c:pt idx="57">
                  <c:v>9389743.8863178305</c:v>
                </c:pt>
                <c:pt idx="58">
                  <c:v>10103247.912672451</c:v>
                </c:pt>
                <c:pt idx="59">
                  <c:v>11580421.482652169</c:v>
                </c:pt>
                <c:pt idx="60">
                  <c:v>12413151.402470622</c:v>
                </c:pt>
                <c:pt idx="61">
                  <c:v>10952373.72821979</c:v>
                </c:pt>
                <c:pt idx="62">
                  <c:v>10967513.294443252</c:v>
                </c:pt>
                <c:pt idx="63">
                  <c:v>9153198.6393112857</c:v>
                </c:pt>
                <c:pt idx="64">
                  <c:v>8773638.717420321</c:v>
                </c:pt>
                <c:pt idx="65">
                  <c:v>9006013.4441020694</c:v>
                </c:pt>
                <c:pt idx="66">
                  <c:v>10158861.702963317</c:v>
                </c:pt>
                <c:pt idx="67">
                  <c:v>9364497.2496166117</c:v>
                </c:pt>
                <c:pt idx="68">
                  <c:v>8308260.9333220311</c:v>
                </c:pt>
                <c:pt idx="69">
                  <c:v>9032614.3527382482</c:v>
                </c:pt>
                <c:pt idx="70">
                  <c:v>9497434.4307287745</c:v>
                </c:pt>
                <c:pt idx="71">
                  <c:v>11149027.326732604</c:v>
                </c:pt>
                <c:pt idx="72">
                  <c:v>11985752.455270387</c:v>
                </c:pt>
                <c:pt idx="73">
                  <c:v>10748366.018034752</c:v>
                </c:pt>
                <c:pt idx="74">
                  <c:v>9989586.065389229</c:v>
                </c:pt>
                <c:pt idx="75">
                  <c:v>9106398.9120746031</c:v>
                </c:pt>
                <c:pt idx="76">
                  <c:v>8476701.0975409057</c:v>
                </c:pt>
                <c:pt idx="77">
                  <c:v>9055430.6312932037</c:v>
                </c:pt>
                <c:pt idx="78">
                  <c:v>10050308.876072662</c:v>
                </c:pt>
                <c:pt idx="79">
                  <c:v>9433545.2921183202</c:v>
                </c:pt>
                <c:pt idx="80">
                  <c:v>8285481.1324438173</c:v>
                </c:pt>
                <c:pt idx="81">
                  <c:v>8831036.642715076</c:v>
                </c:pt>
                <c:pt idx="82">
                  <c:v>10004271.274020357</c:v>
                </c:pt>
                <c:pt idx="83">
                  <c:v>11176992.877850216</c:v>
                </c:pt>
                <c:pt idx="84">
                  <c:v>11847647.482342605</c:v>
                </c:pt>
                <c:pt idx="85">
                  <c:v>10608659.351309517</c:v>
                </c:pt>
                <c:pt idx="86">
                  <c:v>10434246.803446554</c:v>
                </c:pt>
                <c:pt idx="87">
                  <c:v>9109155.2290012687</c:v>
                </c:pt>
                <c:pt idx="88">
                  <c:v>8348566.4026231784</c:v>
                </c:pt>
                <c:pt idx="89">
                  <c:v>8612484.481601933</c:v>
                </c:pt>
                <c:pt idx="90">
                  <c:v>9583120.0362608526</c:v>
                </c:pt>
                <c:pt idx="91">
                  <c:v>8777130.4878027737</c:v>
                </c:pt>
                <c:pt idx="92">
                  <c:v>8073759.4544258192</c:v>
                </c:pt>
                <c:pt idx="93">
                  <c:v>8788822.0208861977</c:v>
                </c:pt>
                <c:pt idx="94">
                  <c:v>10027651.66652422</c:v>
                </c:pt>
                <c:pt idx="95">
                  <c:v>11772145.175139844</c:v>
                </c:pt>
                <c:pt idx="96">
                  <c:v>12146428.981173655</c:v>
                </c:pt>
                <c:pt idx="97">
                  <c:v>10830554.824815309</c:v>
                </c:pt>
                <c:pt idx="98">
                  <c:v>11249309.747901164</c:v>
                </c:pt>
                <c:pt idx="99">
                  <c:v>8906500.6471334994</c:v>
                </c:pt>
                <c:pt idx="100">
                  <c:v>8164797.055803217</c:v>
                </c:pt>
                <c:pt idx="101">
                  <c:v>8526527.8820769209</c:v>
                </c:pt>
                <c:pt idx="102">
                  <c:v>8695763.1803214271</c:v>
                </c:pt>
                <c:pt idx="103">
                  <c:v>8636700.1016986948</c:v>
                </c:pt>
                <c:pt idx="104">
                  <c:v>7961253.2031543748</c:v>
                </c:pt>
                <c:pt idx="105">
                  <c:v>8605660.319105329</c:v>
                </c:pt>
                <c:pt idx="106">
                  <c:v>9596799.9779392667</c:v>
                </c:pt>
                <c:pt idx="107">
                  <c:v>10807225.348681718</c:v>
                </c:pt>
                <c:pt idx="108">
                  <c:v>12165660.629921976</c:v>
                </c:pt>
                <c:pt idx="109">
                  <c:v>11380958.736133229</c:v>
                </c:pt>
                <c:pt idx="110">
                  <c:v>10723043.211367371</c:v>
                </c:pt>
                <c:pt idx="111">
                  <c:v>8531744.4145365637</c:v>
                </c:pt>
                <c:pt idx="112">
                  <c:v>8015369.0689299311</c:v>
                </c:pt>
                <c:pt idx="113">
                  <c:v>7910136.1424896168</c:v>
                </c:pt>
                <c:pt idx="114">
                  <c:v>8991388.1694671065</c:v>
                </c:pt>
                <c:pt idx="115">
                  <c:v>8484347.6946212333</c:v>
                </c:pt>
                <c:pt idx="116">
                  <c:v>7780027.7233517282</c:v>
                </c:pt>
                <c:pt idx="117">
                  <c:v>8677988.7075859066</c:v>
                </c:pt>
                <c:pt idx="118">
                  <c:v>8957301.4342782963</c:v>
                </c:pt>
                <c:pt idx="119">
                  <c:v>9720090.3771915454</c:v>
                </c:pt>
              </c:numCache>
              <c:extLst>
                <c:ext xmlns:c15="http://schemas.microsoft.com/office/drawing/2012/chart" uri="{02D57815-91ED-43cb-92C2-25804820EDAC}">
                  <c15:fullRef>
                    <c15:sqref>'Purchased Power Model'!$U$6:$U$137</c15:sqref>
                  </c15:fullRef>
                </c:ext>
              </c:extLst>
            </c:numRef>
          </c:val>
        </c:ser>
        <c:marker val="1"/>
        <c:axId val="73989120"/>
        <c:axId val="73536256"/>
      </c:lineChart>
      <c:dateAx>
        <c:axId val="73989120"/>
        <c:scaling>
          <c:orientation val="minMax"/>
        </c:scaling>
        <c:axPos val="b"/>
        <c:numFmt formatCode="mmm\-yy" sourceLinked="1"/>
        <c:tickLblPos val="nextTo"/>
        <c:crossAx val="73536256"/>
        <c:crosses val="autoZero"/>
        <c:auto val="1"/>
        <c:lblOffset val="100"/>
        <c:baseTimeUnit val="months"/>
      </c:dateAx>
      <c:valAx>
        <c:axId val="73536256"/>
        <c:scaling>
          <c:orientation val="minMax"/>
          <c:max val="14000000"/>
          <c:min val="7000000"/>
        </c:scaling>
        <c:axPos val="l"/>
        <c:majorGridlines/>
        <c:numFmt formatCode="_-* #,##0_-;\-* #,##0_-;_-* &quot;-&quot;??_-;_-@_-" sourceLinked="1"/>
        <c:tickLblPos val="nextTo"/>
        <c:crossAx val="73989120"/>
        <c:crosses val="autoZero"/>
        <c:crossBetween val="between"/>
      </c:valAx>
    </c:plotArea>
    <c:legend>
      <c:legendPos val="r"/>
      <c:layout>
        <c:manualLayout>
          <c:xMode val="edge"/>
          <c:yMode val="edge"/>
          <c:x val="0.71799686281818476"/>
          <c:y val="0.25580556867124432"/>
          <c:w val="0.2742254497372098"/>
          <c:h val="0.12689767285472381"/>
        </c:manualLayout>
      </c:layout>
    </c:legend>
    <c:plotVisOnly val="1"/>
    <c:dispBlanksAs val="gap"/>
  </c:chart>
  <c:printSettings>
    <c:headerFooter/>
    <c:pageMargins b="0.750000000000001" l="0.70000000000000062" r="0.70000000000000062" t="0.75000000000000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Annual Actual and Predicted kWh</a:t>
            </a:r>
            <a:r>
              <a:rPr lang="en-US" sz="1100" baseline="0"/>
              <a:t> Purchased</a:t>
            </a:r>
            <a:r>
              <a:rPr lang="en-US" sz="1100"/>
              <a:t> </a:t>
            </a:r>
          </a:p>
        </c:rich>
      </c:tx>
      <c:overlay val="1"/>
    </c:title>
    <c:plotArea>
      <c:layout>
        <c:manualLayout>
          <c:layoutTarget val="inner"/>
          <c:xMode val="edge"/>
          <c:yMode val="edge"/>
          <c:x val="0.17085544398261196"/>
          <c:y val="0.20097373324517642"/>
          <c:w val="0.7260926499378445"/>
          <c:h val="0.59340528775366397"/>
        </c:manualLayout>
      </c:layout>
      <c:barChart>
        <c:barDir val="col"/>
        <c:grouping val="clustered"/>
        <c:ser>
          <c:idx val="0"/>
          <c:order val="0"/>
          <c:tx>
            <c:strRef>
              <c:f>'Purchased Power Model'!$AA$33</c:f>
              <c:strCache>
                <c:ptCount val="1"/>
                <c:pt idx="0">
                  <c:v>Year</c:v>
                </c:pt>
              </c:strCache>
            </c:strRef>
          </c:tx>
          <c:spPr>
            <a:ln>
              <a:solidFill>
                <a:srgbClr val="C00000"/>
              </a:solidFill>
            </a:ln>
          </c:spPr>
          <c:cat>
            <c:numRef>
              <c:f>'Purchased Power Model'!$AA$34:$AA$43</c:f>
              <c:numCache>
                <c:formatCode>@</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'Purchased Power Model'!$AA$34:$AA$43</c:f>
              <c:numCache>
                <c:formatCode>@</c:formatCode>
                <c:ptCount val="10"/>
                <c:pt idx="0">
                  <c:v>2005</c:v>
                </c:pt>
                <c:pt idx="1">
                  <c:v>2006</c:v>
                </c:pt>
                <c:pt idx="2">
                  <c:v>2007</c:v>
                </c:pt>
                <c:pt idx="3">
                  <c:v>2008</c:v>
                </c:pt>
                <c:pt idx="4">
                  <c:v>2009</c:v>
                </c:pt>
                <c:pt idx="5">
                  <c:v>2010</c:v>
                </c:pt>
                <c:pt idx="6">
                  <c:v>2011</c:v>
                </c:pt>
                <c:pt idx="7">
                  <c:v>2012</c:v>
                </c:pt>
                <c:pt idx="8">
                  <c:v>2013</c:v>
                </c:pt>
                <c:pt idx="9">
                  <c:v>2014</c:v>
                </c:pt>
              </c:numCache>
              <c:extLst>
                <c:ext xmlns:c15="http://schemas.microsoft.com/office/drawing/2012/chart" uri="{02D57815-91ED-43cb-92C2-25804820EDAC}">
                  <c15:fullRef>
                    <c15:sqref>'Purchased Power Model'!$AA$34:$AA$46</c15:sqref>
                  </c15:fullRef>
                </c:ext>
              </c:extLst>
            </c:numRef>
          </c:val>
        </c:ser>
        <c:ser>
          <c:idx val="1"/>
          <c:order val="1"/>
          <c:tx>
            <c:strRef>
              <c:f>'Purchased Power Model'!$AB$33</c:f>
              <c:strCache>
                <c:ptCount val="1"/>
                <c:pt idx="0">
                  <c:v>Predicted by Model</c:v>
                </c:pt>
              </c:strCache>
            </c:strRef>
          </c:tx>
          <c:spPr>
            <a:ln>
              <a:solidFill>
                <a:srgbClr val="C00000"/>
              </a:solidFill>
            </a:ln>
          </c:spPr>
          <c:cat>
            <c:numRef>
              <c:f>'Purchased Power Model'!$AA$34:$AA$43</c:f>
              <c:numCache>
                <c:formatCode>@</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'Purchased Power Model'!$AB$34:$AB$44</c:f>
              <c:numCache>
                <c:formatCode>_-* #,##0_-;\-* #,##0_-;_-* "-"??_-;_-@_-</c:formatCode>
                <c:ptCount val="11"/>
                <c:pt idx="0">
                  <c:v>127663715.01427059</c:v>
                </c:pt>
                <c:pt idx="1">
                  <c:v>123416799.71901694</c:v>
                </c:pt>
                <c:pt idx="2">
                  <c:v>124100986.80243881</c:v>
                </c:pt>
                <c:pt idx="3">
                  <c:v>122884718.83751048</c:v>
                </c:pt>
                <c:pt idx="4">
                  <c:v>120857158.06058918</c:v>
                </c:pt>
                <c:pt idx="5">
                  <c:v>119385970.8482376</c:v>
                </c:pt>
                <c:pt idx="6">
                  <c:v>118776585.22206892</c:v>
                </c:pt>
                <c:pt idx="7">
                  <c:v>117143871.27482355</c:v>
                </c:pt>
                <c:pt idx="8">
                  <c:v>115983388.59136477</c:v>
                </c:pt>
                <c:pt idx="9">
                  <c:v>114127521.26980457</c:v>
                </c:pt>
                <c:pt idx="10">
                  <c:v>111338056.3098745</c:v>
                </c:pt>
              </c:numCache>
            </c:numRef>
          </c:val>
        </c:ser>
        <c:ser>
          <c:idx val="2"/>
          <c:order val="2"/>
          <c:tx>
            <c:strRef>
              <c:f>'Purchased Power Model'!$AC$33</c:f>
              <c:strCache>
                <c:ptCount val="1"/>
                <c:pt idx="0">
                  <c:v> Actual</c:v>
                </c:pt>
              </c:strCache>
            </c:strRef>
          </c:tx>
          <c:spPr>
            <a:ln>
              <a:solidFill>
                <a:srgbClr val="7030A0"/>
              </a:solidFill>
            </a:ln>
          </c:spPr>
          <c:cat>
            <c:numRef>
              <c:f>'Purchased Power Model'!$AA$34:$AA$43</c:f>
              <c:numCache>
                <c:formatCode>@</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'Purchased Power Model'!$AC$34:$AC$44</c:f>
              <c:numCache>
                <c:formatCode>_-* #,##0_-;\-* #,##0_-;_-* "-"??_-;_-@_-</c:formatCode>
                <c:ptCount val="11"/>
                <c:pt idx="0">
                  <c:v>129569190</c:v>
                </c:pt>
                <c:pt idx="1">
                  <c:v>125693570</c:v>
                </c:pt>
                <c:pt idx="2">
                  <c:v>125561560</c:v>
                </c:pt>
                <c:pt idx="3">
                  <c:v>121334640</c:v>
                </c:pt>
                <c:pt idx="4">
                  <c:v>118414830</c:v>
                </c:pt>
                <c:pt idx="5">
                  <c:v>116592701</c:v>
                </c:pt>
                <c:pt idx="6">
                  <c:v>118002442</c:v>
                </c:pt>
                <c:pt idx="7">
                  <c:v>115281047</c:v>
                </c:pt>
                <c:pt idx="8">
                  <c:v>116595466</c:v>
                </c:pt>
                <c:pt idx="9">
                  <c:v>115948548</c:v>
                </c:pt>
                <c:pt idx="10">
                  <c:v>112684777.95</c:v>
                </c:pt>
              </c:numCache>
            </c:numRef>
          </c:val>
        </c:ser>
        <c:axId val="73574656"/>
        <c:axId val="73580928"/>
      </c:barChart>
      <c:dateAx>
        <c:axId val="73574656"/>
        <c:scaling>
          <c:orientation val="minMax"/>
        </c:scaling>
        <c:axPos val="b"/>
        <c:title>
          <c:tx>
            <c:rich>
              <a:bodyPr/>
              <a:lstStyle/>
              <a:p>
                <a:pPr>
                  <a:defRPr/>
                </a:pPr>
                <a:r>
                  <a:rPr lang="en-US"/>
                  <a:t>Year</a:t>
                </a:r>
              </a:p>
            </c:rich>
          </c:tx>
        </c:title>
        <c:numFmt formatCode="@" sourceLinked="1"/>
        <c:tickLblPos val="nextTo"/>
        <c:crossAx val="73580928"/>
        <c:crosses val="autoZero"/>
        <c:lblOffset val="100"/>
        <c:baseTimeUnit val="days"/>
      </c:dateAx>
      <c:valAx>
        <c:axId val="73580928"/>
        <c:scaling>
          <c:orientation val="minMax"/>
          <c:max val="135000000"/>
          <c:min val="105000000"/>
        </c:scaling>
        <c:axPos val="l"/>
        <c:majorGridlines/>
        <c:title>
          <c:tx>
            <c:rich>
              <a:bodyPr rot="-5400000" vert="horz"/>
              <a:lstStyle/>
              <a:p>
                <a:pPr>
                  <a:defRPr/>
                </a:pPr>
                <a:r>
                  <a:rPr lang="en-US"/>
                  <a:t>kWh</a:t>
                </a:r>
              </a:p>
            </c:rich>
          </c:tx>
          <c:layout>
            <c:manualLayout>
              <c:xMode val="edge"/>
              <c:yMode val="edge"/>
              <c:x val="8.9159595047855842E-3"/>
              <c:y val="0.41550332925941563"/>
            </c:manualLayout>
          </c:layout>
        </c:title>
        <c:numFmt formatCode="#,##0" sourceLinked="0"/>
        <c:tickLblPos val="nextTo"/>
        <c:crossAx val="73574656"/>
        <c:crossesAt val="1"/>
        <c:crossBetween val="between"/>
        <c:majorUnit val="5000000"/>
      </c:valAx>
    </c:plotArea>
    <c:legend>
      <c:legendPos val="r"/>
      <c:legendEntry>
        <c:idx val="0"/>
        <c:delete val="1"/>
      </c:legendEntry>
    </c:legend>
    <c:plotVisOnly val="1"/>
    <c:dispBlanksAs val="gap"/>
  </c:chart>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n-US"/>
  <c:chart>
    <c:plotArea>
      <c:layout/>
      <c:lineChart>
        <c:grouping val="standard"/>
        <c:ser>
          <c:idx val="10"/>
          <c:order val="0"/>
          <c:tx>
            <c:strRef>
              <c:f>'HDD &amp; CDD'!$A$6</c:f>
              <c:strCache>
                <c:ptCount val="1"/>
                <c:pt idx="0">
                  <c:v>January</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CDD'!$L$6:$V$6</c:f>
              <c:numCache>
                <c:formatCode>_(* #,##0.0_);_(* \(#,##0.0\);_(* "-"??_);_(@_)</c:formatCode>
                <c:ptCount val="11"/>
                <c:pt idx="0">
                  <c:v>920.6999999999997</c:v>
                </c:pt>
                <c:pt idx="1">
                  <c:v>733.50000000000023</c:v>
                </c:pt>
                <c:pt idx="2">
                  <c:v>797.09999999999991</c:v>
                </c:pt>
                <c:pt idx="3">
                  <c:v>754.20000000000016</c:v>
                </c:pt>
                <c:pt idx="4">
                  <c:v>979.5</c:v>
                </c:pt>
                <c:pt idx="5">
                  <c:v>789.2</c:v>
                </c:pt>
                <c:pt idx="6">
                  <c:v>888.7</c:v>
                </c:pt>
                <c:pt idx="7">
                  <c:v>831.00000000000023</c:v>
                </c:pt>
                <c:pt idx="8">
                  <c:v>839.90000000000009</c:v>
                </c:pt>
                <c:pt idx="9">
                  <c:v>918.30000000000007</c:v>
                </c:pt>
                <c:pt idx="10">
                  <c:v>968.19999999999982</c:v>
                </c:pt>
              </c:numCache>
            </c:numRef>
          </c:val>
        </c:ser>
        <c:ser>
          <c:idx val="11"/>
          <c:order val="1"/>
          <c:tx>
            <c:strRef>
              <c:f>'HDD &amp; CDD'!$A$7</c:f>
              <c:strCache>
                <c:ptCount val="1"/>
                <c:pt idx="0">
                  <c:v>February</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CDD'!$L$7:$V$7</c:f>
              <c:numCache>
                <c:formatCode>_(* #,##0.0_);_(* \(#,##0.0\);_(* "-"??_);_(@_)</c:formatCode>
                <c:ptCount val="11"/>
                <c:pt idx="0">
                  <c:v>700.60000000000014</c:v>
                </c:pt>
                <c:pt idx="1">
                  <c:v>720.9</c:v>
                </c:pt>
                <c:pt idx="2">
                  <c:v>820</c:v>
                </c:pt>
                <c:pt idx="3">
                  <c:v>774.30000000000007</c:v>
                </c:pt>
                <c:pt idx="4">
                  <c:v>711.5</c:v>
                </c:pt>
                <c:pt idx="5">
                  <c:v>655.8</c:v>
                </c:pt>
                <c:pt idx="6">
                  <c:v>731.6</c:v>
                </c:pt>
                <c:pt idx="7">
                  <c:v>671.39999999999986</c:v>
                </c:pt>
                <c:pt idx="8">
                  <c:v>728.5</c:v>
                </c:pt>
                <c:pt idx="9">
                  <c:v>793.2</c:v>
                </c:pt>
                <c:pt idx="10">
                  <c:v>957.8000000000003</c:v>
                </c:pt>
              </c:numCache>
            </c:numRef>
          </c:val>
        </c:ser>
        <c:ser>
          <c:idx val="12"/>
          <c:order val="2"/>
          <c:tx>
            <c:strRef>
              <c:f>'HDD &amp; CDD'!$A$8</c:f>
              <c:strCache>
                <c:ptCount val="1"/>
                <c:pt idx="0">
                  <c:v>March</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CDD'!$L$8:$V$8</c:f>
              <c:numCache>
                <c:formatCode>_(* #,##0.0_);_(* \(#,##0.0\);_(* "-"??_);_(@_)</c:formatCode>
                <c:ptCount val="11"/>
                <c:pt idx="0">
                  <c:v>668.8</c:v>
                </c:pt>
                <c:pt idx="1">
                  <c:v>600.4</c:v>
                </c:pt>
                <c:pt idx="2">
                  <c:v>643.00000000000023</c:v>
                </c:pt>
                <c:pt idx="3">
                  <c:v>721.1</c:v>
                </c:pt>
                <c:pt idx="4">
                  <c:v>598.30000000000007</c:v>
                </c:pt>
                <c:pt idx="5">
                  <c:v>460.7000000000001</c:v>
                </c:pt>
                <c:pt idx="6">
                  <c:v>634.59999999999991</c:v>
                </c:pt>
                <c:pt idx="7">
                  <c:v>460.29999999999984</c:v>
                </c:pt>
                <c:pt idx="8">
                  <c:v>612.9</c:v>
                </c:pt>
                <c:pt idx="9">
                  <c:v>783.6</c:v>
                </c:pt>
                <c:pt idx="10">
                  <c:v>718.59999999999991</c:v>
                </c:pt>
              </c:numCache>
            </c:numRef>
          </c:val>
        </c:ser>
        <c:ser>
          <c:idx val="13"/>
          <c:order val="3"/>
          <c:tx>
            <c:strRef>
              <c:f>'HDD &amp; CDD'!$A$9</c:f>
              <c:strCache>
                <c:ptCount val="1"/>
                <c:pt idx="0">
                  <c:v>April</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CDD'!$L$9:$V$9</c:f>
              <c:numCache>
                <c:formatCode>_(* #,##0.0_);_(* \(#,##0.0\);_(* "-"??_);_(@_)</c:formatCode>
                <c:ptCount val="11"/>
                <c:pt idx="0">
                  <c:v>324.8</c:v>
                </c:pt>
                <c:pt idx="1">
                  <c:v>321.59999999999991</c:v>
                </c:pt>
                <c:pt idx="2">
                  <c:v>361.1</c:v>
                </c:pt>
                <c:pt idx="3">
                  <c:v>299.60000000000008</c:v>
                </c:pt>
                <c:pt idx="4">
                  <c:v>334.2999999999999</c:v>
                </c:pt>
                <c:pt idx="5">
                  <c:v>258.09999999999997</c:v>
                </c:pt>
                <c:pt idx="6">
                  <c:v>347.40000000000009</c:v>
                </c:pt>
                <c:pt idx="7">
                  <c:v>363.30000000000007</c:v>
                </c:pt>
                <c:pt idx="8">
                  <c:v>381.1</c:v>
                </c:pt>
                <c:pt idx="9">
                  <c:v>384.20000000000005</c:v>
                </c:pt>
                <c:pt idx="10">
                  <c:v>352.59999999999991</c:v>
                </c:pt>
              </c:numCache>
            </c:numRef>
          </c:val>
        </c:ser>
        <c:ser>
          <c:idx val="14"/>
          <c:order val="4"/>
          <c:tx>
            <c:strRef>
              <c:f>'HDD &amp; CDD'!$A$10</c:f>
              <c:strCache>
                <c:ptCount val="1"/>
                <c:pt idx="0">
                  <c:v>May</c:v>
                </c:pt>
              </c:strCache>
            </c:strRef>
          </c:tx>
          <c:marker>
            <c:symbol val="none"/>
          </c:marker>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CDD'!$L$10:$V$10</c:f>
              <c:numCache>
                <c:formatCode>_(* #,##0.0_);_(* \(#,##0.0\);_(* "-"??_);_(@_)</c:formatCode>
                <c:ptCount val="11"/>
                <c:pt idx="0">
                  <c:v>205</c:v>
                </c:pt>
                <c:pt idx="1">
                  <c:v>128.19999999999999</c:v>
                </c:pt>
                <c:pt idx="2">
                  <c:v>157.30000000000001</c:v>
                </c:pt>
                <c:pt idx="3">
                  <c:v>185.40000000000003</c:v>
                </c:pt>
                <c:pt idx="4">
                  <c:v>181.6</c:v>
                </c:pt>
                <c:pt idx="5">
                  <c:v>112.30000000000001</c:v>
                </c:pt>
                <c:pt idx="6">
                  <c:v>142.79999999999998</c:v>
                </c:pt>
                <c:pt idx="7">
                  <c:v>102.4</c:v>
                </c:pt>
                <c:pt idx="8">
                  <c:v>121.2</c:v>
                </c:pt>
                <c:pt idx="9">
                  <c:v>127.3</c:v>
                </c:pt>
                <c:pt idx="10">
                  <c:v>94.200000000000031</c:v>
                </c:pt>
              </c:numCache>
            </c:numRef>
          </c:val>
        </c:ser>
        <c:ser>
          <c:idx val="15"/>
          <c:order val="5"/>
          <c:tx>
            <c:strRef>
              <c:f>'HDD &amp; CDD'!$A$11</c:f>
              <c:strCache>
                <c:ptCount val="1"/>
                <c:pt idx="0">
                  <c:v>June</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CDD'!$L$11:$V$11</c:f>
              <c:numCache>
                <c:formatCode>_(* #,##0.0_);_(* \(#,##0.0\);_(* "-"??_);_(@_)</c:formatCode>
                <c:ptCount val="11"/>
                <c:pt idx="0">
                  <c:v>16.099999999999998</c:v>
                </c:pt>
                <c:pt idx="1">
                  <c:v>27.599999999999998</c:v>
                </c:pt>
                <c:pt idx="2">
                  <c:v>34.200000000000003</c:v>
                </c:pt>
                <c:pt idx="3">
                  <c:v>22.400000000000002</c:v>
                </c:pt>
                <c:pt idx="4">
                  <c:v>50.4</c:v>
                </c:pt>
                <c:pt idx="5">
                  <c:v>37.600000000000009</c:v>
                </c:pt>
                <c:pt idx="6">
                  <c:v>18.5</c:v>
                </c:pt>
                <c:pt idx="7">
                  <c:v>31.4</c:v>
                </c:pt>
                <c:pt idx="8">
                  <c:v>58.1</c:v>
                </c:pt>
                <c:pt idx="9">
                  <c:v>20.299999999999997</c:v>
                </c:pt>
                <c:pt idx="10">
                  <c:v>45.199999999999996</c:v>
                </c:pt>
              </c:numCache>
            </c:numRef>
          </c:val>
        </c:ser>
        <c:ser>
          <c:idx val="16"/>
          <c:order val="6"/>
          <c:tx>
            <c:strRef>
              <c:f>'HDD &amp; CDD'!$A$12</c:f>
              <c:strCache>
                <c:ptCount val="1"/>
                <c:pt idx="0">
                  <c:v>July</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CDD'!$L$12:$V$12</c:f>
              <c:numCache>
                <c:formatCode>_(* #,##0.0_);_(* \(#,##0.0\);_(* "-"??_);_(@_)</c:formatCode>
                <c:ptCount val="11"/>
                <c:pt idx="0">
                  <c:v>2.9000000000000004</c:v>
                </c:pt>
                <c:pt idx="1">
                  <c:v>0.3</c:v>
                </c:pt>
                <c:pt idx="2">
                  <c:v>11.799999999999999</c:v>
                </c:pt>
                <c:pt idx="3">
                  <c:v>0.3</c:v>
                </c:pt>
                <c:pt idx="4">
                  <c:v>13.1</c:v>
                </c:pt>
                <c:pt idx="5">
                  <c:v>4.5</c:v>
                </c:pt>
                <c:pt idx="6">
                  <c:v>0</c:v>
                </c:pt>
                <c:pt idx="7">
                  <c:v>0</c:v>
                </c:pt>
                <c:pt idx="8">
                  <c:v>7.7</c:v>
                </c:pt>
                <c:pt idx="9">
                  <c:v>8.8000000000000007</c:v>
                </c:pt>
                <c:pt idx="10">
                  <c:v>9.3000000000000007</c:v>
                </c:pt>
              </c:numCache>
            </c:numRef>
          </c:val>
        </c:ser>
        <c:ser>
          <c:idx val="17"/>
          <c:order val="7"/>
          <c:tx>
            <c:strRef>
              <c:f>'HDD &amp; CDD'!$A$13</c:f>
              <c:strCache>
                <c:ptCount val="1"/>
                <c:pt idx="0">
                  <c:v>August</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CDD'!$L$13:$V$13</c:f>
              <c:numCache>
                <c:formatCode>_(* #,##0.0_);_(* \(#,##0.0\);_(* "-"??_);_(@_)</c:formatCode>
                <c:ptCount val="11"/>
                <c:pt idx="0">
                  <c:v>8.3999999999999986</c:v>
                </c:pt>
                <c:pt idx="1">
                  <c:v>18.200000000000003</c:v>
                </c:pt>
                <c:pt idx="2">
                  <c:v>20.100000000000001</c:v>
                </c:pt>
                <c:pt idx="3">
                  <c:v>14.399999999999999</c:v>
                </c:pt>
                <c:pt idx="4">
                  <c:v>26.1</c:v>
                </c:pt>
                <c:pt idx="5">
                  <c:v>14.7</c:v>
                </c:pt>
                <c:pt idx="6">
                  <c:v>2.3000000000000003</c:v>
                </c:pt>
                <c:pt idx="7">
                  <c:v>8.4</c:v>
                </c:pt>
                <c:pt idx="8">
                  <c:v>13.400000000000004</c:v>
                </c:pt>
                <c:pt idx="9">
                  <c:v>21.400000000000002</c:v>
                </c:pt>
                <c:pt idx="10">
                  <c:v>5.6</c:v>
                </c:pt>
              </c:numCache>
            </c:numRef>
          </c:val>
        </c:ser>
        <c:ser>
          <c:idx val="18"/>
          <c:order val="8"/>
          <c:tx>
            <c:strRef>
              <c:f>'HDD &amp; CDD'!$A$14</c:f>
              <c:strCache>
                <c:ptCount val="1"/>
                <c:pt idx="0">
                  <c:v>September</c:v>
                </c:pt>
              </c:strCache>
            </c:strRef>
          </c:tx>
          <c:marker>
            <c:symbol val="none"/>
          </c:marker>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CDD'!$L$14:$V$14</c:f>
              <c:numCache>
                <c:formatCode>_(* #,##0.0_);_(* \(#,##0.0\);_(* "-"??_);_(@_)</c:formatCode>
                <c:ptCount val="11"/>
                <c:pt idx="0">
                  <c:v>59.2</c:v>
                </c:pt>
                <c:pt idx="1">
                  <c:v>120.99999999999997</c:v>
                </c:pt>
                <c:pt idx="2">
                  <c:v>75.999999999999986</c:v>
                </c:pt>
                <c:pt idx="3">
                  <c:v>95.4</c:v>
                </c:pt>
                <c:pt idx="4">
                  <c:v>106.49999999999999</c:v>
                </c:pt>
                <c:pt idx="5">
                  <c:v>112</c:v>
                </c:pt>
                <c:pt idx="6">
                  <c:v>55.4</c:v>
                </c:pt>
                <c:pt idx="7">
                  <c:v>127.30000000000001</c:v>
                </c:pt>
                <c:pt idx="8">
                  <c:v>133.20000000000005</c:v>
                </c:pt>
                <c:pt idx="9">
                  <c:v>110.3</c:v>
                </c:pt>
                <c:pt idx="10">
                  <c:v>48.400000000000006</c:v>
                </c:pt>
              </c:numCache>
            </c:numRef>
          </c:val>
        </c:ser>
        <c:ser>
          <c:idx val="19"/>
          <c:order val="9"/>
          <c:tx>
            <c:strRef>
              <c:f>'HDD &amp; CDD'!$A$15</c:f>
              <c:strCache>
                <c:ptCount val="1"/>
                <c:pt idx="0">
                  <c:v>October</c:v>
                </c:pt>
              </c:strCache>
            </c:strRef>
          </c:tx>
          <c:marker>
            <c:symbol val="none"/>
          </c:marker>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CDD'!$L$15:$V$15</c:f>
              <c:numCache>
                <c:formatCode>_(* #,##0.0_);_(* \(#,##0.0\);_(* "-"??_);_(@_)</c:formatCode>
                <c:ptCount val="11"/>
                <c:pt idx="0">
                  <c:v>269.70000000000005</c:v>
                </c:pt>
                <c:pt idx="1">
                  <c:v>335.70000000000005</c:v>
                </c:pt>
                <c:pt idx="2">
                  <c:v>227.49999999999997</c:v>
                </c:pt>
                <c:pt idx="3">
                  <c:v>321.80000000000007</c:v>
                </c:pt>
                <c:pt idx="4">
                  <c:v>355.5</c:v>
                </c:pt>
                <c:pt idx="5">
                  <c:v>311</c:v>
                </c:pt>
                <c:pt idx="6">
                  <c:v>259.10000000000002</c:v>
                </c:pt>
                <c:pt idx="7">
                  <c:v>259.8595782569019</c:v>
                </c:pt>
                <c:pt idx="8">
                  <c:v>265.2</c:v>
                </c:pt>
                <c:pt idx="9">
                  <c:v>257.90000000000003</c:v>
                </c:pt>
                <c:pt idx="10">
                  <c:v>337.30000000000007</c:v>
                </c:pt>
              </c:numCache>
            </c:numRef>
          </c:val>
        </c:ser>
        <c:ser>
          <c:idx val="1"/>
          <c:order val="10"/>
          <c:tx>
            <c:strRef>
              <c:f>'HDD &amp; CDD'!$A$16</c:f>
              <c:strCache>
                <c:ptCount val="1"/>
                <c:pt idx="0">
                  <c:v>November</c:v>
                </c:pt>
              </c:strCache>
            </c:strRef>
          </c:tx>
          <c:marker>
            <c:symbol val="none"/>
          </c:marker>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CDD'!$L$16:$V$16</c:f>
              <c:numCache>
                <c:formatCode>_(* #,##0.0_);_(* \(#,##0.0\);_(* "-"??_);_(@_)</c:formatCode>
                <c:ptCount val="11"/>
                <c:pt idx="0">
                  <c:v>484.2</c:v>
                </c:pt>
                <c:pt idx="1">
                  <c:v>417.3</c:v>
                </c:pt>
                <c:pt idx="2">
                  <c:v>517</c:v>
                </c:pt>
                <c:pt idx="3">
                  <c:v>502.8</c:v>
                </c:pt>
                <c:pt idx="4">
                  <c:v>417.39999999999992</c:v>
                </c:pt>
                <c:pt idx="5">
                  <c:v>491.59999999999985</c:v>
                </c:pt>
                <c:pt idx="6">
                  <c:v>392.9</c:v>
                </c:pt>
                <c:pt idx="7">
                  <c:v>541.70000000000005</c:v>
                </c:pt>
                <c:pt idx="8">
                  <c:v>560.79999999999995</c:v>
                </c:pt>
                <c:pt idx="9">
                  <c:v>510.6</c:v>
                </c:pt>
                <c:pt idx="10">
                  <c:v>429.00000000000006</c:v>
                </c:pt>
              </c:numCache>
            </c:numRef>
          </c:val>
        </c:ser>
        <c:ser>
          <c:idx val="2"/>
          <c:order val="11"/>
          <c:tx>
            <c:strRef>
              <c:f>'HDD &amp; CDD'!$A$17</c:f>
              <c:strCache>
                <c:ptCount val="1"/>
                <c:pt idx="0">
                  <c:v>December</c:v>
                </c:pt>
              </c:strCache>
            </c:strRef>
          </c:tx>
          <c:cat>
            <c:numRef>
              <c:f>'HDD &amp; CDD'!$L$5:$V$5</c:f>
              <c:numCache>
                <c:formatCode>General</c:formatCode>
                <c:ptCount val="11"/>
                <c:pt idx="0">
                  <c:v>2005</c:v>
                </c:pt>
                <c:pt idx="1">
                  <c:v>2006</c:v>
                </c:pt>
                <c:pt idx="2">
                  <c:v>2007</c:v>
                </c:pt>
                <c:pt idx="3">
                  <c:v>2008</c:v>
                </c:pt>
                <c:pt idx="4">
                  <c:v>2009</c:v>
                </c:pt>
                <c:pt idx="5">
                  <c:v>2010</c:v>
                </c:pt>
                <c:pt idx="6">
                  <c:v>2011</c:v>
                </c:pt>
                <c:pt idx="7">
                  <c:v>2012</c:v>
                </c:pt>
                <c:pt idx="8">
                  <c:v>2013</c:v>
                </c:pt>
                <c:pt idx="9">
                  <c:v>2014</c:v>
                </c:pt>
                <c:pt idx="10">
                  <c:v>2015</c:v>
                </c:pt>
              </c:numCache>
            </c:numRef>
          </c:cat>
          <c:val>
            <c:numRef>
              <c:f>'HDD &amp; CDD'!$L$17:$V$17</c:f>
              <c:numCache>
                <c:formatCode>_(* #,##0.0_);_(* \(#,##0.0\);_(* "-"??_);_(@_)</c:formatCode>
                <c:ptCount val="11"/>
                <c:pt idx="0">
                  <c:v>761.99999999999989</c:v>
                </c:pt>
                <c:pt idx="1">
                  <c:v>609.99999999999989</c:v>
                </c:pt>
                <c:pt idx="2">
                  <c:v>787.69999999999982</c:v>
                </c:pt>
                <c:pt idx="3">
                  <c:v>796.70000000000027</c:v>
                </c:pt>
                <c:pt idx="4">
                  <c:v>759.40000000000009</c:v>
                </c:pt>
                <c:pt idx="5">
                  <c:v>731.39999999999986</c:v>
                </c:pt>
                <c:pt idx="6">
                  <c:v>672.19999999999993</c:v>
                </c:pt>
                <c:pt idx="7">
                  <c:v>719.1</c:v>
                </c:pt>
                <c:pt idx="8">
                  <c:v>858.20000000000016</c:v>
                </c:pt>
                <c:pt idx="9">
                  <c:v>696.39999999999986</c:v>
                </c:pt>
                <c:pt idx="10">
                  <c:v>519.90000000000009</c:v>
                </c:pt>
              </c:numCache>
            </c:numRef>
          </c:val>
        </c:ser>
        <c:marker val="1"/>
        <c:axId val="73041792"/>
        <c:axId val="73043328"/>
      </c:lineChart>
      <c:catAx>
        <c:axId val="73041792"/>
        <c:scaling>
          <c:orientation val="minMax"/>
        </c:scaling>
        <c:axPos val="b"/>
        <c:numFmt formatCode="General" sourceLinked="1"/>
        <c:tickLblPos val="nextTo"/>
        <c:crossAx val="73043328"/>
        <c:crosses val="autoZero"/>
        <c:auto val="1"/>
        <c:lblAlgn val="ctr"/>
        <c:lblOffset val="100"/>
      </c:catAx>
      <c:valAx>
        <c:axId val="73043328"/>
        <c:scaling>
          <c:orientation val="minMax"/>
        </c:scaling>
        <c:axPos val="l"/>
        <c:majorGridlines/>
        <c:numFmt formatCode="_(* #,##0.0_);_(* \(#,##0.0\);_(* &quot;-&quot;??_);_(@_)" sourceLinked="1"/>
        <c:tickLblPos val="nextTo"/>
        <c:crossAx val="73041792"/>
        <c:crosses val="autoZero"/>
        <c:crossBetween val="between"/>
        <c:majorUnit val="300"/>
      </c:valAx>
    </c:plotArea>
    <c:legend>
      <c:legendPos val="r"/>
    </c:legend>
    <c:plotVisOnly val="1"/>
    <c:dispBlanksAs val="zero"/>
  </c:chart>
  <c:printSettings>
    <c:headerFooter/>
    <c:pageMargins b="0.750000000000001" l="0.70000000000000062" r="0.70000000000000062" t="0.75000000000000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49888</xdr:colOff>
      <xdr:row>621</xdr:row>
      <xdr:rowOff>114300</xdr:rowOff>
    </xdr:from>
    <xdr:to>
      <xdr:col>6</xdr:col>
      <xdr:colOff>411480</xdr:colOff>
      <xdr:row>637</xdr:row>
      <xdr:rowOff>120573</xdr:rowOff>
    </xdr:to>
    <xdr:graphicFrame macro="">
      <xdr:nvGraphicFramePr>
        <xdr:cNvPr id="2" name="Average Usage kWh"/>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36284</xdr:colOff>
      <xdr:row>639</xdr:row>
      <xdr:rowOff>133944</xdr:rowOff>
    </xdr:from>
    <xdr:to>
      <xdr:col>6</xdr:col>
      <xdr:colOff>366126</xdr:colOff>
      <xdr:row>656</xdr:row>
      <xdr:rowOff>5011</xdr:rowOff>
    </xdr:to>
    <xdr:graphicFrame macro="">
      <xdr:nvGraphicFramePr>
        <xdr:cNvPr id="7" name="Average Usage kWh"/>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108850</xdr:colOff>
      <xdr:row>658</xdr:row>
      <xdr:rowOff>155697</xdr:rowOff>
    </xdr:from>
    <xdr:to>
      <xdr:col>6</xdr:col>
      <xdr:colOff>320771</xdr:colOff>
      <xdr:row>674</xdr:row>
      <xdr:rowOff>143660</xdr:rowOff>
    </xdr:to>
    <xdr:graphicFrame macro="">
      <xdr:nvGraphicFramePr>
        <xdr:cNvPr id="8" name="Average Usage kWh"/>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99779</xdr:colOff>
      <xdr:row>677</xdr:row>
      <xdr:rowOff>104212</xdr:rowOff>
    </xdr:from>
    <xdr:to>
      <xdr:col>6</xdr:col>
      <xdr:colOff>257276</xdr:colOff>
      <xdr:row>693</xdr:row>
      <xdr:rowOff>137948</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695</xdr:row>
      <xdr:rowOff>178782</xdr:rowOff>
    </xdr:from>
    <xdr:to>
      <xdr:col>6</xdr:col>
      <xdr:colOff>157497</xdr:colOff>
      <xdr:row>712</xdr:row>
      <xdr:rowOff>104775</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33</xdr:col>
      <xdr:colOff>209551</xdr:colOff>
      <xdr:row>68</xdr:row>
      <xdr:rowOff>133350</xdr:rowOff>
    </xdr:from>
    <xdr:to>
      <xdr:col>42</xdr:col>
      <xdr:colOff>466725</xdr:colOff>
      <xdr:row>91</xdr:row>
      <xdr:rowOff>28574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85725</xdr:colOff>
      <xdr:row>71</xdr:row>
      <xdr:rowOff>152400</xdr:rowOff>
    </xdr:from>
    <xdr:to>
      <xdr:col>31</xdr:col>
      <xdr:colOff>638175</xdr:colOff>
      <xdr:row>95</xdr:row>
      <xdr:rowOff>9525</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20</xdr:col>
      <xdr:colOff>584489</xdr:colOff>
      <xdr:row>43</xdr:row>
      <xdr:rowOff>65808</xdr:rowOff>
    </xdr:from>
    <xdr:to>
      <xdr:col>30</xdr:col>
      <xdr:colOff>25979</xdr:colOff>
      <xdr:row>68</xdr:row>
      <xdr:rowOff>112568</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bacon/Documents/London/2013%20Rate%20Applicaiton/Interrogatories/Dummy%20Fil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LDC%20FTY%20-%20LF/CostAllocati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Applications%20Department/Department%20Applications/Rates/2013%20Electricity%20Rates/$Models/Final%202013%20IRM%20RG.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Market%20Operations/Department%20Applications/Reports/Rates/Electricity%20Rates%20-%20Billing%20Determinants%20Database/2012%20IRM%20DEVELOPMENT/2012%20IRM%20MODEL%20(2ND%20AND%203RD).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ybrid%20Load%20Forecast%20Feb%2025/RSL%202012%20copy.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RSL%202012%20copy.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016%20COS/RSL/Interrogatories/Revised%20Models/Hybrid%20Load%20Forecast%20Feb%2025/RSL%202012%20copy.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016%20COS/RSL/Interrogatories/Revised%20Models/RSLOEB%202016%20Model%20Final/2016%20RSL%20Rate%20Design/2016%20RSL%20Rate%20Design%20Model.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2016%20COS/RSL/RSLOEB%202016%20Model%20Final/2016_Filing_Requirements_Chapter2_Appendices_DRAF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CCalhoun/Local%20Settings/Temporary%20Internet%20Files/Content.Outlook/EIW673TU/Documents%20and%20Settings/dferraro/Local%20Settings/Temporary%20Internet%20Files/OLKB/Dummy%20File.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Billed%20kWh%20and%20Customer%20Count/Consumption%20and%20Count%20Used.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Purchased%20kWh/Purchased%20kWh%20Used.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olidays%20in%20months/Holidays%20and%20Peak%20hours.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CDM%20data/CDM%20Allocation.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2016%20COS/RSL/Interrogatories/Revised%20Models/Billed%20kWh%20and%20Customer%20Count/Consumption%20and%20Count%20Used.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CDM%20data/Data%20Used.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CDM%20data/Pre%202011/2006-2010%20Final%20OPA%20CDM%20Results.Rideau%20St.%20Lawrence%20Distribution%20Inc..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RRR/2017/RRR%202.1.5%20Demand%20and%20revenue%202016.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2016%20COS/RSL/Interrogatories/Revised%20Models/RSLOEB%202016%20Model%20Final/2017_RTSR_Workform.xlsm"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2016%20COS/RSL/Interrogatories/Revised%20Models/RSLOEB%202016%20Model%20Final/2016%20RSL%20Rate%20Design/2017%20RSL%20Rate%20Design%20Mode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dg/Desktop/Dummy%20File.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Population%20Varable/Census%20and%20customer%20count.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RRR/2016/RRR2.1.5/RRR%202.1.5%20Demand%20and%20revenue%2020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LDC%20FTY%20-%20LF\CostAllocatio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Jane%20CHEC_Load%20Forecast_Wholesale_Sept%208%20201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016%20COS/RSL/Interrogatories/Revised%20Models/Hybrid%20Load%20Forecast%20Feb%2025/Jane%20CHEC_Load%20Forecast_Wholesale_Sept%208%20201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ybrid%20Load%20Forecast%20Feb%2025/Jane%20CHEC_Load%20Forecast_Wholesale_Sept%208%20201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Jane/Downloads/2015_Filing_Requirements_Chapter2_Appendices%20(1).xlsm"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Dummy File"/>
    </sheetNames>
    <sheetDataSet>
      <sheetData sheetId="0" refreshError="1"/>
      <sheetData sheetId="1"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Menu"/>
      <sheetName val="ClassRevenues"/>
      <sheetName val="ExistingRatesDetails"/>
      <sheetName val="ExistingRatesSummary"/>
      <sheetName val="LoadForecastDetails"/>
      <sheetName val="LoadForecastSummary"/>
      <sheetName val="Refs"/>
    </sheetNames>
    <sheetDataSet>
      <sheetData sheetId="0" refreshError="1">
        <row r="8">
          <cell r="C8" t="str">
            <v>C:\Documents and Settings\jcochrane.ERA-INC\My Documents\2008EDR\FTYv1.3</v>
          </cell>
        </row>
      </sheetData>
      <sheetData sheetId="1"/>
      <sheetData sheetId="2"/>
      <sheetData sheetId="3"/>
      <sheetData sheetId="4"/>
      <sheetData sheetId="5"/>
      <sheetData sheetId="6" refreshError="1">
        <row r="2">
          <cell r="B2" t="str">
            <v>Horizon_Utilities_Corporation_Detailed_CA_model_Run2.xls</v>
          </cell>
        </row>
        <row r="3">
          <cell r="B3" t="str">
            <v>'[Horizon_Utilities_Corporation_Detailed_CA_model_Run2.xls]I2 LDC class'!$C:$G</v>
          </cell>
        </row>
        <row r="4">
          <cell r="B4" t="str">
            <v>'[Horizon_Utilities_Corporation_Detailed_CA_model_Run2.xls]O1 Revenue to cost|RR'!$D$17:$W$17</v>
          </cell>
        </row>
        <row r="5">
          <cell r="B5" t="str">
            <v>Revenue Requirement (includes NI)</v>
          </cell>
        </row>
        <row r="6">
          <cell r="B6">
            <v>92033309.222477198</v>
          </cell>
        </row>
        <row r="7">
          <cell r="B7" t="str">
            <v>'[Horizon_Utilities_Corporation_Detailed_CA_model_Run2.xls]O1 Revenue to cost|RR'!$B:$W</v>
          </cell>
        </row>
        <row r="8">
          <cell r="B8">
            <v>498976676.05552793</v>
          </cell>
        </row>
      </sheetData>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refreshError="1"/>
      <sheetData sheetId="1" refreshError="1"/>
      <sheetData sheetId="2" refreshError="1"/>
      <sheetData sheetId="3" refreshError="1">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Summary for Rate App"/>
      <sheetName val="Summary"/>
      <sheetName val="Purchased Power Model"/>
      <sheetName val="StLawrence"/>
      <sheetName val="Rate Class Energy Model"/>
      <sheetName val="Rate Class Customer Model"/>
      <sheetName val="Rate Class Load Model"/>
      <sheetName val="Weather data"/>
      <sheetName val="Tables Used for Exhibits"/>
      <sheetName val="Exhibit 3 Energy by Rate Class"/>
      <sheetName val="RSL Loss Factor"/>
      <sheetName val="2011 COP"/>
      <sheetName val="2012 COP"/>
      <sheetName val="Sheet 1"/>
    </sheetNames>
    <sheetDataSet>
      <sheetData sheetId="0"/>
      <sheetData sheetId="1"/>
      <sheetData sheetId="2">
        <row r="115">
          <cell r="B115">
            <v>129569190</v>
          </cell>
        </row>
      </sheetData>
      <sheetData sheetId="3">
        <row r="29">
          <cell r="H29">
            <v>6094000</v>
          </cell>
        </row>
      </sheetData>
      <sheetData sheetId="4">
        <row r="11">
          <cell r="G11">
            <v>126336267</v>
          </cell>
        </row>
      </sheetData>
      <sheetData sheetId="5"/>
      <sheetData sheetId="6"/>
      <sheetData sheetId="7"/>
      <sheetData sheetId="8"/>
      <sheetData sheetId="9"/>
      <sheetData sheetId="10"/>
      <sheetData sheetId="11"/>
      <sheetData sheetId="12"/>
      <sheetData sheetId="13"/>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Summary for Rate App"/>
      <sheetName val="Summary"/>
      <sheetName val="Purchased Power Model"/>
      <sheetName val="StLawrence"/>
      <sheetName val="Rate Class Energy Model"/>
      <sheetName val="Rate Class Customer Model"/>
      <sheetName val="Rate Class Load Model"/>
      <sheetName val="Weather data"/>
      <sheetName val="Tables Used for Exhibits"/>
      <sheetName val="Exhibit 3 Energy by Rate Class"/>
      <sheetName val="RSL Loss Factor"/>
      <sheetName val="2011 COP"/>
      <sheetName val="2012 COP"/>
      <sheetName val="Sheet 1"/>
    </sheetNames>
    <sheetDataSet>
      <sheetData sheetId="0"/>
      <sheetData sheetId="1"/>
      <sheetData sheetId="2">
        <row r="115">
          <cell r="B115">
            <v>129569190</v>
          </cell>
        </row>
      </sheetData>
      <sheetData sheetId="3">
        <row r="29">
          <cell r="H29">
            <v>6094000</v>
          </cell>
        </row>
      </sheetData>
      <sheetData sheetId="4">
        <row r="11">
          <cell r="G11">
            <v>126336267</v>
          </cell>
        </row>
      </sheetData>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Summary for Rate App"/>
      <sheetName val="Summary"/>
      <sheetName val="Purchased Power Model"/>
      <sheetName val="StLawrence"/>
      <sheetName val="Rate Class Energy Model"/>
      <sheetName val="Rate Class Customer Model"/>
      <sheetName val="Rate Class Load Model"/>
      <sheetName val="Weather data"/>
      <sheetName val="Tables Used for Exhibits"/>
      <sheetName val="Exhibit 3 Energy by Rate Class"/>
      <sheetName val="RSL Loss Factor"/>
      <sheetName val="2011 COP"/>
      <sheetName val="2012 COP"/>
      <sheetName val="Sheet 1"/>
    </sheetNames>
    <sheetDataSet>
      <sheetData sheetId="0"/>
      <sheetData sheetId="1"/>
      <sheetData sheetId="2">
        <row r="115">
          <cell r="B115">
            <v>129569190</v>
          </cell>
        </row>
      </sheetData>
      <sheetData sheetId="3">
        <row r="29">
          <cell r="H29">
            <v>6094000</v>
          </cell>
        </row>
      </sheetData>
      <sheetData sheetId="4">
        <row r="11">
          <cell r="G11">
            <v>126336267</v>
          </cell>
        </row>
      </sheetData>
      <sheetData sheetId="5"/>
      <sheetData sheetId="6"/>
      <sheetData sheetId="7"/>
      <sheetData sheetId="8"/>
      <sheetData sheetId="9"/>
      <sheetData sheetId="10"/>
      <sheetData sheetId="11"/>
      <sheetData sheetId="12"/>
      <sheetData sheetId="13"/>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Tables in Exhibit 8"/>
      <sheetName val="Revenue Input"/>
      <sheetName val="Transformer Allowance"/>
      <sheetName val="Forecast Data For 2016"/>
      <sheetName val="2015 Existing Rates"/>
      <sheetName val="2016 Test Yr On Existing Rates"/>
      <sheetName val="Cost Allocation Study"/>
      <sheetName val="Rates By Rate Class"/>
      <sheetName val="Allocation Low Voltage Costs"/>
      <sheetName val="Low Voltage Rates"/>
      <sheetName val="LV Costs Forecast"/>
      <sheetName val="LV Volume Forecast"/>
      <sheetName val="2016 Rate Rider "/>
      <sheetName val="Current Tariff "/>
      <sheetName val="2016 Rate Schedule (Part 1)"/>
      <sheetName val="Bill Impact - Res RPP"/>
      <sheetName val="Bill Impact - Res Non RPP"/>
      <sheetName val="Bill Impact - R Low RPP"/>
      <sheetName val="Bill Impact - R Low Non RPP"/>
      <sheetName val="Bill Impact - Com RPP "/>
      <sheetName val="Bill Impact - Com Non RPP"/>
      <sheetName val="Bill Impact - Ind Non RPP"/>
      <sheetName val="Bill Impact - Street"/>
      <sheetName val="BILL IMPACTS"/>
      <sheetName val="Bill Impact - Sentinel"/>
      <sheetName val="Bill Impact - USL"/>
      <sheetName val="Sheet1"/>
      <sheetName val="Dist. Rev. Reconciliation"/>
      <sheetName val="Revenue Deficiency Analysis"/>
      <sheetName val="Appendix 2-O Table a"/>
      <sheetName val="Appendix 2-O Table b"/>
      <sheetName val="Appendix 2-O Table c"/>
      <sheetName val="Appendix 2-O Table d"/>
      <sheetName val="Other Electriciy Rates"/>
      <sheetName val="Rate Schedule (Part 2)"/>
      <sheetName val="Revenue Deficiency Analysis (2"/>
      <sheetName val="Customer Impact"/>
      <sheetName val="2016 Rev Deficiency"/>
      <sheetName val="Revenue Requirement"/>
      <sheetName val="Return on Capital"/>
    </sheetNames>
    <sheetDataSet>
      <sheetData sheetId="0"/>
      <sheetData sheetId="1"/>
      <sheetData sheetId="2"/>
      <sheetData sheetId="3"/>
      <sheetData sheetId="4"/>
      <sheetData sheetId="5">
        <row r="22">
          <cell r="J22">
            <v>1547492.6407823511</v>
          </cell>
        </row>
        <row r="23">
          <cell r="J23">
            <v>504772.00329809316</v>
          </cell>
        </row>
        <row r="24">
          <cell r="J24">
            <v>457430.82839669025</v>
          </cell>
        </row>
        <row r="25">
          <cell r="J25">
            <v>107317.88269386216</v>
          </cell>
        </row>
        <row r="26">
          <cell r="J26">
            <v>8002.8772381130939</v>
          </cell>
        </row>
        <row r="27">
          <cell r="J27">
            <v>14535.533420578719</v>
          </cell>
        </row>
        <row r="29">
          <cell r="J29">
            <v>2639551.7658296879</v>
          </cell>
        </row>
      </sheetData>
      <sheetData sheetId="6">
        <row r="5">
          <cell r="K5">
            <v>1547492.6407823511</v>
          </cell>
        </row>
        <row r="6">
          <cell r="K6">
            <v>504772.00329809316</v>
          </cell>
        </row>
        <row r="7">
          <cell r="K7">
            <v>457430.82839669031</v>
          </cell>
        </row>
        <row r="8">
          <cell r="K8">
            <v>107317.88269386216</v>
          </cell>
        </row>
        <row r="9">
          <cell r="K9">
            <v>8002.8772381130939</v>
          </cell>
        </row>
        <row r="10">
          <cell r="K10">
            <v>14535.533420578719</v>
          </cell>
        </row>
      </sheetData>
      <sheetData sheetId="7">
        <row r="6">
          <cell r="B6">
            <v>1547492.6407823511</v>
          </cell>
        </row>
      </sheetData>
      <sheetData sheetId="8"/>
      <sheetData sheetId="9">
        <row r="6">
          <cell r="E6">
            <v>4.8890477883657829E-3</v>
          </cell>
        </row>
        <row r="12">
          <cell r="B12">
            <v>488072.27258133341</v>
          </cell>
        </row>
      </sheetData>
      <sheetData sheetId="10"/>
      <sheetData sheetId="11"/>
      <sheetData sheetId="12"/>
      <sheetData sheetId="13">
        <row r="25">
          <cell r="E25">
            <v>13.19</v>
          </cell>
        </row>
      </sheetData>
      <sheetData sheetId="14">
        <row r="12">
          <cell r="E12">
            <v>17.25</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sheetData sheetId="1"/>
      <sheetData sheetId="2"/>
      <sheetData sheetId="3"/>
      <sheetData sheetId="4"/>
      <sheetData sheetId="5"/>
      <sheetData sheetId="6"/>
      <sheetData sheetId="7"/>
      <sheetData sheetId="8">
        <row r="341">
          <cell r="K341">
            <v>-362803.53099999996</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15">
          <cell r="C15">
            <v>113461.25</v>
          </cell>
          <cell r="D15">
            <v>98803.450000000012</v>
          </cell>
          <cell r="E15">
            <v>116016.3</v>
          </cell>
          <cell r="G15">
            <v>105241.84000000001</v>
          </cell>
          <cell r="H15">
            <v>113950.76816000001</v>
          </cell>
        </row>
        <row r="16">
          <cell r="C16">
            <v>57518.62</v>
          </cell>
          <cell r="D16">
            <v>59435.51</v>
          </cell>
          <cell r="E16">
            <v>66569.210000000006</v>
          </cell>
          <cell r="G16">
            <v>72601.590000000011</v>
          </cell>
          <cell r="H16">
            <v>76000</v>
          </cell>
        </row>
        <row r="17">
          <cell r="C17">
            <v>6062.39</v>
          </cell>
          <cell r="D17">
            <v>6345.37</v>
          </cell>
          <cell r="E17">
            <v>6564.08</v>
          </cell>
          <cell r="G17">
            <v>6663.9400000000005</v>
          </cell>
          <cell r="H17">
            <v>6600</v>
          </cell>
        </row>
        <row r="18">
          <cell r="C18">
            <v>78.25</v>
          </cell>
          <cell r="D18">
            <v>79.5</v>
          </cell>
          <cell r="E18">
            <v>81</v>
          </cell>
          <cell r="G18">
            <v>62.25</v>
          </cell>
          <cell r="H18">
            <v>62.25</v>
          </cell>
        </row>
        <row r="19">
          <cell r="C19">
            <v>23748.959999999999</v>
          </cell>
          <cell r="D19">
            <v>22339.68</v>
          </cell>
          <cell r="E19">
            <v>19664.689999999999</v>
          </cell>
          <cell r="G19">
            <v>21605.89</v>
          </cell>
          <cell r="H19">
            <v>21000</v>
          </cell>
        </row>
        <row r="20">
          <cell r="C20">
            <v>44454.03</v>
          </cell>
          <cell r="D20">
            <v>44476.38</v>
          </cell>
          <cell r="E20">
            <v>44476.38</v>
          </cell>
          <cell r="G20">
            <v>43738.83</v>
          </cell>
          <cell r="H20">
            <v>43739</v>
          </cell>
        </row>
        <row r="21">
          <cell r="C21">
            <v>0</v>
          </cell>
          <cell r="D21">
            <v>0</v>
          </cell>
          <cell r="E21">
            <v>0</v>
          </cell>
          <cell r="G21">
            <v>0</v>
          </cell>
          <cell r="H21">
            <v>0</v>
          </cell>
        </row>
        <row r="22">
          <cell r="C22">
            <v>9339.7999999999993</v>
          </cell>
          <cell r="D22">
            <v>0</v>
          </cell>
          <cell r="E22">
            <v>0</v>
          </cell>
          <cell r="G22">
            <v>0</v>
          </cell>
          <cell r="H22">
            <v>0</v>
          </cell>
        </row>
        <row r="23">
          <cell r="C23">
            <v>-8639.9500000000007</v>
          </cell>
          <cell r="D23">
            <v>-8678.41</v>
          </cell>
          <cell r="E23">
            <v>-5664.92</v>
          </cell>
          <cell r="G23">
            <v>-5528.82</v>
          </cell>
          <cell r="H23">
            <v>-7780.0413863995782</v>
          </cell>
        </row>
        <row r="24">
          <cell r="C24">
            <v>22151</v>
          </cell>
          <cell r="D24">
            <v>14919.86</v>
          </cell>
          <cell r="E24">
            <v>3321.57</v>
          </cell>
          <cell r="G24">
            <v>29432.3</v>
          </cell>
          <cell r="H24">
            <v>0</v>
          </cell>
        </row>
        <row r="25">
          <cell r="C25">
            <v>1106.49</v>
          </cell>
          <cell r="D25">
            <v>-2302.0100000000002</v>
          </cell>
          <cell r="E25">
            <v>641.65</v>
          </cell>
          <cell r="G25">
            <v>0</v>
          </cell>
          <cell r="H25">
            <v>0</v>
          </cell>
        </row>
        <row r="26">
          <cell r="C26">
            <v>1410.99</v>
          </cell>
          <cell r="D26">
            <v>2940</v>
          </cell>
          <cell r="E26">
            <v>671.25</v>
          </cell>
          <cell r="G26">
            <v>0</v>
          </cell>
          <cell r="H26">
            <v>0</v>
          </cell>
        </row>
        <row r="27">
          <cell r="C27">
            <v>2110.44</v>
          </cell>
          <cell r="D27">
            <v>14881.39</v>
          </cell>
          <cell r="E27">
            <v>17713.82</v>
          </cell>
          <cell r="G27">
            <v>15305.69</v>
          </cell>
          <cell r="H27">
            <v>14000</v>
          </cell>
        </row>
        <row r="31">
          <cell r="C31">
            <v>113461.25</v>
          </cell>
          <cell r="D31">
            <v>98803.450000000012</v>
          </cell>
          <cell r="E31">
            <v>116016.3</v>
          </cell>
          <cell r="G31">
            <v>105241.84000000001</v>
          </cell>
          <cell r="H31">
            <v>113950.76816000001</v>
          </cell>
        </row>
        <row r="32">
          <cell r="C32">
            <v>57518.62</v>
          </cell>
          <cell r="D32">
            <v>59435.51</v>
          </cell>
          <cell r="E32">
            <v>66569.210000000006</v>
          </cell>
          <cell r="G32">
            <v>72601.590000000011</v>
          </cell>
          <cell r="H32">
            <v>76000</v>
          </cell>
        </row>
        <row r="33">
          <cell r="C33">
            <v>74343.63</v>
          </cell>
          <cell r="D33">
            <v>73240.929999999993</v>
          </cell>
          <cell r="E33">
            <v>70786.149999999994</v>
          </cell>
          <cell r="G33">
            <v>72070.91</v>
          </cell>
          <cell r="H33">
            <v>71401.25</v>
          </cell>
        </row>
        <row r="34">
          <cell r="C34">
            <v>27478.77</v>
          </cell>
          <cell r="D34">
            <v>21760.83</v>
          </cell>
          <cell r="E34">
            <v>16683.37</v>
          </cell>
          <cell r="G34">
            <v>39209.17</v>
          </cell>
          <cell r="H34">
            <v>6219.9586136004218</v>
          </cell>
        </row>
        <row r="35">
          <cell r="C35">
            <v>272802.27</v>
          </cell>
          <cell r="D35">
            <v>253240.72000000003</v>
          </cell>
          <cell r="E35">
            <v>270055.03000000003</v>
          </cell>
          <cell r="G35">
            <v>289123.51</v>
          </cell>
          <cell r="H35">
            <v>267571.97677360044</v>
          </cell>
        </row>
      </sheetData>
      <sheetData sheetId="30"/>
      <sheetData sheetId="31"/>
      <sheetData sheetId="32"/>
      <sheetData sheetId="33"/>
      <sheetData sheetId="34"/>
      <sheetData sheetId="35"/>
      <sheetData sheetId="36"/>
      <sheetData sheetId="37"/>
      <sheetData sheetId="38"/>
      <sheetData sheetId="39"/>
      <sheetData sheetId="40"/>
      <sheetData sheetId="41">
        <row r="49">
          <cell r="E49">
            <v>2553651.542061503</v>
          </cell>
        </row>
      </sheetData>
      <sheetData sheetId="42"/>
      <sheetData sheetId="43"/>
      <sheetData sheetId="44"/>
      <sheetData sheetId="45"/>
      <sheetData sheetId="46"/>
      <sheetData sheetId="47"/>
      <sheetData sheetId="48"/>
      <sheetData sheetId="49"/>
      <sheetData sheetId="50">
        <row r="132">
          <cell r="H132">
            <v>145.87137908</v>
          </cell>
        </row>
      </sheetData>
      <sheetData sheetId="51"/>
      <sheetData sheetId="52"/>
      <sheetData sheetId="53">
        <row r="219">
          <cell r="A219" t="str">
            <v>Service Charge</v>
          </cell>
        </row>
      </sheetData>
      <sheetData sheetId="54"/>
      <sheetData sheetId="55"/>
      <sheetData sheetId="5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Dummy File"/>
    </sheetNames>
    <sheetDataSet>
      <sheetData sheetId="0" refreshError="1"/>
      <sheetData sheetId="1"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2005-2014"/>
      <sheetName val="Sheet1"/>
      <sheetName val="Sheet2"/>
      <sheetName val="Sheet3"/>
    </sheetNames>
    <sheetDataSet>
      <sheetData sheetId="0">
        <row r="8">
          <cell r="I8">
            <v>46438361</v>
          </cell>
          <cell r="L8">
            <v>23490754</v>
          </cell>
          <cell r="O8">
            <v>54683320</v>
          </cell>
          <cell r="P8">
            <v>139429</v>
          </cell>
          <cell r="R8">
            <v>94884</v>
          </cell>
          <cell r="S8">
            <v>261</v>
          </cell>
          <cell r="U8">
            <v>1359556</v>
          </cell>
          <cell r="V8">
            <v>3764</v>
          </cell>
          <cell r="X8">
            <v>269392</v>
          </cell>
        </row>
        <row r="9">
          <cell r="I9">
            <v>44440685</v>
          </cell>
          <cell r="L9">
            <v>22220025</v>
          </cell>
          <cell r="O9">
            <v>48405425</v>
          </cell>
          <cell r="P9">
            <v>133580</v>
          </cell>
          <cell r="R9">
            <v>102394</v>
          </cell>
          <cell r="S9">
            <v>284</v>
          </cell>
          <cell r="U9">
            <v>1341413</v>
          </cell>
          <cell r="V9">
            <v>3772</v>
          </cell>
          <cell r="X9">
            <v>304493</v>
          </cell>
        </row>
        <row r="10">
          <cell r="I10">
            <v>45086486</v>
          </cell>
          <cell r="L10">
            <v>22360087</v>
          </cell>
          <cell r="O10">
            <v>44734117</v>
          </cell>
          <cell r="P10">
            <v>118636</v>
          </cell>
          <cell r="R10">
            <v>102933</v>
          </cell>
          <cell r="S10">
            <v>286</v>
          </cell>
          <cell r="U10">
            <v>1392325</v>
          </cell>
          <cell r="V10">
            <v>3777</v>
          </cell>
          <cell r="X10">
            <v>322716</v>
          </cell>
        </row>
        <row r="11">
          <cell r="I11">
            <v>44465236</v>
          </cell>
          <cell r="L11">
            <v>21119955</v>
          </cell>
          <cell r="O11">
            <v>44381852</v>
          </cell>
          <cell r="P11">
            <v>124007</v>
          </cell>
          <cell r="R11">
            <v>100161</v>
          </cell>
          <cell r="S11">
            <v>278</v>
          </cell>
          <cell r="U11">
            <v>1394217</v>
          </cell>
          <cell r="V11">
            <v>3782</v>
          </cell>
          <cell r="X11">
            <v>323685</v>
          </cell>
        </row>
        <row r="12">
          <cell r="I12">
            <v>44337599</v>
          </cell>
          <cell r="L12">
            <v>20399815</v>
          </cell>
          <cell r="O12">
            <v>43092665</v>
          </cell>
          <cell r="P12">
            <v>130261</v>
          </cell>
          <cell r="R12">
            <v>108556</v>
          </cell>
          <cell r="S12">
            <v>301</v>
          </cell>
          <cell r="U12">
            <v>1393923</v>
          </cell>
          <cell r="V12">
            <v>3774</v>
          </cell>
          <cell r="X12">
            <v>348019</v>
          </cell>
        </row>
        <row r="13">
          <cell r="I13">
            <v>44191614</v>
          </cell>
          <cell r="L13">
            <v>20418777</v>
          </cell>
          <cell r="O13">
            <v>41354016</v>
          </cell>
          <cell r="P13">
            <v>132433</v>
          </cell>
          <cell r="R13">
            <v>108277</v>
          </cell>
          <cell r="S13">
            <v>301</v>
          </cell>
          <cell r="U13">
            <v>1429699</v>
          </cell>
          <cell r="V13">
            <v>3857</v>
          </cell>
          <cell r="X13">
            <v>337164</v>
          </cell>
        </row>
        <row r="14">
          <cell r="I14">
            <v>43287278</v>
          </cell>
          <cell r="L14">
            <v>20434679</v>
          </cell>
          <cell r="O14">
            <v>43031208</v>
          </cell>
          <cell r="P14">
            <v>130762</v>
          </cell>
          <cell r="R14">
            <v>108262</v>
          </cell>
          <cell r="S14">
            <v>300</v>
          </cell>
          <cell r="U14">
            <v>1453874</v>
          </cell>
          <cell r="V14">
            <v>3941</v>
          </cell>
          <cell r="X14">
            <v>495379</v>
          </cell>
        </row>
        <row r="15">
          <cell r="I15">
            <v>42116982</v>
          </cell>
          <cell r="L15">
            <v>19669183</v>
          </cell>
          <cell r="O15">
            <v>42549997</v>
          </cell>
          <cell r="P15">
            <v>125469</v>
          </cell>
          <cell r="R15">
            <v>108266</v>
          </cell>
          <cell r="S15">
            <v>300</v>
          </cell>
          <cell r="U15">
            <v>1453808</v>
          </cell>
          <cell r="V15">
            <v>3919</v>
          </cell>
          <cell r="X15">
            <v>499265</v>
          </cell>
        </row>
        <row r="16">
          <cell r="I16">
            <v>42764838</v>
          </cell>
          <cell r="L16">
            <v>20094189</v>
          </cell>
          <cell r="O16">
            <v>42246503</v>
          </cell>
          <cell r="P16">
            <v>133148</v>
          </cell>
          <cell r="R16">
            <v>108281</v>
          </cell>
          <cell r="S16">
            <v>300</v>
          </cell>
          <cell r="U16">
            <v>1447303</v>
          </cell>
          <cell r="V16">
            <v>3920</v>
          </cell>
          <cell r="X16">
            <v>531898</v>
          </cell>
        </row>
        <row r="17">
          <cell r="I17">
            <v>42272228</v>
          </cell>
          <cell r="L17">
            <v>20739791</v>
          </cell>
          <cell r="O17">
            <v>42584416</v>
          </cell>
          <cell r="P17">
            <v>131947</v>
          </cell>
          <cell r="R17">
            <v>109302</v>
          </cell>
          <cell r="S17">
            <v>302</v>
          </cell>
          <cell r="U17">
            <v>1321505</v>
          </cell>
          <cell r="V17">
            <v>3620</v>
          </cell>
          <cell r="X17">
            <v>565759</v>
          </cell>
        </row>
        <row r="86">
          <cell r="E86">
            <v>129688</v>
          </cell>
          <cell r="F86">
            <v>2423039.3299999991</v>
          </cell>
          <cell r="J86">
            <v>7694</v>
          </cell>
          <cell r="K86">
            <v>104537303</v>
          </cell>
          <cell r="L86">
            <v>130796</v>
          </cell>
          <cell r="M86">
            <v>2423306</v>
          </cell>
        </row>
        <row r="106">
          <cell r="F106">
            <v>2422428.3500000006</v>
          </cell>
        </row>
        <row r="109">
          <cell r="D109">
            <v>40938310.960000001</v>
          </cell>
        </row>
        <row r="110">
          <cell r="D110">
            <v>20653133.002</v>
          </cell>
        </row>
        <row r="111">
          <cell r="D111">
            <v>40918077</v>
          </cell>
          <cell r="E111">
            <v>125734.44</v>
          </cell>
        </row>
        <row r="112">
          <cell r="D112">
            <v>1052678</v>
          </cell>
          <cell r="E112">
            <v>2861.6</v>
          </cell>
        </row>
        <row r="113">
          <cell r="D113">
            <v>109502</v>
          </cell>
          <cell r="E113">
            <v>302</v>
          </cell>
        </row>
        <row r="114">
          <cell r="D114">
            <v>543571</v>
          </cell>
        </row>
        <row r="116">
          <cell r="F116">
            <v>2476590.61</v>
          </cell>
        </row>
        <row r="121">
          <cell r="E121">
            <v>115477</v>
          </cell>
        </row>
        <row r="122">
          <cell r="E122">
            <v>2070</v>
          </cell>
        </row>
        <row r="123">
          <cell r="E123">
            <v>302</v>
          </cell>
        </row>
      </sheetData>
      <sheetData sheetId="1"/>
      <sheetData sheetId="2"/>
      <sheetData sheetId="3"/>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ow r="5">
          <cell r="F5">
            <v>-444000</v>
          </cell>
          <cell r="G5">
            <v>14043460</v>
          </cell>
        </row>
        <row r="6">
          <cell r="F6">
            <v>-498000</v>
          </cell>
          <cell r="G6">
            <v>12095730</v>
          </cell>
        </row>
        <row r="7">
          <cell r="F7">
            <v>-484000</v>
          </cell>
          <cell r="G7">
            <v>12289830</v>
          </cell>
        </row>
        <row r="8">
          <cell r="F8">
            <v>-330000</v>
          </cell>
          <cell r="G8">
            <v>10028980</v>
          </cell>
        </row>
        <row r="9">
          <cell r="F9">
            <v>-432000</v>
          </cell>
          <cell r="G9">
            <v>9635640</v>
          </cell>
        </row>
        <row r="10">
          <cell r="F10">
            <v>-500000</v>
          </cell>
          <cell r="G10">
            <v>10690860</v>
          </cell>
        </row>
        <row r="11">
          <cell r="F11">
            <v>-676000</v>
          </cell>
          <cell r="G11">
            <v>11192530</v>
          </cell>
        </row>
        <row r="12">
          <cell r="F12">
            <v>-600000</v>
          </cell>
          <cell r="G12">
            <v>11098410</v>
          </cell>
        </row>
        <row r="13">
          <cell r="F13">
            <v>-472000</v>
          </cell>
          <cell r="G13">
            <v>9976880</v>
          </cell>
        </row>
        <row r="14">
          <cell r="F14">
            <v>-416000</v>
          </cell>
          <cell r="G14">
            <v>10338960</v>
          </cell>
        </row>
        <row r="15">
          <cell r="F15">
            <v>-634000</v>
          </cell>
          <cell r="G15">
            <v>11286470</v>
          </cell>
        </row>
        <row r="16">
          <cell r="F16">
            <v>-608000</v>
          </cell>
          <cell r="G16">
            <v>12985440</v>
          </cell>
        </row>
        <row r="17">
          <cell r="F17">
            <v>-392000</v>
          </cell>
          <cell r="G17">
            <v>12900470</v>
          </cell>
        </row>
        <row r="24">
          <cell r="C24">
            <v>12132585</v>
          </cell>
        </row>
        <row r="25">
          <cell r="C25">
            <v>10866454</v>
          </cell>
          <cell r="D25">
            <v>1799</v>
          </cell>
        </row>
        <row r="26">
          <cell r="C26">
            <v>11067608</v>
          </cell>
          <cell r="D26">
            <v>1033</v>
          </cell>
        </row>
        <row r="27">
          <cell r="C27">
            <v>9072415</v>
          </cell>
          <cell r="D27">
            <v>2402</v>
          </cell>
        </row>
        <row r="28">
          <cell r="C28">
            <v>8656277</v>
          </cell>
          <cell r="D28">
            <v>2602</v>
          </cell>
        </row>
        <row r="29">
          <cell r="C29">
            <v>8776092</v>
          </cell>
          <cell r="D29">
            <v>2828</v>
          </cell>
        </row>
        <row r="30">
          <cell r="C30">
            <v>9998192</v>
          </cell>
          <cell r="D30">
            <v>3389</v>
          </cell>
        </row>
        <row r="31">
          <cell r="C31">
            <v>9450654</v>
          </cell>
          <cell r="D31">
            <v>3782</v>
          </cell>
        </row>
        <row r="32">
          <cell r="C32">
            <v>8631923</v>
          </cell>
          <cell r="D32">
            <v>3038</v>
          </cell>
        </row>
        <row r="33">
          <cell r="C33">
            <v>8921515</v>
          </cell>
          <cell r="D33">
            <v>5616</v>
          </cell>
        </row>
        <row r="34">
          <cell r="C34">
            <v>9478715</v>
          </cell>
          <cell r="D34">
            <v>3860</v>
          </cell>
        </row>
        <row r="35">
          <cell r="C35">
            <v>10916892</v>
          </cell>
          <cell r="D35">
            <v>2771</v>
          </cell>
        </row>
        <row r="36">
          <cell r="C36">
            <v>11698538</v>
          </cell>
          <cell r="D36">
            <v>1792</v>
          </cell>
        </row>
        <row r="37">
          <cell r="C37">
            <v>10394346</v>
          </cell>
          <cell r="D37">
            <v>1495</v>
          </cell>
        </row>
        <row r="38">
          <cell r="C38">
            <v>9868346</v>
          </cell>
          <cell r="D38">
            <v>3678</v>
          </cell>
        </row>
        <row r="39">
          <cell r="C39">
            <v>8701738</v>
          </cell>
          <cell r="D39">
            <v>5711</v>
          </cell>
        </row>
        <row r="40">
          <cell r="C40">
            <v>8473818</v>
          </cell>
          <cell r="D40">
            <v>6666</v>
          </cell>
        </row>
        <row r="41">
          <cell r="C41">
            <v>9028518</v>
          </cell>
          <cell r="D41">
            <v>8514</v>
          </cell>
        </row>
        <row r="42">
          <cell r="C42">
            <v>9776500</v>
          </cell>
          <cell r="D42">
            <v>8372</v>
          </cell>
        </row>
        <row r="43">
          <cell r="C43">
            <v>9430200</v>
          </cell>
          <cell r="D43">
            <v>8141</v>
          </cell>
        </row>
        <row r="44">
          <cell r="C44">
            <v>8456345</v>
          </cell>
          <cell r="D44">
            <v>7448</v>
          </cell>
        </row>
        <row r="45">
          <cell r="C45">
            <v>8663345</v>
          </cell>
          <cell r="D45">
            <v>6062</v>
          </cell>
        </row>
        <row r="46">
          <cell r="C46">
            <v>9765918</v>
          </cell>
          <cell r="D46">
            <v>3812</v>
          </cell>
        </row>
        <row r="47">
          <cell r="C47">
            <v>10958364</v>
          </cell>
          <cell r="D47">
            <v>3380</v>
          </cell>
        </row>
        <row r="48">
          <cell r="C48">
            <v>11999817</v>
          </cell>
          <cell r="D48">
            <v>1235</v>
          </cell>
        </row>
        <row r="49">
          <cell r="C49">
            <v>10701983</v>
          </cell>
          <cell r="D49">
            <v>1814</v>
          </cell>
        </row>
        <row r="50">
          <cell r="C50">
            <v>10574475</v>
          </cell>
          <cell r="D50">
            <v>2546</v>
          </cell>
        </row>
        <row r="51">
          <cell r="C51">
            <v>9116700</v>
          </cell>
          <cell r="D51">
            <v>4962</v>
          </cell>
        </row>
        <row r="52">
          <cell r="C52">
            <v>8204917</v>
          </cell>
          <cell r="D52">
            <v>6326</v>
          </cell>
        </row>
        <row r="53">
          <cell r="C53">
            <v>8279408</v>
          </cell>
          <cell r="D53">
            <v>8173</v>
          </cell>
        </row>
        <row r="54">
          <cell r="C54">
            <v>9591758</v>
          </cell>
          <cell r="D54">
            <v>6943</v>
          </cell>
        </row>
        <row r="55">
          <cell r="C55">
            <v>9610958</v>
          </cell>
          <cell r="D55">
            <v>8290</v>
          </cell>
        </row>
        <row r="56">
          <cell r="C56">
            <v>8187217</v>
          </cell>
          <cell r="D56">
            <v>7556</v>
          </cell>
        </row>
        <row r="57">
          <cell r="C57">
            <v>8725825</v>
          </cell>
          <cell r="D57">
            <v>6244</v>
          </cell>
        </row>
        <row r="58">
          <cell r="C58">
            <v>9926917</v>
          </cell>
          <cell r="D58">
            <v>4461</v>
          </cell>
        </row>
        <row r="59">
          <cell r="C59">
            <v>11614675</v>
          </cell>
          <cell r="D59">
            <v>2266</v>
          </cell>
        </row>
        <row r="60">
          <cell r="C60">
            <v>12521267</v>
          </cell>
          <cell r="D60">
            <v>864</v>
          </cell>
        </row>
        <row r="61">
          <cell r="C61">
            <v>10693642</v>
          </cell>
          <cell r="D61">
            <v>1826</v>
          </cell>
        </row>
        <row r="62">
          <cell r="C62">
            <v>11270883</v>
          </cell>
          <cell r="D62">
            <v>2647</v>
          </cell>
        </row>
        <row r="63">
          <cell r="C63">
            <v>9026483</v>
          </cell>
          <cell r="D63">
            <v>5510</v>
          </cell>
        </row>
        <row r="64">
          <cell r="C64">
            <v>8278885</v>
          </cell>
          <cell r="D64">
            <v>8035</v>
          </cell>
        </row>
        <row r="65">
          <cell r="C65">
            <v>8570154</v>
          </cell>
          <cell r="D65">
            <v>9577</v>
          </cell>
        </row>
        <row r="66">
          <cell r="C66">
            <v>9070654</v>
          </cell>
          <cell r="D66">
            <v>9467</v>
          </cell>
        </row>
        <row r="67">
          <cell r="C67">
            <v>8980123</v>
          </cell>
          <cell r="D67">
            <v>9127</v>
          </cell>
        </row>
        <row r="68">
          <cell r="C68">
            <v>8455877</v>
          </cell>
          <cell r="D68">
            <v>8673</v>
          </cell>
        </row>
        <row r="69">
          <cell r="C69">
            <v>8663323</v>
          </cell>
          <cell r="D69">
            <v>7439</v>
          </cell>
        </row>
        <row r="70">
          <cell r="C70">
            <v>9594308</v>
          </cell>
          <cell r="D70">
            <v>4365</v>
          </cell>
        </row>
        <row r="71">
          <cell r="C71">
            <v>10753031</v>
          </cell>
          <cell r="D71">
            <v>2388</v>
          </cell>
        </row>
        <row r="72">
          <cell r="C72">
            <v>12178875.15</v>
          </cell>
          <cell r="D72">
            <v>2052</v>
          </cell>
        </row>
        <row r="73">
          <cell r="C73">
            <v>11445612.18</v>
          </cell>
          <cell r="D73">
            <v>2693</v>
          </cell>
        </row>
        <row r="74">
          <cell r="C74">
            <v>10922675.359999999</v>
          </cell>
          <cell r="D74">
            <v>2302</v>
          </cell>
        </row>
        <row r="75">
          <cell r="C75">
            <v>8724747</v>
          </cell>
          <cell r="D75">
            <v>7189</v>
          </cell>
        </row>
        <row r="76">
          <cell r="C76">
            <v>8214245.5700000003</v>
          </cell>
          <cell r="D76">
            <v>8877</v>
          </cell>
        </row>
        <row r="77">
          <cell r="C77">
            <v>8082238.46</v>
          </cell>
          <cell r="D77">
            <v>10420</v>
          </cell>
        </row>
        <row r="78">
          <cell r="C78">
            <v>8969560.4600000009</v>
          </cell>
          <cell r="D78">
            <v>9244</v>
          </cell>
        </row>
        <row r="79">
          <cell r="C79">
            <v>8928792.9100000001</v>
          </cell>
          <cell r="D79">
            <v>10629</v>
          </cell>
        </row>
        <row r="80">
          <cell r="C80">
            <v>8487585.6799999997</v>
          </cell>
          <cell r="D80">
            <v>9115</v>
          </cell>
        </row>
        <row r="81">
          <cell r="C81">
            <v>8442807.8100000005</v>
          </cell>
          <cell r="D81">
            <v>7694</v>
          </cell>
        </row>
        <row r="82">
          <cell r="C82">
            <v>8788398.0199999996</v>
          </cell>
          <cell r="D82">
            <v>5620</v>
          </cell>
        </row>
        <row r="83">
          <cell r="C83">
            <v>9419775.3499999996</v>
          </cell>
          <cell r="D83">
            <v>3629</v>
          </cell>
        </row>
        <row r="84">
          <cell r="C84">
            <v>10989034.470000001</v>
          </cell>
          <cell r="D84">
            <v>1660</v>
          </cell>
        </row>
        <row r="85">
          <cell r="C85">
            <v>10461168.439999999</v>
          </cell>
          <cell r="D85">
            <v>2253</v>
          </cell>
        </row>
        <row r="86">
          <cell r="C86">
            <v>9905017</v>
          </cell>
          <cell r="D86">
            <v>2428</v>
          </cell>
        </row>
        <row r="87">
          <cell r="C87">
            <v>8448753</v>
          </cell>
          <cell r="D87">
            <v>6599</v>
          </cell>
        </row>
        <row r="88">
          <cell r="C88">
            <v>7971052</v>
          </cell>
          <cell r="D88">
            <v>9898</v>
          </cell>
        </row>
        <row r="89">
          <cell r="C89">
            <v>8152771</v>
          </cell>
          <cell r="D89">
            <v>10642</v>
          </cell>
        </row>
        <row r="90">
          <cell r="C90">
            <v>9080665</v>
          </cell>
          <cell r="D90">
            <v>10263</v>
          </cell>
        </row>
        <row r="91">
          <cell r="C91">
            <v>9517733</v>
          </cell>
          <cell r="D91">
            <v>10379</v>
          </cell>
        </row>
        <row r="92">
          <cell r="C92">
            <v>8054076.4400000004</v>
          </cell>
          <cell r="D92">
            <v>9442</v>
          </cell>
        </row>
        <row r="93">
          <cell r="C93">
            <v>8074621</v>
          </cell>
          <cell r="D93">
            <v>8262</v>
          </cell>
        </row>
        <row r="94">
          <cell r="C94">
            <v>8792790</v>
          </cell>
          <cell r="D94">
            <v>4981</v>
          </cell>
        </row>
        <row r="95">
          <cell r="C95">
            <v>10206407</v>
          </cell>
          <cell r="D95">
            <v>3468</v>
          </cell>
        </row>
      </sheetData>
      <sheetData sheetId="1"/>
      <sheetData sheetId="2"/>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ow r="4">
          <cell r="C4">
            <v>1</v>
          </cell>
        </row>
        <row r="5">
          <cell r="C5">
            <v>0</v>
          </cell>
        </row>
        <row r="6">
          <cell r="C6">
            <v>2</v>
          </cell>
        </row>
        <row r="7">
          <cell r="C7">
            <v>0</v>
          </cell>
        </row>
        <row r="8">
          <cell r="C8">
            <v>1</v>
          </cell>
        </row>
        <row r="9">
          <cell r="C9">
            <v>0</v>
          </cell>
        </row>
        <row r="10">
          <cell r="C10">
            <v>1</v>
          </cell>
        </row>
        <row r="11">
          <cell r="C11">
            <v>1</v>
          </cell>
        </row>
        <row r="12">
          <cell r="C12">
            <v>1</v>
          </cell>
        </row>
        <row r="13">
          <cell r="C13">
            <v>1</v>
          </cell>
        </row>
        <row r="14">
          <cell r="C14">
            <v>0</v>
          </cell>
        </row>
        <row r="15">
          <cell r="C15">
            <v>2</v>
          </cell>
        </row>
        <row r="16">
          <cell r="C16">
            <v>1</v>
          </cell>
        </row>
        <row r="17">
          <cell r="C17">
            <v>0</v>
          </cell>
        </row>
        <row r="18">
          <cell r="C18">
            <v>0</v>
          </cell>
        </row>
        <row r="19">
          <cell r="C19">
            <v>2</v>
          </cell>
        </row>
        <row r="20">
          <cell r="C20">
            <v>1</v>
          </cell>
        </row>
        <row r="21">
          <cell r="C21">
            <v>0</v>
          </cell>
        </row>
        <row r="22">
          <cell r="C22">
            <v>1</v>
          </cell>
        </row>
        <row r="23">
          <cell r="C23">
            <v>1</v>
          </cell>
        </row>
        <row r="24">
          <cell r="C24">
            <v>1</v>
          </cell>
        </row>
        <row r="25">
          <cell r="C25">
            <v>1</v>
          </cell>
        </row>
        <row r="26">
          <cell r="C26">
            <v>0</v>
          </cell>
        </row>
        <row r="27">
          <cell r="C27">
            <v>2</v>
          </cell>
        </row>
        <row r="28">
          <cell r="C28">
            <v>1</v>
          </cell>
        </row>
        <row r="29">
          <cell r="C29">
            <v>0</v>
          </cell>
        </row>
        <row r="30">
          <cell r="C30">
            <v>0</v>
          </cell>
        </row>
        <row r="31">
          <cell r="C31">
            <v>2</v>
          </cell>
        </row>
        <row r="32">
          <cell r="C32">
            <v>1</v>
          </cell>
        </row>
        <row r="33">
          <cell r="C33">
            <v>0</v>
          </cell>
        </row>
        <row r="34">
          <cell r="C34">
            <v>1</v>
          </cell>
        </row>
        <row r="35">
          <cell r="C35">
            <v>1</v>
          </cell>
        </row>
        <row r="36">
          <cell r="C36">
            <v>1</v>
          </cell>
        </row>
        <row r="37">
          <cell r="C37">
            <v>1</v>
          </cell>
        </row>
        <row r="38">
          <cell r="C38">
            <v>0</v>
          </cell>
        </row>
        <row r="39">
          <cell r="C39">
            <v>2</v>
          </cell>
        </row>
        <row r="40">
          <cell r="C40">
            <v>1</v>
          </cell>
        </row>
        <row r="41">
          <cell r="C41">
            <v>1</v>
          </cell>
        </row>
        <row r="42">
          <cell r="C42">
            <v>2</v>
          </cell>
        </row>
        <row r="43">
          <cell r="C43">
            <v>0</v>
          </cell>
        </row>
        <row r="44">
          <cell r="C44">
            <v>1</v>
          </cell>
        </row>
        <row r="45">
          <cell r="C45">
            <v>0</v>
          </cell>
        </row>
        <row r="46">
          <cell r="C46">
            <v>1</v>
          </cell>
        </row>
        <row r="47">
          <cell r="C47">
            <v>1</v>
          </cell>
        </row>
        <row r="48">
          <cell r="C48">
            <v>1</v>
          </cell>
        </row>
        <row r="49">
          <cell r="C49">
            <v>1</v>
          </cell>
        </row>
        <row r="50">
          <cell r="C50">
            <v>0</v>
          </cell>
        </row>
        <row r="51">
          <cell r="C51">
            <v>2</v>
          </cell>
        </row>
        <row r="52">
          <cell r="C52">
            <v>1</v>
          </cell>
        </row>
        <row r="53">
          <cell r="C53">
            <v>1</v>
          </cell>
        </row>
        <row r="54">
          <cell r="C54">
            <v>0</v>
          </cell>
        </row>
        <row r="55">
          <cell r="C55">
            <v>2</v>
          </cell>
        </row>
        <row r="56">
          <cell r="C56">
            <v>1</v>
          </cell>
        </row>
        <row r="57">
          <cell r="C57">
            <v>0</v>
          </cell>
        </row>
        <row r="58">
          <cell r="C58">
            <v>1</v>
          </cell>
        </row>
        <row r="59">
          <cell r="C59">
            <v>1</v>
          </cell>
        </row>
        <row r="60">
          <cell r="C60">
            <v>1</v>
          </cell>
        </row>
        <row r="61">
          <cell r="C61">
            <v>1</v>
          </cell>
        </row>
        <row r="62">
          <cell r="C62">
            <v>0</v>
          </cell>
        </row>
        <row r="63">
          <cell r="C63">
            <v>2</v>
          </cell>
        </row>
        <row r="64">
          <cell r="C64">
            <v>1</v>
          </cell>
        </row>
        <row r="65">
          <cell r="C65">
            <v>1</v>
          </cell>
        </row>
        <row r="66">
          <cell r="C66">
            <v>0</v>
          </cell>
        </row>
        <row r="67">
          <cell r="C67">
            <v>2</v>
          </cell>
        </row>
        <row r="68">
          <cell r="C68">
            <v>1</v>
          </cell>
        </row>
        <row r="69">
          <cell r="C69">
            <v>0</v>
          </cell>
        </row>
        <row r="70">
          <cell r="C70">
            <v>1</v>
          </cell>
        </row>
        <row r="71">
          <cell r="C71">
            <v>1</v>
          </cell>
        </row>
        <row r="72">
          <cell r="C72">
            <v>1</v>
          </cell>
        </row>
        <row r="73">
          <cell r="C73">
            <v>1</v>
          </cell>
        </row>
        <row r="74">
          <cell r="C74">
            <v>0</v>
          </cell>
        </row>
        <row r="75">
          <cell r="C75">
            <v>2</v>
          </cell>
        </row>
        <row r="76">
          <cell r="C76">
            <v>1</v>
          </cell>
        </row>
        <row r="77">
          <cell r="C77">
            <v>1</v>
          </cell>
        </row>
        <row r="78">
          <cell r="C78">
            <v>0</v>
          </cell>
        </row>
        <row r="79">
          <cell r="C79">
            <v>2</v>
          </cell>
        </row>
        <row r="80">
          <cell r="C80">
            <v>1</v>
          </cell>
        </row>
        <row r="81">
          <cell r="C81">
            <v>0</v>
          </cell>
        </row>
        <row r="82">
          <cell r="C82">
            <v>1</v>
          </cell>
        </row>
        <row r="83">
          <cell r="C83">
            <v>1</v>
          </cell>
        </row>
        <row r="84">
          <cell r="C84">
            <v>1</v>
          </cell>
        </row>
        <row r="85">
          <cell r="C85">
            <v>1</v>
          </cell>
        </row>
        <row r="86">
          <cell r="C86">
            <v>0</v>
          </cell>
        </row>
        <row r="87">
          <cell r="C87">
            <v>2</v>
          </cell>
        </row>
        <row r="88">
          <cell r="C88">
            <v>1</v>
          </cell>
        </row>
        <row r="89">
          <cell r="C89">
            <v>1</v>
          </cell>
        </row>
        <row r="90">
          <cell r="C90">
            <v>0</v>
          </cell>
        </row>
        <row r="91">
          <cell r="C91">
            <v>2</v>
          </cell>
        </row>
        <row r="92">
          <cell r="C92">
            <v>1</v>
          </cell>
        </row>
        <row r="93">
          <cell r="C93">
            <v>0</v>
          </cell>
        </row>
        <row r="94">
          <cell r="C94">
            <v>1</v>
          </cell>
        </row>
        <row r="95">
          <cell r="C95">
            <v>1</v>
          </cell>
        </row>
        <row r="96">
          <cell r="C96">
            <v>1</v>
          </cell>
        </row>
        <row r="97">
          <cell r="C97">
            <v>1</v>
          </cell>
        </row>
        <row r="98">
          <cell r="C98">
            <v>0</v>
          </cell>
        </row>
        <row r="99">
          <cell r="C99">
            <v>2</v>
          </cell>
        </row>
        <row r="100">
          <cell r="C100">
            <v>1</v>
          </cell>
        </row>
        <row r="101">
          <cell r="C101">
            <v>1</v>
          </cell>
        </row>
        <row r="102">
          <cell r="C102">
            <v>1</v>
          </cell>
        </row>
        <row r="103">
          <cell r="C103">
            <v>1</v>
          </cell>
        </row>
        <row r="104">
          <cell r="C104">
            <v>1</v>
          </cell>
        </row>
        <row r="105">
          <cell r="C105">
            <v>0</v>
          </cell>
        </row>
        <row r="106">
          <cell r="C106">
            <v>1</v>
          </cell>
        </row>
        <row r="107">
          <cell r="C107">
            <v>1</v>
          </cell>
        </row>
        <row r="108">
          <cell r="C108">
            <v>1</v>
          </cell>
        </row>
        <row r="109">
          <cell r="C109">
            <v>1</v>
          </cell>
        </row>
        <row r="110">
          <cell r="C110">
            <v>0</v>
          </cell>
        </row>
        <row r="111">
          <cell r="C111">
            <v>2</v>
          </cell>
        </row>
        <row r="112">
          <cell r="C112">
            <v>1</v>
          </cell>
        </row>
        <row r="113">
          <cell r="C113">
            <v>1</v>
          </cell>
        </row>
        <row r="114">
          <cell r="C114">
            <v>0</v>
          </cell>
        </row>
        <row r="115">
          <cell r="C115">
            <v>2</v>
          </cell>
        </row>
        <row r="116">
          <cell r="C116">
            <v>1</v>
          </cell>
        </row>
        <row r="117">
          <cell r="C117">
            <v>0</v>
          </cell>
        </row>
        <row r="118">
          <cell r="C118">
            <v>1</v>
          </cell>
        </row>
        <row r="119">
          <cell r="C119">
            <v>1</v>
          </cell>
        </row>
        <row r="120">
          <cell r="C120">
            <v>1</v>
          </cell>
        </row>
        <row r="121">
          <cell r="C121">
            <v>1</v>
          </cell>
        </row>
        <row r="122">
          <cell r="C122">
            <v>0</v>
          </cell>
        </row>
        <row r="123">
          <cell r="C123">
            <v>2</v>
          </cell>
        </row>
        <row r="124">
          <cell r="C124">
            <v>1</v>
          </cell>
        </row>
        <row r="125">
          <cell r="C125">
            <v>1</v>
          </cell>
        </row>
        <row r="126">
          <cell r="C126">
            <v>0</v>
          </cell>
        </row>
        <row r="127">
          <cell r="C127">
            <v>2</v>
          </cell>
        </row>
        <row r="128">
          <cell r="C128">
            <v>1</v>
          </cell>
        </row>
        <row r="129">
          <cell r="C129">
            <v>0</v>
          </cell>
        </row>
        <row r="130">
          <cell r="C130">
            <v>1</v>
          </cell>
        </row>
        <row r="131">
          <cell r="C131">
            <v>1</v>
          </cell>
        </row>
        <row r="132">
          <cell r="C132">
            <v>1</v>
          </cell>
        </row>
        <row r="133">
          <cell r="C133">
            <v>1</v>
          </cell>
        </row>
        <row r="134">
          <cell r="C134">
            <v>0</v>
          </cell>
        </row>
        <row r="135">
          <cell r="C135">
            <v>2</v>
          </cell>
        </row>
        <row r="136">
          <cell r="C136">
            <v>1</v>
          </cell>
        </row>
        <row r="137">
          <cell r="C137">
            <v>1</v>
          </cell>
        </row>
        <row r="138">
          <cell r="C138">
            <v>2</v>
          </cell>
        </row>
        <row r="139">
          <cell r="C139">
            <v>0</v>
          </cell>
        </row>
        <row r="140">
          <cell r="C140">
            <v>1</v>
          </cell>
        </row>
        <row r="141">
          <cell r="C141">
            <v>0</v>
          </cell>
        </row>
        <row r="142">
          <cell r="C142">
            <v>1</v>
          </cell>
        </row>
        <row r="143">
          <cell r="C143">
            <v>1</v>
          </cell>
        </row>
        <row r="144">
          <cell r="C144">
            <v>1</v>
          </cell>
        </row>
        <row r="145">
          <cell r="C145">
            <v>1</v>
          </cell>
        </row>
        <row r="146">
          <cell r="C146">
            <v>0</v>
          </cell>
        </row>
        <row r="147">
          <cell r="C147">
            <v>2</v>
          </cell>
        </row>
        <row r="148">
          <cell r="C148">
            <v>1</v>
          </cell>
        </row>
        <row r="149">
          <cell r="C149">
            <v>1</v>
          </cell>
        </row>
        <row r="150">
          <cell r="C150">
            <v>0</v>
          </cell>
        </row>
        <row r="151">
          <cell r="C151">
            <v>2</v>
          </cell>
        </row>
        <row r="152">
          <cell r="C152">
            <v>1</v>
          </cell>
        </row>
        <row r="153">
          <cell r="C153">
            <v>0</v>
          </cell>
        </row>
        <row r="154">
          <cell r="C154">
            <v>1</v>
          </cell>
        </row>
        <row r="155">
          <cell r="C155">
            <v>1</v>
          </cell>
        </row>
        <row r="156">
          <cell r="C156">
            <v>1</v>
          </cell>
        </row>
        <row r="157">
          <cell r="C157">
            <v>1</v>
          </cell>
        </row>
        <row r="158">
          <cell r="C158">
            <v>0</v>
          </cell>
        </row>
        <row r="159">
          <cell r="C159">
            <v>2</v>
          </cell>
        </row>
      </sheetData>
      <sheetData sheetId="1" refreshError="1"/>
      <sheetData sheetId="2"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CDM Allocation"/>
      <sheetName val="Streetlighting CDM"/>
      <sheetName val="Streetlighting CDM (2)"/>
      <sheetName val="Sheet2"/>
    </sheetNames>
    <sheetDataSet>
      <sheetData sheetId="0">
        <row r="18">
          <cell r="G18">
            <v>0.20390670380056908</v>
          </cell>
          <cell r="H18">
            <v>0.15189886707560737</v>
          </cell>
          <cell r="I18">
            <v>0.64419442912382352</v>
          </cell>
        </row>
      </sheetData>
      <sheetData sheetId="1">
        <row r="56">
          <cell r="J56">
            <v>572592.98503854778</v>
          </cell>
        </row>
      </sheetData>
      <sheetData sheetId="2"/>
      <sheetData sheetId="3"/>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2005-2014"/>
      <sheetName val="Sheet1"/>
      <sheetName val="Sheet2"/>
      <sheetName val="Sheet3"/>
    </sheetNames>
    <sheetDataSet>
      <sheetData sheetId="0">
        <row r="8">
          <cell r="I8">
            <v>46438361</v>
          </cell>
          <cell r="K8">
            <v>4931</v>
          </cell>
          <cell r="N8">
            <v>770</v>
          </cell>
          <cell r="Q8">
            <v>67</v>
          </cell>
          <cell r="T8">
            <v>56</v>
          </cell>
          <cell r="W8">
            <v>1633</v>
          </cell>
          <cell r="Z8">
            <v>49</v>
          </cell>
        </row>
        <row r="9">
          <cell r="K9">
            <v>4962</v>
          </cell>
          <cell r="N9">
            <v>771</v>
          </cell>
          <cell r="Q9">
            <v>65</v>
          </cell>
          <cell r="T9">
            <v>67</v>
          </cell>
          <cell r="W9">
            <v>1641</v>
          </cell>
          <cell r="Z9">
            <v>50</v>
          </cell>
        </row>
        <row r="10">
          <cell r="K10">
            <v>4967</v>
          </cell>
          <cell r="N10">
            <v>784</v>
          </cell>
          <cell r="Q10">
            <v>65</v>
          </cell>
          <cell r="T10">
            <v>67</v>
          </cell>
          <cell r="W10">
            <v>1644</v>
          </cell>
          <cell r="Z10">
            <v>48</v>
          </cell>
        </row>
        <row r="11">
          <cell r="K11">
            <v>4966</v>
          </cell>
          <cell r="N11">
            <v>778</v>
          </cell>
          <cell r="Q11">
            <v>66</v>
          </cell>
          <cell r="T11">
            <v>67</v>
          </cell>
          <cell r="W11">
            <v>1637</v>
          </cell>
          <cell r="Z11">
            <v>49</v>
          </cell>
        </row>
        <row r="12">
          <cell r="K12">
            <v>4974</v>
          </cell>
          <cell r="N12">
            <v>774</v>
          </cell>
          <cell r="Q12">
            <v>66</v>
          </cell>
          <cell r="T12">
            <v>75</v>
          </cell>
          <cell r="W12">
            <v>1640</v>
          </cell>
          <cell r="Z12">
            <v>49</v>
          </cell>
        </row>
        <row r="13">
          <cell r="K13">
            <v>4982</v>
          </cell>
          <cell r="N13">
            <v>770</v>
          </cell>
          <cell r="Q13">
            <v>66</v>
          </cell>
          <cell r="T13">
            <v>75</v>
          </cell>
          <cell r="W13">
            <v>1701</v>
          </cell>
          <cell r="Z13">
            <v>48</v>
          </cell>
        </row>
        <row r="14">
          <cell r="K14">
            <v>5004</v>
          </cell>
          <cell r="N14">
            <v>769</v>
          </cell>
          <cell r="Q14">
            <v>66</v>
          </cell>
          <cell r="T14">
            <v>75</v>
          </cell>
          <cell r="W14">
            <v>1703</v>
          </cell>
          <cell r="Z14">
            <v>59</v>
          </cell>
        </row>
        <row r="15">
          <cell r="K15">
            <v>5025</v>
          </cell>
          <cell r="N15">
            <v>770</v>
          </cell>
          <cell r="Q15">
            <v>67</v>
          </cell>
          <cell r="T15">
            <v>75</v>
          </cell>
          <cell r="W15">
            <v>1703</v>
          </cell>
          <cell r="Z15">
            <v>60</v>
          </cell>
        </row>
        <row r="16">
          <cell r="K16">
            <v>5035</v>
          </cell>
          <cell r="N16">
            <v>759</v>
          </cell>
          <cell r="Q16">
            <v>65</v>
          </cell>
          <cell r="T16">
            <v>75</v>
          </cell>
          <cell r="W16">
            <v>1707</v>
          </cell>
          <cell r="Z16">
            <v>61</v>
          </cell>
        </row>
        <row r="17">
          <cell r="K17">
            <v>5040</v>
          </cell>
          <cell r="N17">
            <v>754</v>
          </cell>
          <cell r="Q17">
            <v>64</v>
          </cell>
          <cell r="T17">
            <v>75</v>
          </cell>
          <cell r="W17">
            <v>1707</v>
          </cell>
          <cell r="Z17">
            <v>61</v>
          </cell>
        </row>
      </sheetData>
      <sheetData sheetId="1"/>
      <sheetData sheetId="2"/>
      <sheetData sheetId="3"/>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ow r="9">
          <cell r="C9">
            <v>1.014</v>
          </cell>
          <cell r="D9">
            <v>1.014</v>
          </cell>
          <cell r="E9">
            <v>1.014</v>
          </cell>
          <cell r="F9">
            <v>0.92800000000000005</v>
          </cell>
        </row>
        <row r="10">
          <cell r="C10">
            <v>-0.14699999999999999</v>
          </cell>
          <cell r="D10">
            <v>0.47499999999999998</v>
          </cell>
          <cell r="E10">
            <v>0.47499999999999998</v>
          </cell>
          <cell r="F10">
            <v>0.47499999999999998</v>
          </cell>
        </row>
        <row r="11">
          <cell r="C11">
            <v>0</v>
          </cell>
          <cell r="D11">
            <v>7.0000000000000001E-3</v>
          </cell>
          <cell r="E11">
            <v>0.28000000000000003</v>
          </cell>
          <cell r="F11">
            <v>0.28000000000000003</v>
          </cell>
        </row>
        <row r="12">
          <cell r="D12">
            <v>9.9000000000000005E-2</v>
          </cell>
          <cell r="E12">
            <v>0.126</v>
          </cell>
          <cell r="F12">
            <v>1.2110000000000001</v>
          </cell>
        </row>
      </sheetData>
      <sheetData sheetId="1" refreshError="1"/>
      <sheetData sheetId="2"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LDC Filter"/>
      <sheetName val="Allocation Methodology"/>
      <sheetName val="Summary - LDC"/>
      <sheetName val="Summary - Prov"/>
      <sheetName val="Annual Net Demand Savings - LDC"/>
      <sheetName val="Annual Net Energy Savings - LDC"/>
      <sheetName val="Annual Net Demand Savings -Prov"/>
      <sheetName val="Annual Net Energy Savings -Prov"/>
      <sheetName val="Initiative Level - LDC"/>
      <sheetName val="Initiative Level - Prov"/>
      <sheetName val="Measures - LDC"/>
      <sheetName val="Measures - Prov"/>
      <sheetName val="Local Distribution Companies"/>
    </sheetNames>
    <sheetDataSet>
      <sheetData sheetId="0" refreshError="1"/>
      <sheetData sheetId="1" refreshError="1"/>
      <sheetData sheetId="2">
        <row r="19">
          <cell r="E19">
            <v>415.55269487282038</v>
          </cell>
          <cell r="F19">
            <v>415.55269487282038</v>
          </cell>
          <cell r="G19">
            <v>415.55269487282038</v>
          </cell>
          <cell r="H19">
            <v>415.55269487282038</v>
          </cell>
          <cell r="I19">
            <v>72.172301702875501</v>
          </cell>
          <cell r="J19">
            <v>72.172301702875501</v>
          </cell>
          <cell r="K19">
            <v>66.018006726847346</v>
          </cell>
          <cell r="L19">
            <v>66.018006726847346</v>
          </cell>
          <cell r="M19">
            <v>62.034088982352685</v>
          </cell>
          <cell r="N19">
            <v>62.034088982352685</v>
          </cell>
          <cell r="O19">
            <v>58.608530728798215</v>
          </cell>
          <cell r="P19">
            <v>58.608530728798215</v>
          </cell>
        </row>
        <row r="20">
          <cell r="F20">
            <v>333.55357076283673</v>
          </cell>
          <cell r="G20">
            <v>237.97483517482442</v>
          </cell>
          <cell r="H20">
            <v>226.1541924168321</v>
          </cell>
          <cell r="I20">
            <v>226.1541924168321</v>
          </cell>
          <cell r="J20">
            <v>225.99892110914436</v>
          </cell>
          <cell r="K20">
            <v>219.86694770573743</v>
          </cell>
          <cell r="L20">
            <v>219.86694770573743</v>
          </cell>
          <cell r="M20">
            <v>219.86694770573743</v>
          </cell>
          <cell r="N20">
            <v>85.173205446111922</v>
          </cell>
          <cell r="O20">
            <v>51.547191357416935</v>
          </cell>
          <cell r="P20">
            <v>29.476565826690251</v>
          </cell>
        </row>
        <row r="21">
          <cell r="G21">
            <v>386.16137392585819</v>
          </cell>
          <cell r="H21">
            <v>336.57625334211514</v>
          </cell>
          <cell r="I21">
            <v>336.57625334211514</v>
          </cell>
          <cell r="J21">
            <v>336.57625334211514</v>
          </cell>
          <cell r="K21">
            <v>316.58993506054526</v>
          </cell>
          <cell r="L21">
            <v>316.16441506054531</v>
          </cell>
          <cell r="M21">
            <v>295.79524860914103</v>
          </cell>
          <cell r="N21">
            <v>280.57775641037466</v>
          </cell>
          <cell r="O21">
            <v>217.80913852963698</v>
          </cell>
          <cell r="P21">
            <v>158.81580765487291</v>
          </cell>
        </row>
        <row r="22">
          <cell r="H22">
            <v>823.88674545574236</v>
          </cell>
          <cell r="I22">
            <v>753.9467189411165</v>
          </cell>
          <cell r="J22">
            <v>753.9467189411165</v>
          </cell>
          <cell r="K22">
            <v>753.11627831212445</v>
          </cell>
          <cell r="L22">
            <v>725.05040238512959</v>
          </cell>
          <cell r="M22">
            <v>654.15012527158876</v>
          </cell>
          <cell r="N22">
            <v>643.46090401315996</v>
          </cell>
          <cell r="O22">
            <v>643.2276728764499</v>
          </cell>
          <cell r="P22">
            <v>501.23661844084819</v>
          </cell>
        </row>
        <row r="23">
          <cell r="I23">
            <v>490.6592263035426</v>
          </cell>
          <cell r="J23">
            <v>372.93592627486282</v>
          </cell>
          <cell r="K23">
            <v>372.35519439150494</v>
          </cell>
          <cell r="L23">
            <v>372.08638908714732</v>
          </cell>
          <cell r="M23">
            <v>350.30973119312461</v>
          </cell>
          <cell r="N23">
            <v>286.64710263024449</v>
          </cell>
          <cell r="O23">
            <v>284.49686309639668</v>
          </cell>
          <cell r="P23">
            <v>221.56872263942674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Summary"/>
      <sheetName val="kWh "/>
      <sheetName val="kW "/>
      <sheetName val="Retailer"/>
      <sheetName val="Retailer billed kW"/>
      <sheetName val="Retailer unbilled kW"/>
      <sheetName val="Retailer name"/>
      <sheetName val="Interval Metered "/>
    </sheetNames>
    <sheetDataSet>
      <sheetData sheetId="0">
        <row r="6">
          <cell r="I6">
            <v>0.95976249366232491</v>
          </cell>
        </row>
        <row r="7">
          <cell r="I7">
            <v>0.84285418197233486</v>
          </cell>
        </row>
        <row r="8">
          <cell r="I8">
            <v>4.6059994040452988E-2</v>
          </cell>
        </row>
        <row r="9">
          <cell r="I9">
            <v>0.19671399636296849</v>
          </cell>
        </row>
        <row r="10">
          <cell r="I10">
            <v>0.97524135929057687</v>
          </cell>
        </row>
        <row r="11">
          <cell r="I11">
            <v>0.9055389616094176</v>
          </cell>
        </row>
      </sheetData>
      <sheetData sheetId="1"/>
      <sheetData sheetId="2"/>
      <sheetData sheetId="3"/>
      <sheetData sheetId="4"/>
      <sheetData sheetId="5"/>
      <sheetData sheetId="6"/>
      <sheetData sheetId="7"/>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1. Info"/>
      <sheetName val="2. Table of Contents"/>
      <sheetName val="3. Rate Classes"/>
      <sheetName val="4. RRR Data"/>
      <sheetName val="5. UTRs and Sub-Transmission"/>
      <sheetName val="6. Historical Wholesale"/>
      <sheetName val="7. Current Wholesale"/>
      <sheetName val="8. Forecast Wholesale"/>
      <sheetName val="9. RTSR Rates to Forecast"/>
      <sheetName val="hidden1"/>
    </sheetNames>
    <sheetDataSet>
      <sheetData sheetId="0"/>
      <sheetData sheetId="1"/>
      <sheetData sheetId="2">
        <row r="19">
          <cell r="G19">
            <v>3.1307999999999998</v>
          </cell>
          <cell r="I19">
            <v>2.1617999999999999</v>
          </cell>
        </row>
        <row r="20">
          <cell r="G20">
            <v>3.4979</v>
          </cell>
          <cell r="I20">
            <v>2.4096000000000002</v>
          </cell>
        </row>
      </sheetData>
      <sheetData sheetId="3"/>
      <sheetData sheetId="4"/>
      <sheetData sheetId="5"/>
      <sheetData sheetId="6"/>
      <sheetData sheetId="7"/>
      <sheetData sheetId="8"/>
      <sheetData sheetId="9"/>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Tables in Exhibit 8"/>
      <sheetName val="Revenue Input"/>
      <sheetName val="Transformer Allowance"/>
      <sheetName val="Forecast Data For 2016"/>
      <sheetName val="2015 Existing Rates"/>
      <sheetName val="2016 Test Yr On Existing Rates"/>
      <sheetName val="Cost Allocation Study"/>
      <sheetName val="Rates By Rate Class"/>
      <sheetName val="Allocation Low Voltage Costs"/>
      <sheetName val="Low Voltage Rates"/>
      <sheetName val="LV Costs Forecast"/>
      <sheetName val="LV Volume Forecast"/>
      <sheetName val="2016 Rate Rider "/>
      <sheetName val="Current Tariff "/>
      <sheetName val="2016 Rate Schedule (Part 1)"/>
      <sheetName val="Bill Impact - Res RPP"/>
      <sheetName val="Bill Impact - Res Non RPP"/>
      <sheetName val="Bill Impact - R Low RPP"/>
      <sheetName val="Bill Impact - R Low Non RPP"/>
      <sheetName val="Bill Impact - Com RPP "/>
      <sheetName val="Bill Impact - Com Non RPP"/>
      <sheetName val="Bill Impact - Ind Non RPP"/>
      <sheetName val="Bill Impact - Street"/>
      <sheetName val="BILL IMPACTS"/>
      <sheetName val="Bill Impact - Sentinel"/>
      <sheetName val="Bill Impact - USL"/>
      <sheetName val="Sheet1"/>
      <sheetName val="Dist. Rev. Reconciliation"/>
      <sheetName val="Revenue Deficiency Analysis"/>
      <sheetName val="Appendix 2-O Table a"/>
      <sheetName val="Appendix 2-O Table b"/>
      <sheetName val="Appendix 2-O Table c"/>
      <sheetName val="Appendix 2-O Table d"/>
      <sheetName val="Other Electriciy Rates"/>
      <sheetName val="Rate Schedule (Part 2)"/>
      <sheetName val="Revenue Deficiency Analysis (2"/>
      <sheetName val="Customer Impact"/>
      <sheetName val="2016 Rev Deficiency"/>
      <sheetName val="Revenue Requirement"/>
      <sheetName val="Return on Capital"/>
    </sheetNames>
    <sheetDataSet>
      <sheetData sheetId="0"/>
      <sheetData sheetId="1"/>
      <sheetData sheetId="2"/>
      <sheetData sheetId="3"/>
      <sheetData sheetId="4"/>
      <sheetData sheetId="5"/>
      <sheetData sheetId="6"/>
      <sheetData sheetId="7"/>
      <sheetData sheetId="8"/>
      <sheetData sheetId="9">
        <row r="6">
          <cell r="E6">
            <v>4.8948843975143612E-3</v>
          </cell>
        </row>
        <row r="7">
          <cell r="E7">
            <v>4.4936643184716098E-3</v>
          </cell>
        </row>
        <row r="8">
          <cell r="E8">
            <v>1.6712439414846383</v>
          </cell>
        </row>
        <row r="9">
          <cell r="E9">
            <v>1.2789792375696041</v>
          </cell>
        </row>
        <row r="10">
          <cell r="E10">
            <v>1.3055319264497893</v>
          </cell>
        </row>
        <row r="11">
          <cell r="E11">
            <v>4.493664328409132E-3</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 val="Dummy File"/>
    </sheetNames>
    <sheetDataSet>
      <sheetData sheetId="0"/>
      <sheetData sheetId="1"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population"/>
      <sheetName val="GDP"/>
      <sheetName val="Customer Count"/>
    </sheetNames>
    <sheetDataSet>
      <sheetData sheetId="0"/>
      <sheetData sheetId="1">
        <row r="29">
          <cell r="D29">
            <v>100.23851279739272</v>
          </cell>
        </row>
        <row r="30">
          <cell r="D30">
            <v>100.47759447833063</v>
          </cell>
        </row>
        <row r="31">
          <cell r="D31">
            <v>100.7172463996738</v>
          </cell>
        </row>
        <row r="32">
          <cell r="D32">
            <v>100.95746992151857</v>
          </cell>
        </row>
        <row r="33">
          <cell r="D33">
            <v>101.19826640720528</v>
          </cell>
        </row>
        <row r="34">
          <cell r="D34">
            <v>101.43963722332603</v>
          </cell>
        </row>
        <row r="35">
          <cell r="D35">
            <v>101.6815837397324</v>
          </cell>
        </row>
        <row r="36">
          <cell r="D36">
            <v>101.92410732954325</v>
          </cell>
        </row>
        <row r="37">
          <cell r="D37">
            <v>102.16720936915249</v>
          </cell>
        </row>
        <row r="38">
          <cell r="D38">
            <v>102.41089123823691</v>
          </cell>
        </row>
        <row r="39">
          <cell r="D39">
            <v>102.65515431976404</v>
          </cell>
        </row>
        <row r="40">
          <cell r="D40">
            <v>102.89999999999991</v>
          </cell>
        </row>
        <row r="41">
          <cell r="D41">
            <v>103.10357031534689</v>
          </cell>
        </row>
        <row r="42">
          <cell r="D42">
            <v>103.30754336026908</v>
          </cell>
        </row>
        <row r="43">
          <cell r="D43">
            <v>103.51191993149912</v>
          </cell>
        </row>
        <row r="44">
          <cell r="D44">
            <v>103.71670082734583</v>
          </cell>
        </row>
        <row r="45">
          <cell r="D45">
            <v>103.92188684769735</v>
          </cell>
        </row>
        <row r="46">
          <cell r="D46">
            <v>104.12747879402426</v>
          </cell>
        </row>
        <row r="47">
          <cell r="D47">
            <v>104.33347746938271</v>
          </cell>
        </row>
        <row r="48">
          <cell r="D48">
            <v>104.5398836784176</v>
          </cell>
        </row>
        <row r="49">
          <cell r="D49">
            <v>104.74669822736561</v>
          </cell>
        </row>
        <row r="50">
          <cell r="D50">
            <v>104.95392192405851</v>
          </cell>
        </row>
        <row r="51">
          <cell r="D51">
            <v>105.16155557792617</v>
          </cell>
        </row>
        <row r="52">
          <cell r="D52">
            <v>105.36959999999981</v>
          </cell>
        </row>
        <row r="53">
          <cell r="D53">
            <v>105.55224543423039</v>
          </cell>
        </row>
        <row r="54">
          <cell r="D54">
            <v>105.73520746219052</v>
          </cell>
        </row>
        <row r="55">
          <cell r="D55">
            <v>105.91848663265708</v>
          </cell>
        </row>
        <row r="56">
          <cell r="D56">
            <v>106.10208349535816</v>
          </cell>
        </row>
        <row r="57">
          <cell r="D57">
            <v>106.28599860097476</v>
          </cell>
        </row>
        <row r="58">
          <cell r="D58">
            <v>106.47023250114242</v>
          </cell>
        </row>
        <row r="59">
          <cell r="D59">
            <v>106.65478574845287</v>
          </cell>
        </row>
        <row r="60">
          <cell r="D60">
            <v>106.83965889645567</v>
          </cell>
        </row>
        <row r="61">
          <cell r="D61">
            <v>107.02485249965993</v>
          </cell>
        </row>
        <row r="62">
          <cell r="D62">
            <v>107.2103671135359</v>
          </cell>
        </row>
        <row r="63">
          <cell r="D63">
            <v>107.39620329451667</v>
          </cell>
        </row>
        <row r="64">
          <cell r="D64">
            <v>107.58236159999987</v>
          </cell>
        </row>
        <row r="65">
          <cell r="D65">
            <v>107.52842192391142</v>
          </cell>
        </row>
        <row r="66">
          <cell r="D66">
            <v>107.47450929211362</v>
          </cell>
        </row>
        <row r="67">
          <cell r="D67">
            <v>107.42062369104701</v>
          </cell>
        </row>
        <row r="68">
          <cell r="D68">
            <v>107.3667651071589</v>
          </cell>
        </row>
        <row r="69">
          <cell r="D69">
            <v>107.31293352690341</v>
          </cell>
        </row>
        <row r="70">
          <cell r="D70">
            <v>107.25912893674146</v>
          </cell>
        </row>
        <row r="71">
          <cell r="D71">
            <v>107.20535132314075</v>
          </cell>
        </row>
        <row r="72">
          <cell r="D72">
            <v>107.15160067257574</v>
          </cell>
        </row>
        <row r="73">
          <cell r="D73">
            <v>107.09787697152773</v>
          </cell>
        </row>
        <row r="74">
          <cell r="D74">
            <v>107.04418020648474</v>
          </cell>
        </row>
        <row r="75">
          <cell r="D75">
            <v>106.9905103639416</v>
          </cell>
        </row>
        <row r="76">
          <cell r="D76">
            <v>106.93686743039989</v>
          </cell>
        </row>
        <row r="77">
          <cell r="D77">
            <v>106.64743247710501</v>
          </cell>
        </row>
        <row r="78">
          <cell r="D78">
            <v>106.35878090744762</v>
          </cell>
        </row>
        <row r="79">
          <cell r="D79">
            <v>106.0709106011243</v>
          </cell>
        </row>
        <row r="80">
          <cell r="D80">
            <v>105.78381944357039</v>
          </cell>
        </row>
        <row r="81">
          <cell r="D81">
            <v>105.49750532594459</v>
          </cell>
        </row>
        <row r="82">
          <cell r="D82">
            <v>105.21196614511329</v>
          </cell>
        </row>
        <row r="83">
          <cell r="D83">
            <v>104.92719980363529</v>
          </cell>
        </row>
        <row r="84">
          <cell r="D84">
            <v>104.64320420974627</v>
          </cell>
        </row>
        <row r="85">
          <cell r="D85">
            <v>104.3599772773435</v>
          </cell>
        </row>
        <row r="86">
          <cell r="D86">
            <v>104.07751692597047</v>
          </cell>
        </row>
        <row r="87">
          <cell r="D87">
            <v>103.79582108080163</v>
          </cell>
        </row>
        <row r="88">
          <cell r="D88">
            <v>103.51488767262715</v>
          </cell>
        </row>
        <row r="89">
          <cell r="D89">
            <v>103.77018331107756</v>
          </cell>
        </row>
        <row r="90">
          <cell r="D90">
            <v>104.02610857744408</v>
          </cell>
        </row>
        <row r="91">
          <cell r="D91">
            <v>104.28266502455901</v>
          </cell>
        </row>
        <row r="92">
          <cell r="D92">
            <v>104.53985420908435</v>
          </cell>
        </row>
        <row r="93">
          <cell r="D93">
            <v>104.79767769152126</v>
          </cell>
        </row>
        <row r="94">
          <cell r="D94">
            <v>105.05613703621948</v>
          </cell>
        </row>
        <row r="95">
          <cell r="D95">
            <v>105.3152338113869</v>
          </cell>
        </row>
        <row r="96">
          <cell r="D96">
            <v>105.57496958909903</v>
          </cell>
        </row>
        <row r="97">
          <cell r="D97">
            <v>105.8353459453085</v>
          </cell>
        </row>
        <row r="98">
          <cell r="D98">
            <v>106.09636445985473</v>
          </cell>
        </row>
        <row r="99">
          <cell r="D99">
            <v>106.35802671647338</v>
          </cell>
        </row>
        <row r="100">
          <cell r="D100">
            <v>106.62033430280609</v>
          </cell>
        </row>
        <row r="101">
          <cell r="D101">
            <v>106.84863702804462</v>
          </cell>
        </row>
        <row r="102">
          <cell r="D102">
            <v>107.07742861063566</v>
          </cell>
        </row>
        <row r="103">
          <cell r="D103">
            <v>107.3067100973539</v>
          </cell>
        </row>
        <row r="104">
          <cell r="D104">
            <v>107.53648253721542</v>
          </cell>
        </row>
        <row r="105">
          <cell r="D105">
            <v>107.76674698148256</v>
          </cell>
        </row>
        <row r="106">
          <cell r="D106">
            <v>107.99750448366868</v>
          </cell>
        </row>
        <row r="107">
          <cell r="D107">
            <v>108.22875609954298</v>
          </cell>
        </row>
        <row r="108">
          <cell r="D108">
            <v>108.46050288713538</v>
          </cell>
        </row>
        <row r="109">
          <cell r="D109">
            <v>108.69274590674128</v>
          </cell>
        </row>
        <row r="110">
          <cell r="D110">
            <v>108.9254862209265</v>
          </cell>
        </row>
        <row r="111">
          <cell r="D111">
            <v>109.15872489453209</v>
          </cell>
        </row>
        <row r="112">
          <cell r="D112">
            <v>109.39246299467918</v>
          </cell>
        </row>
        <row r="113">
          <cell r="D113">
            <v>109.54624110961838</v>
          </cell>
        </row>
        <row r="114">
          <cell r="D114">
            <v>109.70023539766483</v>
          </cell>
        </row>
        <row r="115">
          <cell r="D115">
            <v>109.85444616270318</v>
          </cell>
        </row>
        <row r="116">
          <cell r="D116">
            <v>110.00887370904532</v>
          </cell>
        </row>
        <row r="117">
          <cell r="D117">
            <v>110.16351834143087</v>
          </cell>
        </row>
        <row r="118">
          <cell r="D118">
            <v>110.31838036502788</v>
          </cell>
        </row>
        <row r="119">
          <cell r="D119">
            <v>110.47346008543335</v>
          </cell>
        </row>
        <row r="120">
          <cell r="D120">
            <v>110.6287578086739</v>
          </cell>
        </row>
        <row r="121">
          <cell r="D121">
            <v>110.78427384120633</v>
          </cell>
        </row>
        <row r="122">
          <cell r="D122">
            <v>110.94000848991826</v>
          </cell>
        </row>
        <row r="123">
          <cell r="D123">
            <v>111.09596206212871</v>
          </cell>
        </row>
        <row r="124">
          <cell r="D124">
            <v>111.25213486558869</v>
          </cell>
        </row>
        <row r="125">
          <cell r="D125">
            <v>111.37194580300799</v>
          </cell>
        </row>
        <row r="126">
          <cell r="D126">
            <v>111.49188576860946</v>
          </cell>
        </row>
        <row r="127">
          <cell r="D127">
            <v>111.61195490134764</v>
          </cell>
        </row>
        <row r="128">
          <cell r="D128">
            <v>111.7321533403267</v>
          </cell>
        </row>
        <row r="129">
          <cell r="D129">
            <v>111.85248122480061</v>
          </cell>
        </row>
        <row r="130">
          <cell r="D130">
            <v>111.97293869417331</v>
          </cell>
        </row>
        <row r="131">
          <cell r="D131">
            <v>112.09352588799885</v>
          </cell>
        </row>
        <row r="132">
          <cell r="D132">
            <v>112.21424294598162</v>
          </cell>
        </row>
        <row r="133">
          <cell r="D133">
            <v>112.33509000797642</v>
          </cell>
        </row>
        <row r="134">
          <cell r="D134">
            <v>112.45606721398867</v>
          </cell>
        </row>
        <row r="135">
          <cell r="D135">
            <v>112.57717470417458</v>
          </cell>
        </row>
        <row r="136">
          <cell r="D136">
            <v>112.69841261884129</v>
          </cell>
        </row>
        <row r="137">
          <cell r="D137">
            <v>112.87531646974237</v>
          </cell>
        </row>
        <row r="138">
          <cell r="D138">
            <v>113.05249800842749</v>
          </cell>
        </row>
        <row r="139">
          <cell r="D139">
            <v>113.22995767078599</v>
          </cell>
        </row>
        <row r="140">
          <cell r="D140">
            <v>113.40769589339145</v>
          </cell>
        </row>
        <row r="141">
          <cell r="D141">
            <v>113.58571311350273</v>
          </cell>
        </row>
        <row r="142">
          <cell r="D142">
            <v>113.76400976906508</v>
          </cell>
        </row>
        <row r="143">
          <cell r="D143">
            <v>113.94258629871118</v>
          </cell>
        </row>
        <row r="144">
          <cell r="D144">
            <v>114.12144314176223</v>
          </cell>
        </row>
        <row r="145">
          <cell r="D145">
            <v>114.30058073822906</v>
          </cell>
        </row>
        <row r="146">
          <cell r="D146">
            <v>114.47999952881318</v>
          </cell>
        </row>
        <row r="147">
          <cell r="D147">
            <v>114.65969995490788</v>
          </cell>
        </row>
        <row r="148">
          <cell r="D148">
            <v>114.83968245859928</v>
          </cell>
        </row>
      </sheetData>
      <sheetData sheetId="2">
        <row r="25">
          <cell r="L25">
            <v>5705.666666666667</v>
          </cell>
        </row>
        <row r="26">
          <cell r="L26">
            <v>5711.3333333333339</v>
          </cell>
        </row>
        <row r="27">
          <cell r="L27">
            <v>5717.0000000000009</v>
          </cell>
        </row>
        <row r="28">
          <cell r="L28">
            <v>5722.6666666666679</v>
          </cell>
        </row>
        <row r="29">
          <cell r="L29">
            <v>5728.3333333333348</v>
          </cell>
        </row>
        <row r="30">
          <cell r="L30">
            <v>5734.0000000000018</v>
          </cell>
        </row>
        <row r="31">
          <cell r="L31">
            <v>5739.6666666666688</v>
          </cell>
        </row>
        <row r="32">
          <cell r="L32">
            <v>5745.3333333333358</v>
          </cell>
        </row>
        <row r="33">
          <cell r="L33">
            <v>5751.0000000000027</v>
          </cell>
        </row>
        <row r="34">
          <cell r="L34">
            <v>5756.6666666666697</v>
          </cell>
        </row>
        <row r="35">
          <cell r="L35">
            <v>5762.3333333333367</v>
          </cell>
        </row>
        <row r="36">
          <cell r="L36">
            <v>5768</v>
          </cell>
        </row>
        <row r="37">
          <cell r="L37">
            <v>5770.5</v>
          </cell>
        </row>
        <row r="38">
          <cell r="L38">
            <v>5773</v>
          </cell>
        </row>
        <row r="39">
          <cell r="L39">
            <v>5775.5</v>
          </cell>
        </row>
        <row r="40">
          <cell r="L40">
            <v>5778</v>
          </cell>
        </row>
        <row r="41">
          <cell r="L41">
            <v>5780.5</v>
          </cell>
        </row>
        <row r="42">
          <cell r="L42">
            <v>5783</v>
          </cell>
        </row>
        <row r="43">
          <cell r="L43">
            <v>5785.5</v>
          </cell>
        </row>
        <row r="44">
          <cell r="L44">
            <v>5788</v>
          </cell>
        </row>
        <row r="45">
          <cell r="L45">
            <v>5790.5</v>
          </cell>
        </row>
        <row r="46">
          <cell r="L46">
            <v>5793</v>
          </cell>
        </row>
        <row r="47">
          <cell r="L47">
            <v>5795.5</v>
          </cell>
        </row>
        <row r="48">
          <cell r="L48">
            <v>5798</v>
          </cell>
        </row>
        <row r="49">
          <cell r="L49">
            <v>5799.5</v>
          </cell>
        </row>
        <row r="50">
          <cell r="L50">
            <v>5801</v>
          </cell>
        </row>
        <row r="51">
          <cell r="L51">
            <v>5802.5</v>
          </cell>
        </row>
        <row r="52">
          <cell r="L52">
            <v>5804</v>
          </cell>
        </row>
        <row r="53">
          <cell r="L53">
            <v>5805.5</v>
          </cell>
        </row>
        <row r="54">
          <cell r="L54">
            <v>5807</v>
          </cell>
        </row>
        <row r="55">
          <cell r="L55">
            <v>5808.5</v>
          </cell>
        </row>
        <row r="56">
          <cell r="L56">
            <v>5810</v>
          </cell>
        </row>
        <row r="57">
          <cell r="L57">
            <v>5811.5</v>
          </cell>
        </row>
        <row r="58">
          <cell r="L58">
            <v>5813</v>
          </cell>
        </row>
        <row r="59">
          <cell r="L59">
            <v>5814.5</v>
          </cell>
        </row>
        <row r="60">
          <cell r="L60">
            <v>5816</v>
          </cell>
        </row>
        <row r="61">
          <cell r="L61">
            <v>5815.5</v>
          </cell>
        </row>
        <row r="62">
          <cell r="L62">
            <v>5815</v>
          </cell>
        </row>
        <row r="63">
          <cell r="L63">
            <v>5814.5</v>
          </cell>
        </row>
        <row r="64">
          <cell r="L64">
            <v>5814</v>
          </cell>
        </row>
        <row r="65">
          <cell r="L65">
            <v>5813.5</v>
          </cell>
        </row>
        <row r="66">
          <cell r="L66">
            <v>5813</v>
          </cell>
        </row>
        <row r="67">
          <cell r="L67">
            <v>5812.5</v>
          </cell>
        </row>
        <row r="68">
          <cell r="L68">
            <v>5812</v>
          </cell>
        </row>
        <row r="69">
          <cell r="L69">
            <v>5811.5</v>
          </cell>
        </row>
        <row r="70">
          <cell r="L70">
            <v>5811</v>
          </cell>
        </row>
        <row r="71">
          <cell r="L71">
            <v>5810.5</v>
          </cell>
        </row>
        <row r="72">
          <cell r="L72">
            <v>5810</v>
          </cell>
        </row>
        <row r="73">
          <cell r="L73">
            <v>5810.333333333333</v>
          </cell>
        </row>
        <row r="74">
          <cell r="L74">
            <v>5810.6666666666661</v>
          </cell>
        </row>
        <row r="75">
          <cell r="L75">
            <v>5810.9999999999991</v>
          </cell>
        </row>
        <row r="76">
          <cell r="L76">
            <v>5811.3333333333321</v>
          </cell>
        </row>
        <row r="77">
          <cell r="L77">
            <v>5811.6666666666652</v>
          </cell>
        </row>
        <row r="78">
          <cell r="L78">
            <v>5811.9999999999982</v>
          </cell>
        </row>
        <row r="79">
          <cell r="L79">
            <v>5812.3333333333312</v>
          </cell>
        </row>
        <row r="80">
          <cell r="L80">
            <v>5812.6666666666642</v>
          </cell>
        </row>
        <row r="81">
          <cell r="L81">
            <v>5812.9999999999973</v>
          </cell>
        </row>
        <row r="82">
          <cell r="L82">
            <v>5813.3333333333303</v>
          </cell>
        </row>
        <row r="83">
          <cell r="L83">
            <v>5813.6666666666633</v>
          </cell>
        </row>
        <row r="84">
          <cell r="L84">
            <v>5814</v>
          </cell>
        </row>
        <row r="85">
          <cell r="L85">
            <v>5814.333333333333</v>
          </cell>
        </row>
        <row r="86">
          <cell r="L86">
            <v>5814.6666666666661</v>
          </cell>
        </row>
        <row r="87">
          <cell r="L87">
            <v>5814.9999999999991</v>
          </cell>
        </row>
        <row r="88">
          <cell r="L88">
            <v>5815.3333333333321</v>
          </cell>
        </row>
        <row r="89">
          <cell r="L89">
            <v>5815.6666666666652</v>
          </cell>
        </row>
        <row r="90">
          <cell r="L90">
            <v>5815.9999999999982</v>
          </cell>
        </row>
        <row r="91">
          <cell r="L91">
            <v>5816.3333333333312</v>
          </cell>
        </row>
        <row r="92">
          <cell r="L92">
            <v>5816.6666666666642</v>
          </cell>
        </row>
        <row r="93">
          <cell r="L93">
            <v>5816.9999999999973</v>
          </cell>
        </row>
        <row r="94">
          <cell r="L94">
            <v>5817.3333333333303</v>
          </cell>
        </row>
        <row r="95">
          <cell r="L95">
            <v>5817.6666666666633</v>
          </cell>
        </row>
        <row r="96">
          <cell r="L96">
            <v>5818</v>
          </cell>
        </row>
        <row r="97">
          <cell r="L97">
            <v>5819.75</v>
          </cell>
        </row>
        <row r="98">
          <cell r="L98">
            <v>5821.5</v>
          </cell>
        </row>
        <row r="99">
          <cell r="L99">
            <v>5823.25</v>
          </cell>
        </row>
        <row r="100">
          <cell r="L100">
            <v>5825</v>
          </cell>
        </row>
        <row r="101">
          <cell r="L101">
            <v>5826.75</v>
          </cell>
        </row>
        <row r="102">
          <cell r="L102">
            <v>5828.5</v>
          </cell>
        </row>
        <row r="103">
          <cell r="L103">
            <v>5830.25</v>
          </cell>
        </row>
        <row r="104">
          <cell r="L104">
            <v>5832</v>
          </cell>
        </row>
        <row r="105">
          <cell r="L105">
            <v>5833.75</v>
          </cell>
        </row>
        <row r="106">
          <cell r="L106">
            <v>5835.5</v>
          </cell>
        </row>
        <row r="107">
          <cell r="L107">
            <v>5837.25</v>
          </cell>
        </row>
        <row r="108">
          <cell r="L108">
            <v>5839</v>
          </cell>
        </row>
        <row r="109">
          <cell r="L109">
            <v>5840.916666666667</v>
          </cell>
        </row>
        <row r="110">
          <cell r="L110">
            <v>5842.8333333333339</v>
          </cell>
        </row>
        <row r="111">
          <cell r="L111">
            <v>5844.7500000000009</v>
          </cell>
        </row>
        <row r="112">
          <cell r="L112">
            <v>5846.6666666666679</v>
          </cell>
        </row>
        <row r="113">
          <cell r="L113">
            <v>5848.5833333333348</v>
          </cell>
        </row>
        <row r="114">
          <cell r="L114">
            <v>5850.5000000000018</v>
          </cell>
        </row>
        <row r="115">
          <cell r="L115">
            <v>5852.4166666666688</v>
          </cell>
        </row>
        <row r="116">
          <cell r="L116">
            <v>5854.3333333333358</v>
          </cell>
        </row>
        <row r="117">
          <cell r="L117">
            <v>5856.2500000000027</v>
          </cell>
        </row>
        <row r="118">
          <cell r="L118">
            <v>5858.1666666666697</v>
          </cell>
        </row>
        <row r="119">
          <cell r="L119">
            <v>5860.0833333333367</v>
          </cell>
        </row>
        <row r="120">
          <cell r="L120">
            <v>5862</v>
          </cell>
        </row>
        <row r="121">
          <cell r="L121">
            <v>5861.75</v>
          </cell>
        </row>
        <row r="122">
          <cell r="L122">
            <v>5861.5</v>
          </cell>
        </row>
        <row r="123">
          <cell r="L123">
            <v>5861.25</v>
          </cell>
        </row>
        <row r="124">
          <cell r="L124">
            <v>5861</v>
          </cell>
        </row>
        <row r="125">
          <cell r="L125">
            <v>5860.75</v>
          </cell>
        </row>
        <row r="126">
          <cell r="L126">
            <v>5860.5</v>
          </cell>
        </row>
        <row r="127">
          <cell r="L127">
            <v>5860.25</v>
          </cell>
        </row>
        <row r="128">
          <cell r="L128">
            <v>5860</v>
          </cell>
        </row>
        <row r="129">
          <cell r="L129">
            <v>5859.75</v>
          </cell>
        </row>
        <row r="130">
          <cell r="L130">
            <v>5859.5</v>
          </cell>
        </row>
        <row r="131">
          <cell r="L131">
            <v>5859.25</v>
          </cell>
        </row>
        <row r="132">
          <cell r="L132">
            <v>5859</v>
          </cell>
        </row>
        <row r="133">
          <cell r="L133">
            <v>5858.916666666667</v>
          </cell>
        </row>
        <row r="134">
          <cell r="L134">
            <v>5858.8333333333339</v>
          </cell>
        </row>
        <row r="135">
          <cell r="L135">
            <v>5858.7500000000009</v>
          </cell>
        </row>
        <row r="136">
          <cell r="L136">
            <v>5858.6666666666679</v>
          </cell>
        </row>
        <row r="137">
          <cell r="L137">
            <v>5858.5833333333348</v>
          </cell>
        </row>
        <row r="138">
          <cell r="L138">
            <v>5858.5000000000018</v>
          </cell>
        </row>
        <row r="139">
          <cell r="L139">
            <v>5858.4166666666688</v>
          </cell>
        </row>
        <row r="140">
          <cell r="L140">
            <v>5858.3333333333358</v>
          </cell>
        </row>
        <row r="141">
          <cell r="L141">
            <v>5858.2500000000027</v>
          </cell>
        </row>
        <row r="142">
          <cell r="L142">
            <v>5858.1666666666697</v>
          </cell>
        </row>
        <row r="143">
          <cell r="L143">
            <v>5858.0833333333367</v>
          </cell>
        </row>
        <row r="144">
          <cell r="L144">
            <v>5858</v>
          </cell>
        </row>
      </sheetData>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Summary"/>
      <sheetName val="kWh "/>
      <sheetName val="kW "/>
      <sheetName val="Retailer"/>
      <sheetName val="Retailer billed kW"/>
      <sheetName val="Retailer unbilled kW"/>
      <sheetName val="Retailer name"/>
      <sheetName val="Interval Metered "/>
    </sheetNames>
    <sheetDataSet>
      <sheetData sheetId="0">
        <row r="6">
          <cell r="I6">
            <v>0.95087149535883053</v>
          </cell>
        </row>
        <row r="7">
          <cell r="I7">
            <v>0.83068873868643145</v>
          </cell>
        </row>
        <row r="8">
          <cell r="I8">
            <v>4.9836164099305059E-2</v>
          </cell>
        </row>
        <row r="9">
          <cell r="I9">
            <v>0.14403169820210929</v>
          </cell>
        </row>
        <row r="10">
          <cell r="I10">
            <v>0.97585432229548319</v>
          </cell>
        </row>
        <row r="11">
          <cell r="I11">
            <v>0.90505012224713977</v>
          </cell>
        </row>
      </sheetData>
      <sheetData sheetId="1"/>
      <sheetData sheetId="2"/>
      <sheetData sheetId="3"/>
      <sheetData sheetId="4"/>
      <sheetData sheetId="5"/>
      <sheetData sheetId="6"/>
      <sheetData sheetId="7"/>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Menu"/>
      <sheetName val="ClassRevenues"/>
      <sheetName val="ExistingRatesDetails"/>
      <sheetName val="ExistingRatesSummary"/>
      <sheetName val="LoadForecastDetails"/>
      <sheetName val="LoadForecastSummary"/>
      <sheetName val="Refs"/>
    </sheetNames>
    <sheetDataSet>
      <sheetData sheetId="0" refreshError="1"/>
      <sheetData sheetId="1"/>
      <sheetData sheetId="2"/>
      <sheetData sheetId="3"/>
      <sheetData sheetId="4"/>
      <sheetData sheetId="5"/>
      <sheetData sheetId="6" refreshError="1">
        <row r="2">
          <cell r="B2" t="str">
            <v>Horizon_Utilities_Corporation_Detailed_CA_model_Run2.xls</v>
          </cell>
        </row>
        <row r="5">
          <cell r="B5" t="str">
            <v>Revenue Requirement (includes NI)</v>
          </cell>
        </row>
        <row r="6">
          <cell r="B6">
            <v>92033309.222477198</v>
          </cell>
        </row>
        <row r="8">
          <cell r="B8">
            <v>498976676.05552793</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Rate Class Energy Model"/>
      <sheetName val="Rate Class Load Model"/>
      <sheetName val="7. Weather Senstive Class"/>
      <sheetName val="8. KW and Non-Weather Sensitive"/>
      <sheetName val="9. Weather Adj LF"/>
      <sheetName val="10. CDM Adjustment"/>
      <sheetName val="10.1 CDM Allocation"/>
      <sheetName val="11. Final Load Forecast"/>
      <sheetName val="12. Analysis_ Avg Per Cust"/>
      <sheetName val="13. Analysis_Weather adj LF"/>
      <sheetName val="Sheet1"/>
      <sheetName val="App.2-R_Loss Factors"/>
      <sheetName val="RSL Loss Factor"/>
      <sheetName val="6. WS Regression Analysis 20Y"/>
      <sheetName val="6. WS Regression Analysis (2)"/>
      <sheetName val="6. WS Regression Analysis ( (3"/>
      <sheetName val="Sheet2"/>
    </sheetNames>
    <sheetDataSet>
      <sheetData sheetId="0"/>
      <sheetData sheetId="1"/>
      <sheetData sheetId="2">
        <row r="25">
          <cell r="B25">
            <v>2005</v>
          </cell>
        </row>
      </sheetData>
      <sheetData sheetId="3">
        <row r="17">
          <cell r="B17">
            <v>2005</v>
          </cell>
        </row>
      </sheetData>
      <sheetData sheetId="4">
        <row r="16">
          <cell r="B16" t="str">
            <v>HDD</v>
          </cell>
        </row>
        <row r="43">
          <cell r="B43" t="str">
            <v>CDD</v>
          </cell>
        </row>
        <row r="70">
          <cell r="B70" t="str">
            <v>Number of Days in Month</v>
          </cell>
        </row>
        <row r="100">
          <cell r="B100" t="str">
            <v>Spring/Fall Flag</v>
          </cell>
        </row>
        <row r="116">
          <cell r="B116" t="str">
            <v>Holidays in Month</v>
          </cell>
        </row>
        <row r="132">
          <cell r="B132" t="str">
            <v>HDD</v>
          </cell>
        </row>
        <row r="133">
          <cell r="B133" t="str">
            <v>CDD</v>
          </cell>
        </row>
        <row r="134">
          <cell r="B134" t="str">
            <v>Number of Days in Month</v>
          </cell>
        </row>
        <row r="135">
          <cell r="B135" t="str">
            <v>Population</v>
          </cell>
        </row>
        <row r="136">
          <cell r="B136" t="str">
            <v>Spring/Fall Flag</v>
          </cell>
        </row>
        <row r="137">
          <cell r="B137" t="str">
            <v>Holidays in Month</v>
          </cell>
        </row>
      </sheetData>
      <sheetData sheetId="5"/>
      <sheetData sheetId="6"/>
      <sheetData sheetId="7">
        <row r="4">
          <cell r="F4">
            <v>1.0760105974916543</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Rate Class Energy Mode Usedl"/>
      <sheetName val="Rate Class Load Model"/>
      <sheetName val="7. Weather Senstive Class"/>
      <sheetName val="8. KW and Non-Weather Sensitive"/>
      <sheetName val="9. Weather Adj LF"/>
      <sheetName val="10. CDM Adjustment"/>
      <sheetName val="10.1 CDM Allocation"/>
      <sheetName val="11. Final Load Forecast"/>
      <sheetName val="12. Analysis_ Avg Per Cust"/>
      <sheetName val="13. Analysis_Weather adj LF"/>
      <sheetName val="Sheet1"/>
      <sheetName val="App.2-R_Loss Factors"/>
      <sheetName val="RSL Loss Factor"/>
      <sheetName val="6. WS Regression Analysis 20Y"/>
      <sheetName val="6. WS Regression Analysis (2)"/>
      <sheetName val="6. WS Regression Analysis ( (3"/>
      <sheetName val="Sheet2"/>
    </sheetNames>
    <sheetDataSet>
      <sheetData sheetId="0" refreshError="1"/>
      <sheetData sheetId="1" refreshError="1"/>
      <sheetData sheetId="2" refreshError="1"/>
      <sheetData sheetId="3">
        <row r="17">
          <cell r="B17">
            <v>2005</v>
          </cell>
        </row>
      </sheetData>
      <sheetData sheetId="4">
        <row r="16">
          <cell r="B16" t="str">
            <v>HDD</v>
          </cell>
        </row>
        <row r="43">
          <cell r="B43" t="str">
            <v>CDD</v>
          </cell>
        </row>
        <row r="70">
          <cell r="B70" t="str">
            <v>Number of Days in Month</v>
          </cell>
        </row>
        <row r="100">
          <cell r="B100" t="str">
            <v>Spring/Fall Flag</v>
          </cell>
        </row>
        <row r="116">
          <cell r="B116" t="str">
            <v>Holidays in Month</v>
          </cell>
        </row>
        <row r="132">
          <cell r="B132" t="str">
            <v>HDD</v>
          </cell>
        </row>
        <row r="133">
          <cell r="B133" t="str">
            <v>CDD</v>
          </cell>
        </row>
        <row r="134">
          <cell r="B134" t="str">
            <v>Number of Days in Month</v>
          </cell>
        </row>
        <row r="135">
          <cell r="B135" t="str">
            <v>Population</v>
          </cell>
        </row>
        <row r="136">
          <cell r="B136" t="str">
            <v>Spring/Fall Flag</v>
          </cell>
        </row>
        <row r="137">
          <cell r="B137" t="str">
            <v>Holidays in Month</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Rate Class Energy Mode Usedl"/>
      <sheetName val="Rate Class Load Model"/>
      <sheetName val="7. Weather Senstive Class"/>
      <sheetName val="8. KW and Non-Weather Sensitive"/>
      <sheetName val="9. Weather Adj LF"/>
      <sheetName val="10. CDM Adjustment"/>
      <sheetName val="10.1 CDM Allocation"/>
      <sheetName val="11. Final Load Forecast"/>
      <sheetName val="12. Analysis_ Avg Per Cust"/>
      <sheetName val="13. Analysis_Weather adj LF"/>
      <sheetName val="Sheet1"/>
      <sheetName val="App.2-R_Loss Factors"/>
      <sheetName val="RSL Loss Factor"/>
      <sheetName val="6. WS Regression Analysis 20Y"/>
      <sheetName val="6. WS Regression Analysis (2)"/>
      <sheetName val="6. WS Regression Analysis ( (3"/>
      <sheetName val="Sheet2"/>
    </sheetNames>
    <sheetDataSet>
      <sheetData sheetId="0" refreshError="1"/>
      <sheetData sheetId="1" refreshError="1"/>
      <sheetData sheetId="2" refreshError="1"/>
      <sheetData sheetId="3">
        <row r="17">
          <cell r="B17">
            <v>2005</v>
          </cell>
        </row>
      </sheetData>
      <sheetData sheetId="4">
        <row r="16">
          <cell r="B16" t="str">
            <v>HDD</v>
          </cell>
        </row>
        <row r="43">
          <cell r="B43" t="str">
            <v>CDD</v>
          </cell>
        </row>
        <row r="70">
          <cell r="B70" t="str">
            <v>Number of Days in Month</v>
          </cell>
        </row>
        <row r="100">
          <cell r="B100" t="str">
            <v>Spring/Fall Flag</v>
          </cell>
        </row>
        <row r="116">
          <cell r="B116" t="str">
            <v>Holidays in Month</v>
          </cell>
        </row>
        <row r="132">
          <cell r="B132" t="str">
            <v>HDD</v>
          </cell>
        </row>
        <row r="133">
          <cell r="B133" t="str">
            <v>CDD</v>
          </cell>
        </row>
        <row r="134">
          <cell r="B134" t="str">
            <v>Number of Days in Month</v>
          </cell>
        </row>
        <row r="135">
          <cell r="B135" t="str">
            <v>Population</v>
          </cell>
        </row>
        <row r="136">
          <cell r="B136" t="str">
            <v>Spring/Fall Flag</v>
          </cell>
        </row>
        <row r="137">
          <cell r="B137" t="str">
            <v>Holidays in Month</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refreshError="1"/>
      <sheetData sheetId="1" refreshError="1"/>
      <sheetData sheetId="2" refreshError="1">
        <row r="19">
          <cell r="B19" t="str">
            <v>UNMETERED SCATTERED LOAD</v>
          </cell>
        </row>
        <row r="20">
          <cell r="B20" t="str">
            <v>RESIDENTIAL URBAN</v>
          </cell>
        </row>
        <row r="21">
          <cell r="B21" t="str">
            <v>microFIT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_MIFRS Summary Impacts"/>
      <sheetName val="App. 2-Z_Tariff"/>
      <sheetName val="lists"/>
      <sheetName val="lists2"/>
      <sheetName val="Sheet19"/>
      <sheetName val="Sheet1"/>
    </sheetNames>
    <sheetDataSet>
      <sheetData sheetId="0">
        <row r="16">
          <cell r="E16">
            <v>0</v>
          </cell>
        </row>
        <row r="24">
          <cell r="E24">
            <v>0</v>
          </cell>
        </row>
        <row r="26">
          <cell r="E26" t="str">
            <v/>
          </cell>
        </row>
        <row r="28">
          <cell r="E28">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55"/>
      <sheetData sheetId="56"/>
      <sheetData sheetId="5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B1:W728"/>
  <sheetViews>
    <sheetView topLeftCell="A129" zoomScaleNormal="100" workbookViewId="0">
      <selection activeCell="C157" sqref="C157"/>
    </sheetView>
  </sheetViews>
  <sheetFormatPr defaultRowHeight="14.25"/>
  <cols>
    <col min="1" max="1" width="4.28515625" style="607" customWidth="1"/>
    <col min="2" max="2" width="35.140625" style="607" customWidth="1"/>
    <col min="3" max="3" width="11.42578125" style="607" customWidth="1"/>
    <col min="4" max="4" width="13.5703125" style="607" customWidth="1"/>
    <col min="5" max="5" width="12.7109375" style="607" customWidth="1"/>
    <col min="6" max="6" width="14.5703125" style="607" customWidth="1"/>
    <col min="7" max="7" width="11.5703125" style="607" customWidth="1"/>
    <col min="8" max="8" width="11.28515625" style="607" customWidth="1"/>
    <col min="9" max="9" width="10.28515625" style="607" customWidth="1"/>
    <col min="10" max="10" width="14.5703125" style="607" customWidth="1"/>
    <col min="11" max="11" width="9.85546875" style="607" customWidth="1"/>
    <col min="12" max="12" width="7.42578125" style="607" customWidth="1"/>
    <col min="13" max="13" width="11.7109375" style="607" customWidth="1"/>
    <col min="14" max="14" width="10.42578125" style="607" customWidth="1"/>
    <col min="15" max="15" width="7" style="607" customWidth="1"/>
    <col min="16" max="16" width="11.85546875" style="607" customWidth="1"/>
    <col min="17" max="17" width="11" style="607" customWidth="1"/>
    <col min="18" max="18" width="7.140625" style="607" customWidth="1"/>
    <col min="19" max="16384" width="9.140625" style="607"/>
  </cols>
  <sheetData>
    <row r="1" spans="2:8" ht="15.75">
      <c r="C1" s="606" t="s">
        <v>339</v>
      </c>
    </row>
    <row r="2" spans="2:8" ht="15" thickBot="1"/>
    <row r="3" spans="2:8" ht="26.25" thickTop="1">
      <c r="B3" s="876"/>
      <c r="C3" s="877" t="s">
        <v>340</v>
      </c>
      <c r="D3" s="878" t="s">
        <v>341</v>
      </c>
      <c r="E3" s="878" t="s">
        <v>342</v>
      </c>
      <c r="F3" s="878" t="s">
        <v>343</v>
      </c>
      <c r="G3" s="878" t="s">
        <v>382</v>
      </c>
      <c r="H3" s="877" t="s">
        <v>344</v>
      </c>
    </row>
    <row r="4" spans="2:8">
      <c r="B4" s="879" t="s">
        <v>345</v>
      </c>
      <c r="C4" s="880"/>
      <c r="D4" s="880"/>
      <c r="E4" s="880"/>
      <c r="F4" s="880"/>
      <c r="G4" s="880"/>
      <c r="H4" s="880"/>
    </row>
    <row r="5" spans="2:8">
      <c r="B5" s="881" t="s">
        <v>306</v>
      </c>
      <c r="C5" s="882">
        <v>1415689</v>
      </c>
      <c r="D5" s="882">
        <v>1471752.2499999995</v>
      </c>
      <c r="E5" s="882">
        <v>1440178.5199999996</v>
      </c>
      <c r="F5" s="882">
        <v>1394352.4100000001</v>
      </c>
      <c r="G5" s="882">
        <v>1418450.81</v>
      </c>
      <c r="H5" s="882">
        <f>'[18]Cost Allocation Study'!K5</f>
        <v>1547492.6407823511</v>
      </c>
    </row>
    <row r="6" spans="2:8">
      <c r="B6" s="881" t="s">
        <v>346</v>
      </c>
      <c r="C6" s="882">
        <v>450671</v>
      </c>
      <c r="D6" s="882">
        <v>466848.19</v>
      </c>
      <c r="E6" s="882">
        <v>496050.63999999996</v>
      </c>
      <c r="F6" s="882">
        <v>456057.91000000003</v>
      </c>
      <c r="G6" s="882">
        <v>482663.68999999994</v>
      </c>
      <c r="H6" s="882">
        <f>'[18]Cost Allocation Study'!K6</f>
        <v>504772.00329809316</v>
      </c>
    </row>
    <row r="7" spans="2:8">
      <c r="B7" s="881" t="s">
        <v>347</v>
      </c>
      <c r="C7" s="882">
        <v>423173</v>
      </c>
      <c r="D7" s="882">
        <v>367847.63000000006</v>
      </c>
      <c r="E7" s="882">
        <v>449444.11</v>
      </c>
      <c r="F7" s="882">
        <v>436506.12</v>
      </c>
      <c r="G7" s="882">
        <v>448662.22</v>
      </c>
      <c r="H7" s="882">
        <f>'[18]Cost Allocation Study'!K7</f>
        <v>457430.82839669031</v>
      </c>
    </row>
    <row r="8" spans="2:8">
      <c r="B8" s="881" t="s">
        <v>181</v>
      </c>
      <c r="C8" s="882">
        <v>6382</v>
      </c>
      <c r="D8" s="882">
        <v>4749.51</v>
      </c>
      <c r="E8" s="882">
        <v>6608.08</v>
      </c>
      <c r="F8" s="882">
        <v>6491.74</v>
      </c>
      <c r="G8" s="882">
        <v>6580.8099999999995</v>
      </c>
      <c r="H8" s="882">
        <f>'[18]Cost Allocation Study'!K9</f>
        <v>8002.8772381130939</v>
      </c>
    </row>
    <row r="9" spans="2:8">
      <c r="B9" s="881" t="s">
        <v>303</v>
      </c>
      <c r="C9" s="882">
        <v>117106</v>
      </c>
      <c r="D9" s="882">
        <v>94392.63</v>
      </c>
      <c r="E9" s="882">
        <v>121371.07999999999</v>
      </c>
      <c r="F9" s="882">
        <v>115976.8</v>
      </c>
      <c r="G9" s="882">
        <v>107656.33</v>
      </c>
      <c r="H9" s="882">
        <f>'[18]Cost Allocation Study'!K8</f>
        <v>107317.88269386216</v>
      </c>
    </row>
    <row r="10" spans="2:8">
      <c r="B10" s="881" t="s">
        <v>348</v>
      </c>
      <c r="C10" s="882">
        <v>10285</v>
      </c>
      <c r="D10" s="882">
        <v>17449.12</v>
      </c>
      <c r="E10" s="882">
        <v>11305.98</v>
      </c>
      <c r="F10" s="882">
        <v>13043.37</v>
      </c>
      <c r="G10" s="882">
        <v>12576.75</v>
      </c>
      <c r="H10" s="882">
        <f>'[18]Cost Allocation Study'!K10</f>
        <v>14535.533420578719</v>
      </c>
    </row>
    <row r="11" spans="2:8">
      <c r="B11" s="883" t="s">
        <v>349</v>
      </c>
      <c r="C11" s="884">
        <f t="shared" ref="C11:H11" si="0">SUM(C5:C10)</f>
        <v>2423306</v>
      </c>
      <c r="D11" s="884">
        <f t="shared" si="0"/>
        <v>2423039.3299999991</v>
      </c>
      <c r="E11" s="884">
        <f t="shared" si="0"/>
        <v>2524958.4099999997</v>
      </c>
      <c r="F11" s="884">
        <f t="shared" si="0"/>
        <v>2422428.3500000006</v>
      </c>
      <c r="G11" s="884">
        <f t="shared" si="0"/>
        <v>2476590.61</v>
      </c>
      <c r="H11" s="884">
        <f t="shared" si="0"/>
        <v>2639551.7658296879</v>
      </c>
    </row>
    <row r="12" spans="2:8">
      <c r="B12" s="883" t="s">
        <v>350</v>
      </c>
      <c r="C12" s="880"/>
      <c r="D12" s="880"/>
      <c r="E12" s="880"/>
      <c r="F12" s="880"/>
      <c r="G12" s="880"/>
      <c r="H12" s="880"/>
    </row>
    <row r="13" spans="2:8">
      <c r="B13" s="885" t="s">
        <v>351</v>
      </c>
      <c r="C13" s="882">
        <v>88900</v>
      </c>
      <c r="D13" s="882">
        <f>'[19]App.2-H_Other_Oper_Rev'!C31</f>
        <v>113461.25</v>
      </c>
      <c r="E13" s="882">
        <f>'[19]App.2-H_Other_Oper_Rev'!D31</f>
        <v>98803.450000000012</v>
      </c>
      <c r="F13" s="882">
        <f>'[19]App.2-H_Other_Oper_Rev'!E31</f>
        <v>116016.3</v>
      </c>
      <c r="G13" s="882">
        <f>'[19]App.2-H_Other_Oper_Rev'!G31</f>
        <v>105241.84000000001</v>
      </c>
      <c r="H13" s="882">
        <f>'[19]App.2-H_Other_Oper_Rev'!H31</f>
        <v>113950.76816000001</v>
      </c>
    </row>
    <row r="14" spans="2:8">
      <c r="B14" s="885" t="s">
        <v>352</v>
      </c>
      <c r="C14" s="882">
        <v>32400</v>
      </c>
      <c r="D14" s="882">
        <f>'[19]App.2-H_Other_Oper_Rev'!C32</f>
        <v>57518.62</v>
      </c>
      <c r="E14" s="882">
        <f>'[19]App.2-H_Other_Oper_Rev'!D32</f>
        <v>59435.51</v>
      </c>
      <c r="F14" s="882">
        <f>'[19]App.2-H_Other_Oper_Rev'!E32</f>
        <v>66569.210000000006</v>
      </c>
      <c r="G14" s="882">
        <f>'[19]App.2-H_Other_Oper_Rev'!G32</f>
        <v>72601.590000000011</v>
      </c>
      <c r="H14" s="882">
        <f>'[19]App.2-H_Other_Oper_Rev'!H32</f>
        <v>76000</v>
      </c>
    </row>
    <row r="15" spans="2:8">
      <c r="B15" s="885" t="s">
        <v>353</v>
      </c>
      <c r="C15" s="882">
        <v>74243</v>
      </c>
      <c r="D15" s="882">
        <f>'[19]App.2-H_Other_Oper_Rev'!C33</f>
        <v>74343.63</v>
      </c>
      <c r="E15" s="882">
        <f>'[19]App.2-H_Other_Oper_Rev'!D33</f>
        <v>73240.929999999993</v>
      </c>
      <c r="F15" s="882">
        <f>'[19]App.2-H_Other_Oper_Rev'!E33</f>
        <v>70786.149999999994</v>
      </c>
      <c r="G15" s="882">
        <f>'[19]App.2-H_Other_Oper_Rev'!G33</f>
        <v>72070.91</v>
      </c>
      <c r="H15" s="882">
        <f>'[19]App.2-H_Other_Oper_Rev'!H33</f>
        <v>71401.25</v>
      </c>
    </row>
    <row r="16" spans="2:8">
      <c r="B16" s="885" t="s">
        <v>354</v>
      </c>
      <c r="C16" s="882">
        <v>12000</v>
      </c>
      <c r="D16" s="882">
        <f>'[19]App.2-H_Other_Oper_Rev'!C34</f>
        <v>27478.77</v>
      </c>
      <c r="E16" s="882">
        <f>'[19]App.2-H_Other_Oper_Rev'!D34</f>
        <v>21760.83</v>
      </c>
      <c r="F16" s="882">
        <f>'[19]App.2-H_Other_Oper_Rev'!E34</f>
        <v>16683.37</v>
      </c>
      <c r="G16" s="882">
        <f>'[19]App.2-H_Other_Oper_Rev'!G34</f>
        <v>39209.17</v>
      </c>
      <c r="H16" s="882">
        <f>'[19]App.2-H_Other_Oper_Rev'!H34</f>
        <v>6219.9586136004218</v>
      </c>
    </row>
    <row r="17" spans="2:9">
      <c r="B17" s="879" t="s">
        <v>349</v>
      </c>
      <c r="C17" s="884">
        <f t="shared" ref="C17:H17" si="1">SUM(C13:C16)</f>
        <v>207543</v>
      </c>
      <c r="D17" s="884">
        <f t="shared" si="1"/>
        <v>272802.27</v>
      </c>
      <c r="E17" s="884">
        <f t="shared" si="1"/>
        <v>253240.72000000003</v>
      </c>
      <c r="F17" s="884">
        <f t="shared" si="1"/>
        <v>270055.03000000003</v>
      </c>
      <c r="G17" s="884">
        <f t="shared" si="1"/>
        <v>289123.51</v>
      </c>
      <c r="H17" s="884">
        <f t="shared" si="1"/>
        <v>267571.97677360044</v>
      </c>
    </row>
    <row r="18" spans="2:9">
      <c r="B18" s="879"/>
      <c r="C18" s="880"/>
      <c r="D18" s="880"/>
      <c r="E18" s="880"/>
      <c r="F18" s="880"/>
      <c r="G18" s="880"/>
      <c r="H18" s="880"/>
    </row>
    <row r="19" spans="2:9">
      <c r="B19" s="879" t="s">
        <v>355</v>
      </c>
      <c r="C19" s="884">
        <f t="shared" ref="C19:H19" si="2">C11+C17</f>
        <v>2630849</v>
      </c>
      <c r="D19" s="884">
        <f t="shared" si="2"/>
        <v>2695841.5999999992</v>
      </c>
      <c r="E19" s="884">
        <f t="shared" si="2"/>
        <v>2778199.13</v>
      </c>
      <c r="F19" s="884">
        <f t="shared" si="2"/>
        <v>2692483.3800000008</v>
      </c>
      <c r="G19" s="884">
        <f t="shared" si="2"/>
        <v>2765714.12</v>
      </c>
      <c r="H19" s="884">
        <f t="shared" si="2"/>
        <v>2907123.7426032885</v>
      </c>
    </row>
    <row r="20" spans="2:9">
      <c r="B20" s="886"/>
      <c r="C20" s="887"/>
      <c r="D20" s="887"/>
      <c r="E20" s="887"/>
      <c r="F20" s="887"/>
      <c r="G20" s="887"/>
      <c r="H20" s="887"/>
    </row>
    <row r="21" spans="2:9">
      <c r="B21" s="886"/>
      <c r="C21" s="887"/>
      <c r="D21" s="887"/>
      <c r="E21" s="887"/>
      <c r="F21" s="887"/>
      <c r="G21" s="887"/>
      <c r="H21" s="887"/>
    </row>
    <row r="22" spans="2:9">
      <c r="B22" s="886" t="s">
        <v>460</v>
      </c>
      <c r="C22" s="887"/>
      <c r="D22" s="887"/>
      <c r="E22" s="887"/>
      <c r="F22" s="887"/>
      <c r="G22" s="887"/>
      <c r="H22" s="887"/>
    </row>
    <row r="23" spans="2:9">
      <c r="B23" s="717" t="s">
        <v>462</v>
      </c>
      <c r="C23" s="887"/>
      <c r="D23" s="887"/>
      <c r="E23" s="887"/>
      <c r="F23" s="887"/>
      <c r="G23" s="887"/>
      <c r="H23" s="887"/>
    </row>
    <row r="24" spans="2:9">
      <c r="B24" s="886"/>
      <c r="C24" s="887"/>
      <c r="D24" s="887"/>
      <c r="E24" s="887"/>
      <c r="F24" s="887"/>
      <c r="G24" s="887"/>
      <c r="H24" s="887"/>
    </row>
    <row r="25" spans="2:9">
      <c r="B25" s="886"/>
      <c r="C25" s="887"/>
      <c r="D25" s="887"/>
      <c r="E25" s="887"/>
      <c r="F25" s="887"/>
      <c r="G25" s="887"/>
      <c r="H25" s="887"/>
    </row>
    <row r="26" spans="2:9" ht="15">
      <c r="D26" s="599" t="s">
        <v>461</v>
      </c>
      <c r="E26" s="887"/>
      <c r="F26" s="887"/>
      <c r="G26" s="887"/>
      <c r="H26" s="887"/>
    </row>
    <row r="27" spans="2:9" ht="15" thickBot="1">
      <c r="B27" s="886"/>
      <c r="C27" s="887"/>
      <c r="D27" s="887"/>
      <c r="E27" s="887"/>
      <c r="F27" s="887"/>
      <c r="G27" s="887"/>
      <c r="H27" s="887"/>
    </row>
    <row r="28" spans="2:9" ht="39" thickTop="1">
      <c r="B28" s="892" t="s">
        <v>452</v>
      </c>
      <c r="C28" s="893" t="s">
        <v>453</v>
      </c>
      <c r="D28" s="893" t="s">
        <v>454</v>
      </c>
      <c r="E28" s="894" t="s">
        <v>455</v>
      </c>
      <c r="F28" s="894" t="s">
        <v>457</v>
      </c>
      <c r="G28" s="894" t="s">
        <v>456</v>
      </c>
      <c r="H28" s="893" t="s">
        <v>458</v>
      </c>
    </row>
    <row r="29" spans="2:9">
      <c r="B29" s="895" t="s">
        <v>40</v>
      </c>
      <c r="C29" s="891">
        <f t="shared" ref="C29:C40" si="3">I29/1000000</f>
        <v>126.33626700000001</v>
      </c>
      <c r="D29" s="882"/>
      <c r="E29" s="882"/>
      <c r="F29" s="888">
        <f t="array" ref="F29:F40">TRANSPOSE(Summary!B42:M42)</f>
        <v>7506</v>
      </c>
      <c r="G29" s="882"/>
      <c r="H29" s="882"/>
      <c r="I29" s="664">
        <f t="array" ref="I29:I40">TRANSPOSE(Summary!B11:M11)</f>
        <v>126336267</v>
      </c>
    </row>
    <row r="30" spans="2:9">
      <c r="B30" s="895" t="s">
        <v>41</v>
      </c>
      <c r="C30" s="891">
        <f t="shared" si="3"/>
        <v>116.814435</v>
      </c>
      <c r="D30" s="889">
        <f>C30-C29</f>
        <v>-9.5218320000000034</v>
      </c>
      <c r="E30" s="890">
        <f>D30/C29</f>
        <v>-7.5368951656613406E-2</v>
      </c>
      <c r="F30" s="888">
        <v>7556</v>
      </c>
      <c r="G30" s="882">
        <f>F30-F29</f>
        <v>50</v>
      </c>
      <c r="H30" s="890">
        <f>G30/F29</f>
        <v>6.6613375965893949E-3</v>
      </c>
      <c r="I30" s="664">
        <v>116814435</v>
      </c>
    </row>
    <row r="31" spans="2:9">
      <c r="B31" s="895" t="s">
        <v>42</v>
      </c>
      <c r="C31" s="891">
        <f t="shared" si="3"/>
        <v>113.99866400000001</v>
      </c>
      <c r="D31" s="889">
        <f t="shared" ref="D31:D40" si="4">C31-C30</f>
        <v>-2.815770999999998</v>
      </c>
      <c r="E31" s="890">
        <f t="shared" ref="E31:E40" si="5">D31/C30</f>
        <v>-2.4104649395427866E-2</v>
      </c>
      <c r="F31" s="888">
        <v>7575</v>
      </c>
      <c r="G31" s="882">
        <f t="shared" ref="G31:G40" si="6">F31-F30</f>
        <v>19</v>
      </c>
      <c r="H31" s="890">
        <f t="shared" ref="H31:H40" si="7">G31/F30</f>
        <v>2.5145579671784013E-3</v>
      </c>
      <c r="I31" s="664">
        <v>113998664</v>
      </c>
    </row>
    <row r="32" spans="2:9">
      <c r="B32" s="895" t="s">
        <v>85</v>
      </c>
      <c r="C32" s="891">
        <f t="shared" si="3"/>
        <v>111.785106</v>
      </c>
      <c r="D32" s="889">
        <f t="shared" si="4"/>
        <v>-2.2135580000000061</v>
      </c>
      <c r="E32" s="890">
        <f t="shared" si="5"/>
        <v>-1.9417402996933422E-2</v>
      </c>
      <c r="F32" s="888">
        <v>7563</v>
      </c>
      <c r="G32" s="882">
        <f t="shared" si="6"/>
        <v>-12</v>
      </c>
      <c r="H32" s="890">
        <f t="shared" si="7"/>
        <v>-1.5841584158415843E-3</v>
      </c>
      <c r="I32" s="664">
        <v>111785106</v>
      </c>
    </row>
    <row r="33" spans="2:14">
      <c r="B33" s="895" t="s">
        <v>92</v>
      </c>
      <c r="C33" s="891">
        <f t="shared" si="3"/>
        <v>109.680577</v>
      </c>
      <c r="D33" s="889">
        <f t="shared" si="4"/>
        <v>-2.1045289999999994</v>
      </c>
      <c r="E33" s="890">
        <f t="shared" si="5"/>
        <v>-1.8826559953344764E-2</v>
      </c>
      <c r="F33" s="888">
        <v>7578</v>
      </c>
      <c r="G33" s="882">
        <f t="shared" si="6"/>
        <v>15</v>
      </c>
      <c r="H33" s="890">
        <f t="shared" si="7"/>
        <v>1.9833399444664813E-3</v>
      </c>
      <c r="I33" s="664">
        <v>109680577</v>
      </c>
    </row>
    <row r="34" spans="2:14">
      <c r="B34" s="895" t="s">
        <v>86</v>
      </c>
      <c r="C34" s="891">
        <f t="shared" si="3"/>
        <v>107.839547</v>
      </c>
      <c r="D34" s="889">
        <f t="shared" si="4"/>
        <v>-1.8410300000000035</v>
      </c>
      <c r="E34" s="890">
        <f t="shared" si="5"/>
        <v>-1.6785378508721773E-2</v>
      </c>
      <c r="F34" s="888">
        <v>7642</v>
      </c>
      <c r="G34" s="882">
        <f t="shared" si="6"/>
        <v>64</v>
      </c>
      <c r="H34" s="890">
        <f t="shared" si="7"/>
        <v>8.4455001319609403E-3</v>
      </c>
      <c r="I34" s="664">
        <v>107839547</v>
      </c>
    </row>
    <row r="35" spans="2:14">
      <c r="B35" s="895" t="s">
        <v>87</v>
      </c>
      <c r="C35" s="891">
        <f t="shared" si="3"/>
        <v>108.81068</v>
      </c>
      <c r="D35" s="889">
        <f t="shared" si="4"/>
        <v>0.97113300000000891</v>
      </c>
      <c r="E35" s="890">
        <f t="shared" si="5"/>
        <v>9.0053512557875352E-3</v>
      </c>
      <c r="F35" s="888">
        <v>7676</v>
      </c>
      <c r="G35" s="882">
        <f t="shared" si="6"/>
        <v>34</v>
      </c>
      <c r="H35" s="890">
        <f t="shared" si="7"/>
        <v>4.4490970950013089E-3</v>
      </c>
      <c r="I35" s="664">
        <v>108810680</v>
      </c>
    </row>
    <row r="36" spans="2:14">
      <c r="B36" s="895" t="s">
        <v>93</v>
      </c>
      <c r="C36" s="891">
        <f t="shared" si="3"/>
        <v>106.39750100000001</v>
      </c>
      <c r="D36" s="889">
        <f t="shared" si="4"/>
        <v>-2.4131789999999995</v>
      </c>
      <c r="E36" s="890">
        <f t="shared" si="5"/>
        <v>-2.2177777034386694E-2</v>
      </c>
      <c r="F36" s="888">
        <v>7700</v>
      </c>
      <c r="G36" s="882">
        <f t="shared" si="6"/>
        <v>24</v>
      </c>
      <c r="H36" s="890">
        <f t="shared" si="7"/>
        <v>3.126628452318916E-3</v>
      </c>
      <c r="I36" s="664">
        <v>106397501</v>
      </c>
    </row>
    <row r="37" spans="2:14">
      <c r="B37" s="895" t="s">
        <v>121</v>
      </c>
      <c r="C37" s="891">
        <f t="shared" si="3"/>
        <v>107.193012</v>
      </c>
      <c r="D37" s="889">
        <f t="shared" si="4"/>
        <v>0.79551099999999053</v>
      </c>
      <c r="E37" s="890">
        <f t="shared" si="5"/>
        <v>7.4767827488729319E-3</v>
      </c>
      <c r="F37" s="888">
        <v>7702</v>
      </c>
      <c r="G37" s="882">
        <f t="shared" si="6"/>
        <v>2</v>
      </c>
      <c r="H37" s="890">
        <f t="shared" si="7"/>
        <v>2.5974025974025974E-4</v>
      </c>
      <c r="I37" s="664">
        <v>107193012</v>
      </c>
    </row>
    <row r="38" spans="2:14">
      <c r="B38" s="895" t="s">
        <v>122</v>
      </c>
      <c r="C38" s="891">
        <f t="shared" si="3"/>
        <v>107.593001</v>
      </c>
      <c r="D38" s="889">
        <f t="shared" si="4"/>
        <v>0.39998900000000503</v>
      </c>
      <c r="E38" s="890">
        <f t="shared" si="5"/>
        <v>3.7314839142686376E-3</v>
      </c>
      <c r="F38" s="888">
        <v>7701</v>
      </c>
      <c r="G38" s="882">
        <f t="shared" si="6"/>
        <v>-1</v>
      </c>
      <c r="H38" s="890">
        <f t="shared" si="7"/>
        <v>-1.2983640612827837E-4</v>
      </c>
      <c r="I38" s="664">
        <v>107593001</v>
      </c>
    </row>
    <row r="39" spans="2:14">
      <c r="B39" s="895" t="s">
        <v>377</v>
      </c>
      <c r="C39" s="891">
        <f t="shared" si="3"/>
        <v>104.215271962</v>
      </c>
      <c r="D39" s="889">
        <f t="shared" si="4"/>
        <v>-3.3777290379999982</v>
      </c>
      <c r="E39" s="890">
        <f t="shared" si="5"/>
        <v>-3.139357585164855E-2</v>
      </c>
      <c r="F39" s="888">
        <v>7705</v>
      </c>
      <c r="G39" s="882">
        <f t="shared" si="6"/>
        <v>4</v>
      </c>
      <c r="H39" s="890">
        <f t="shared" si="7"/>
        <v>5.1941306323854042E-4</v>
      </c>
      <c r="I39" s="664">
        <v>104215271.962</v>
      </c>
    </row>
    <row r="40" spans="2:14">
      <c r="B40" s="896" t="s">
        <v>459</v>
      </c>
      <c r="C40" s="891">
        <f t="shared" si="3"/>
        <v>101.711018284</v>
      </c>
      <c r="D40" s="889">
        <f t="shared" si="4"/>
        <v>-2.5042536779999978</v>
      </c>
      <c r="E40" s="890">
        <f t="shared" si="5"/>
        <v>-2.4029622826423399E-2</v>
      </c>
      <c r="F40" s="888">
        <v>7717</v>
      </c>
      <c r="G40" s="882">
        <f t="shared" si="6"/>
        <v>12</v>
      </c>
      <c r="H40" s="890">
        <f t="shared" si="7"/>
        <v>1.5574302401038286E-3</v>
      </c>
      <c r="I40" s="664">
        <v>101711018.28400001</v>
      </c>
    </row>
    <row r="43" spans="2:14" s="592" customFormat="1" ht="15">
      <c r="E43" s="593" t="s">
        <v>422</v>
      </c>
    </row>
    <row r="44" spans="2:14" s="592" customFormat="1" ht="15.75" thickBot="1"/>
    <row r="45" spans="2:14" s="592" customFormat="1" ht="15.75" thickTop="1">
      <c r="B45" s="898"/>
      <c r="C45" s="899">
        <v>2005</v>
      </c>
      <c r="D45" s="899">
        <v>2006</v>
      </c>
      <c r="E45" s="899">
        <v>2007</v>
      </c>
      <c r="F45" s="899">
        <v>2008</v>
      </c>
      <c r="G45" s="899">
        <v>2009</v>
      </c>
      <c r="H45" s="899">
        <v>2010</v>
      </c>
      <c r="I45" s="899">
        <v>2011</v>
      </c>
      <c r="J45" s="899">
        <v>2012</v>
      </c>
      <c r="K45" s="899">
        <v>2013</v>
      </c>
      <c r="L45" s="899">
        <v>2014</v>
      </c>
      <c r="M45" s="899">
        <v>2015</v>
      </c>
    </row>
    <row r="46" spans="2:14" s="592" customFormat="1" ht="15">
      <c r="B46" s="900" t="s">
        <v>102</v>
      </c>
      <c r="C46" s="901">
        <f>'Purchased Power Model'!C6</f>
        <v>14043460</v>
      </c>
      <c r="D46" s="901">
        <f>'Purchased Power Model'!C18</f>
        <v>12900470</v>
      </c>
      <c r="E46" s="901">
        <f>'Purchased Power Model'!C30</f>
        <v>12568180</v>
      </c>
      <c r="F46" s="901">
        <f>'Purchased Power Model'!C42</f>
        <v>12288190</v>
      </c>
      <c r="G46" s="901">
        <f>'Purchased Power Model'!C54</f>
        <v>12715660</v>
      </c>
      <c r="H46" s="901">
        <f>'Purchased Power Model'!C66</f>
        <v>12078338</v>
      </c>
      <c r="I46" s="901">
        <f>'Purchased Power Model'!C78</f>
        <v>12132585</v>
      </c>
      <c r="J46" s="901">
        <f>'Purchased Power Model'!C90</f>
        <v>11698538</v>
      </c>
      <c r="K46" s="901">
        <f>'Purchased Power Model'!C102</f>
        <v>11999817</v>
      </c>
      <c r="L46" s="901">
        <f>'Purchased Power Model'!C114</f>
        <v>12521267</v>
      </c>
      <c r="M46" s="902">
        <f>'Purchased Power Model'!C126</f>
        <v>12178875.15</v>
      </c>
      <c r="N46" s="594"/>
    </row>
    <row r="47" spans="2:14" s="592" customFormat="1" ht="15">
      <c r="B47" s="900" t="s">
        <v>103</v>
      </c>
      <c r="C47" s="901">
        <f>'Purchased Power Model'!C7</f>
        <v>12095730</v>
      </c>
      <c r="D47" s="901">
        <f>'Purchased Power Model'!C19</f>
        <v>11727560</v>
      </c>
      <c r="E47" s="901">
        <f>'Purchased Power Model'!C31</f>
        <v>12210720</v>
      </c>
      <c r="F47" s="901">
        <f>'Purchased Power Model'!C43</f>
        <v>11701800</v>
      </c>
      <c r="G47" s="901">
        <f>'Purchased Power Model'!C55</f>
        <v>10806911</v>
      </c>
      <c r="H47" s="901">
        <f>'Purchased Power Model'!C67</f>
        <v>10494800</v>
      </c>
      <c r="I47" s="901">
        <f>'Purchased Power Model'!C79</f>
        <v>10866454</v>
      </c>
      <c r="J47" s="901">
        <f>'Purchased Power Model'!C91</f>
        <v>10394346</v>
      </c>
      <c r="K47" s="901">
        <f>'Purchased Power Model'!C103</f>
        <v>10701983</v>
      </c>
      <c r="L47" s="901">
        <f>'Purchased Power Model'!C115</f>
        <v>10693642</v>
      </c>
      <c r="M47" s="902">
        <f>'Purchased Power Model'!C127</f>
        <v>11445612.18</v>
      </c>
      <c r="N47" s="594"/>
    </row>
    <row r="48" spans="2:14" s="592" customFormat="1" ht="15">
      <c r="B48" s="900" t="s">
        <v>104</v>
      </c>
      <c r="C48" s="901">
        <f>'Purchased Power Model'!C8</f>
        <v>12289830</v>
      </c>
      <c r="D48" s="901">
        <f>'Purchased Power Model'!C20</f>
        <v>11784150</v>
      </c>
      <c r="E48" s="901">
        <f>'Purchased Power Model'!C32</f>
        <v>11873120</v>
      </c>
      <c r="F48" s="901">
        <f>'Purchased Power Model'!C44</f>
        <v>11663590</v>
      </c>
      <c r="G48" s="901">
        <f>'Purchased Power Model'!C56</f>
        <v>10822297</v>
      </c>
      <c r="H48" s="901">
        <f>'Purchased Power Model'!C68</f>
        <v>10154062</v>
      </c>
      <c r="I48" s="901">
        <f>'Purchased Power Model'!C80</f>
        <v>11067608</v>
      </c>
      <c r="J48" s="901">
        <f>'Purchased Power Model'!C92</f>
        <v>9868346</v>
      </c>
      <c r="K48" s="901">
        <f>'Purchased Power Model'!C104</f>
        <v>10574475</v>
      </c>
      <c r="L48" s="901">
        <f>'Purchased Power Model'!C116</f>
        <v>11270883</v>
      </c>
      <c r="M48" s="902">
        <f>'Purchased Power Model'!C128</f>
        <v>10922675.359999999</v>
      </c>
      <c r="N48" s="594"/>
    </row>
    <row r="49" spans="2:17" s="592" customFormat="1" ht="15">
      <c r="B49" s="900" t="s">
        <v>105</v>
      </c>
      <c r="C49" s="901">
        <f>'Purchased Power Model'!C9</f>
        <v>10028980</v>
      </c>
      <c r="D49" s="901">
        <f>'Purchased Power Model'!C21</f>
        <v>9406440</v>
      </c>
      <c r="E49" s="901">
        <f>'Purchased Power Model'!C33</f>
        <v>9854780</v>
      </c>
      <c r="F49" s="901">
        <f>'Purchased Power Model'!C45</f>
        <v>9464610</v>
      </c>
      <c r="G49" s="901">
        <f>'Purchased Power Model'!C57</f>
        <v>9188119</v>
      </c>
      <c r="H49" s="901">
        <f>'Purchased Power Model'!C69</f>
        <v>8300785</v>
      </c>
      <c r="I49" s="901">
        <f>'Purchased Power Model'!C81</f>
        <v>9072415</v>
      </c>
      <c r="J49" s="901">
        <f>'Purchased Power Model'!C93</f>
        <v>8701738</v>
      </c>
      <c r="K49" s="901">
        <f>'Purchased Power Model'!C105</f>
        <v>9116700</v>
      </c>
      <c r="L49" s="901">
        <f>'Purchased Power Model'!C117</f>
        <v>9026483</v>
      </c>
      <c r="M49" s="902">
        <f>'Purchased Power Model'!C129</f>
        <v>8724747</v>
      </c>
      <c r="N49" s="594"/>
    </row>
    <row r="50" spans="2:17" s="592" customFormat="1" ht="15">
      <c r="B50" s="900" t="s">
        <v>55</v>
      </c>
      <c r="C50" s="901">
        <f>'Purchased Power Model'!C10</f>
        <v>9635640</v>
      </c>
      <c r="D50" s="901">
        <f>'Purchased Power Model'!C22</f>
        <v>9293920</v>
      </c>
      <c r="E50" s="901">
        <f>'Purchased Power Model'!C34</f>
        <v>9000430</v>
      </c>
      <c r="F50" s="901">
        <f>'Purchased Power Model'!C46</f>
        <v>8709540</v>
      </c>
      <c r="G50" s="901">
        <f>'Purchased Power Model'!C58</f>
        <v>8646669</v>
      </c>
      <c r="H50" s="901">
        <f>'Purchased Power Model'!C70</f>
        <v>8510046</v>
      </c>
      <c r="I50" s="901">
        <f>'Purchased Power Model'!C82</f>
        <v>8656277</v>
      </c>
      <c r="J50" s="901">
        <f>'Purchased Power Model'!C94</f>
        <v>8473818</v>
      </c>
      <c r="K50" s="901">
        <f>'Purchased Power Model'!C106</f>
        <v>8204917</v>
      </c>
      <c r="L50" s="901">
        <f>'Purchased Power Model'!C118</f>
        <v>8278885</v>
      </c>
      <c r="M50" s="902">
        <f>'Purchased Power Model'!C130</f>
        <v>8214245.5700000003</v>
      </c>
      <c r="N50" s="594"/>
    </row>
    <row r="51" spans="2:17" s="592" customFormat="1" ht="15">
      <c r="B51" s="900" t="s">
        <v>106</v>
      </c>
      <c r="C51" s="901">
        <f>'Purchased Power Model'!C11</f>
        <v>10690860</v>
      </c>
      <c r="D51" s="901">
        <f>'Purchased Power Model'!C23</f>
        <v>9564320</v>
      </c>
      <c r="E51" s="901">
        <f>'Purchased Power Model'!C35</f>
        <v>9265780</v>
      </c>
      <c r="F51" s="901">
        <f>'Purchased Power Model'!C47</f>
        <v>9032720</v>
      </c>
      <c r="G51" s="901">
        <f>'Purchased Power Model'!C59</f>
        <v>8694745</v>
      </c>
      <c r="H51" s="901">
        <f>'Purchased Power Model'!C71</f>
        <v>8680146</v>
      </c>
      <c r="I51" s="901">
        <f>'Purchased Power Model'!C83</f>
        <v>8776092</v>
      </c>
      <c r="J51" s="901">
        <f>'Purchased Power Model'!C95</f>
        <v>9028518</v>
      </c>
      <c r="K51" s="901">
        <f>'Purchased Power Model'!C107</f>
        <v>8279408</v>
      </c>
      <c r="L51" s="901">
        <f>'Purchased Power Model'!C119</f>
        <v>8570154</v>
      </c>
      <c r="M51" s="902">
        <f>'Purchased Power Model'!C131</f>
        <v>8082238.46</v>
      </c>
      <c r="N51" s="594"/>
    </row>
    <row r="52" spans="2:17" s="592" customFormat="1" ht="15">
      <c r="B52" s="900" t="s">
        <v>107</v>
      </c>
      <c r="C52" s="901">
        <f>'Purchased Power Model'!C12</f>
        <v>11192530</v>
      </c>
      <c r="D52" s="901">
        <f>'Purchased Power Model'!C24</f>
        <v>10639870</v>
      </c>
      <c r="E52" s="901">
        <f>'Purchased Power Model'!C36</f>
        <v>9662330</v>
      </c>
      <c r="F52" s="901">
        <f>'Purchased Power Model'!C48</f>
        <v>9681910</v>
      </c>
      <c r="G52" s="901">
        <f>'Purchased Power Model'!C60</f>
        <v>8965453</v>
      </c>
      <c r="H52" s="901">
        <f>'Purchased Power Model'!C72</f>
        <v>9983854</v>
      </c>
      <c r="I52" s="901">
        <f>'Purchased Power Model'!C84</f>
        <v>9998192</v>
      </c>
      <c r="J52" s="901">
        <f>'Purchased Power Model'!C96</f>
        <v>9776500</v>
      </c>
      <c r="K52" s="901">
        <f>'Purchased Power Model'!C108</f>
        <v>9591758</v>
      </c>
      <c r="L52" s="901">
        <f>'Purchased Power Model'!C120</f>
        <v>9070654</v>
      </c>
      <c r="M52" s="902">
        <f>'Purchased Power Model'!C132</f>
        <v>8969560.4600000009</v>
      </c>
      <c r="N52" s="594"/>
    </row>
    <row r="53" spans="2:17" s="592" customFormat="1" ht="15">
      <c r="B53" s="900" t="s">
        <v>108</v>
      </c>
      <c r="C53" s="901">
        <f>'Purchased Power Model'!C13</f>
        <v>11098410</v>
      </c>
      <c r="D53" s="901">
        <f>'Purchased Power Model'!C25</f>
        <v>10096480</v>
      </c>
      <c r="E53" s="901">
        <f>'Purchased Power Model'!C37</f>
        <v>9982760</v>
      </c>
      <c r="F53" s="901">
        <f>'Purchased Power Model'!C49</f>
        <v>9241240</v>
      </c>
      <c r="G53" s="901">
        <f>'Purchased Power Model'!C61</f>
        <v>9534995</v>
      </c>
      <c r="H53" s="901">
        <f>'Purchased Power Model'!C73</f>
        <v>9543754</v>
      </c>
      <c r="I53" s="901">
        <f>'Purchased Power Model'!C85</f>
        <v>9450654</v>
      </c>
      <c r="J53" s="901">
        <f>'Purchased Power Model'!C97</f>
        <v>9430200</v>
      </c>
      <c r="K53" s="901">
        <f>'Purchased Power Model'!C109</f>
        <v>9610958</v>
      </c>
      <c r="L53" s="901">
        <f>'Purchased Power Model'!C121</f>
        <v>8980123</v>
      </c>
      <c r="M53" s="902">
        <f>'Purchased Power Model'!C133</f>
        <v>8928792.9100000001</v>
      </c>
      <c r="N53" s="594"/>
    </row>
    <row r="54" spans="2:17" s="592" customFormat="1" ht="15">
      <c r="B54" s="900" t="s">
        <v>109</v>
      </c>
      <c r="C54" s="901">
        <f>'Purchased Power Model'!C14</f>
        <v>9976880</v>
      </c>
      <c r="D54" s="901">
        <f>'Purchased Power Model'!C26</f>
        <v>8938560</v>
      </c>
      <c r="E54" s="901">
        <f>'Purchased Power Model'!C38</f>
        <v>9063690</v>
      </c>
      <c r="F54" s="901">
        <f>'Purchased Power Model'!C50</f>
        <v>8800520</v>
      </c>
      <c r="G54" s="901">
        <f>'Purchased Power Model'!C62</f>
        <v>8543544</v>
      </c>
      <c r="H54" s="901">
        <f>'Purchased Power Model'!C74</f>
        <v>8579877</v>
      </c>
      <c r="I54" s="901">
        <f>'Purchased Power Model'!C86</f>
        <v>8631923</v>
      </c>
      <c r="J54" s="901">
        <f>'Purchased Power Model'!C98</f>
        <v>8456345</v>
      </c>
      <c r="K54" s="901">
        <f>'Purchased Power Model'!C110</f>
        <v>8187217</v>
      </c>
      <c r="L54" s="901">
        <f>'Purchased Power Model'!C122</f>
        <v>8455877</v>
      </c>
      <c r="M54" s="902">
        <f>'Purchased Power Model'!C134</f>
        <v>8487585.6799999997</v>
      </c>
      <c r="N54" s="594"/>
    </row>
    <row r="55" spans="2:17" s="592" customFormat="1" ht="15">
      <c r="B55" s="900" t="s">
        <v>110</v>
      </c>
      <c r="C55" s="901">
        <f>'Purchased Power Model'!C15</f>
        <v>10338960</v>
      </c>
      <c r="D55" s="901">
        <f>'Purchased Power Model'!C27</f>
        <v>9952100</v>
      </c>
      <c r="E55" s="901">
        <f>'Purchased Power Model'!C39</f>
        <v>9402850</v>
      </c>
      <c r="F55" s="901">
        <f>'Purchased Power Model'!C51</f>
        <v>8997790</v>
      </c>
      <c r="G55" s="901">
        <f>'Purchased Power Model'!C63</f>
        <v>9341679</v>
      </c>
      <c r="H55" s="901">
        <f>'Purchased Power Model'!C75</f>
        <v>8994685</v>
      </c>
      <c r="I55" s="901">
        <f>'Purchased Power Model'!C87</f>
        <v>8921515</v>
      </c>
      <c r="J55" s="901">
        <f>'Purchased Power Model'!C99</f>
        <v>8663345</v>
      </c>
      <c r="K55" s="901">
        <f>'Purchased Power Model'!C111</f>
        <v>8725825</v>
      </c>
      <c r="L55" s="901">
        <f>'Purchased Power Model'!C123</f>
        <v>8663323</v>
      </c>
      <c r="M55" s="902">
        <f>'Purchased Power Model'!C135</f>
        <v>8442807.8100000005</v>
      </c>
      <c r="N55" s="594"/>
    </row>
    <row r="56" spans="2:17" s="592" customFormat="1" ht="15">
      <c r="B56" s="900" t="s">
        <v>111</v>
      </c>
      <c r="C56" s="901">
        <f>'Purchased Power Model'!C16</f>
        <v>11286470</v>
      </c>
      <c r="D56" s="901">
        <f>'Purchased Power Model'!C28</f>
        <v>10436420</v>
      </c>
      <c r="E56" s="901">
        <f>'Purchased Power Model'!C40</f>
        <v>10423660</v>
      </c>
      <c r="F56" s="901">
        <f>'Purchased Power Model'!C52</f>
        <v>9775270</v>
      </c>
      <c r="G56" s="901">
        <f>'Purchased Power Model'!C64</f>
        <v>9542500</v>
      </c>
      <c r="H56" s="901">
        <f>'Purchased Power Model'!C76</f>
        <v>9833800</v>
      </c>
      <c r="I56" s="901">
        <f>'Purchased Power Model'!C88</f>
        <v>9478715</v>
      </c>
      <c r="J56" s="901">
        <f>'Purchased Power Model'!C100</f>
        <v>9765918</v>
      </c>
      <c r="K56" s="901">
        <f>'Purchased Power Model'!C112</f>
        <v>9926917</v>
      </c>
      <c r="L56" s="901">
        <f>'Purchased Power Model'!C124</f>
        <v>9594308</v>
      </c>
      <c r="M56" s="902">
        <f>'Purchased Power Model'!C136</f>
        <v>8788398.0199999996</v>
      </c>
      <c r="N56" s="594"/>
    </row>
    <row r="57" spans="2:17" s="592" customFormat="1" ht="15">
      <c r="B57" s="900" t="s">
        <v>112</v>
      </c>
      <c r="C57" s="901">
        <f>'Purchased Power Model'!C17</f>
        <v>12985440</v>
      </c>
      <c r="D57" s="901">
        <f>'Purchased Power Model'!C29</f>
        <v>11345280</v>
      </c>
      <c r="E57" s="901">
        <f>'Purchased Power Model'!C41</f>
        <v>12253260</v>
      </c>
      <c r="F57" s="901">
        <f>'Purchased Power Model'!C53</f>
        <v>11977460</v>
      </c>
      <c r="G57" s="901">
        <f>'Purchased Power Model'!C65</f>
        <v>11612258</v>
      </c>
      <c r="H57" s="901">
        <f>'Purchased Power Model'!C77</f>
        <v>11438554</v>
      </c>
      <c r="I57" s="901">
        <f>'Purchased Power Model'!C89</f>
        <v>10916892</v>
      </c>
      <c r="J57" s="901">
        <f>'Purchased Power Model'!C101</f>
        <v>10958364</v>
      </c>
      <c r="K57" s="901">
        <f>'Purchased Power Model'!C113</f>
        <v>11614675</v>
      </c>
      <c r="L57" s="901">
        <f>'Purchased Power Model'!C125</f>
        <v>10753031</v>
      </c>
      <c r="M57" s="902">
        <f>'Purchased Power Model'!C137</f>
        <v>9419775.3499999996</v>
      </c>
      <c r="N57" s="594"/>
    </row>
    <row r="58" spans="2:17" s="592" customFormat="1" ht="15">
      <c r="B58" s="903" t="s">
        <v>5</v>
      </c>
      <c r="C58" s="904">
        <f>SUM(C46:C57)</f>
        <v>135663190</v>
      </c>
      <c r="D58" s="904">
        <f t="shared" ref="D58:M58" si="8">SUM(D46:D57)</f>
        <v>126085570</v>
      </c>
      <c r="E58" s="904">
        <f t="shared" si="8"/>
        <v>125561560</v>
      </c>
      <c r="F58" s="904">
        <f t="shared" si="8"/>
        <v>121334640</v>
      </c>
      <c r="G58" s="904">
        <f t="shared" si="8"/>
        <v>118414830</v>
      </c>
      <c r="H58" s="904">
        <f t="shared" si="8"/>
        <v>116592701</v>
      </c>
      <c r="I58" s="904">
        <f t="shared" si="8"/>
        <v>117969322</v>
      </c>
      <c r="J58" s="904">
        <f t="shared" si="8"/>
        <v>115215976</v>
      </c>
      <c r="K58" s="904">
        <f t="shared" si="8"/>
        <v>116534650</v>
      </c>
      <c r="L58" s="904">
        <f t="shared" si="8"/>
        <v>115878630</v>
      </c>
      <c r="M58" s="904">
        <f t="shared" si="8"/>
        <v>112605313.95</v>
      </c>
      <c r="N58" s="594"/>
    </row>
    <row r="59" spans="2:17" s="592" customFormat="1" ht="15">
      <c r="B59" s="903" t="s">
        <v>356</v>
      </c>
      <c r="C59" s="905"/>
      <c r="D59" s="906">
        <f>D58/C58</f>
        <v>0.92940148318788607</v>
      </c>
      <c r="E59" s="906">
        <f t="shared" ref="E59:M59" si="9">E58/D58</f>
        <v>0.9958440129191628</v>
      </c>
      <c r="F59" s="906">
        <f t="shared" si="9"/>
        <v>0.96633587540645405</v>
      </c>
      <c r="G59" s="906">
        <f t="shared" si="9"/>
        <v>0.97593589102007472</v>
      </c>
      <c r="H59" s="906">
        <f t="shared" si="9"/>
        <v>0.98461232431782408</v>
      </c>
      <c r="I59" s="906">
        <f t="shared" si="9"/>
        <v>1.0118070941679274</v>
      </c>
      <c r="J59" s="906">
        <f t="shared" si="9"/>
        <v>0.97666049144539457</v>
      </c>
      <c r="K59" s="906">
        <f t="shared" si="9"/>
        <v>1.0114452356850234</v>
      </c>
      <c r="L59" s="906">
        <f t="shared" si="9"/>
        <v>0.99437060136191258</v>
      </c>
      <c r="M59" s="906">
        <f t="shared" si="9"/>
        <v>0.9717522027141674</v>
      </c>
    </row>
    <row r="60" spans="2:17" s="592" customFormat="1" ht="15">
      <c r="L60" s="726">
        <f>M58-C58</f>
        <v>-23057876.049999997</v>
      </c>
      <c r="M60" s="727">
        <f>L60/C58</f>
        <v>-0.16996412991615484</v>
      </c>
    </row>
    <row r="61" spans="2:17" s="592" customFormat="1" ht="15"/>
    <row r="62" spans="2:17" s="592" customFormat="1" ht="15">
      <c r="E62" s="593" t="s">
        <v>502</v>
      </c>
    </row>
    <row r="63" spans="2:17" s="592" customFormat="1" ht="15.75" thickBot="1"/>
    <row r="64" spans="2:17" s="592" customFormat="1" ht="15.75" thickTop="1">
      <c r="B64" s="898"/>
      <c r="C64" s="899">
        <v>2005</v>
      </c>
      <c r="D64" s="899">
        <v>2006</v>
      </c>
      <c r="E64" s="899">
        <v>2007</v>
      </c>
      <c r="F64" s="899">
        <v>2008</v>
      </c>
      <c r="G64" s="899">
        <v>2009</v>
      </c>
      <c r="H64" s="899">
        <v>2010</v>
      </c>
      <c r="I64" s="899">
        <v>2011</v>
      </c>
      <c r="J64" s="899">
        <v>2012</v>
      </c>
      <c r="K64" s="899">
        <v>2013</v>
      </c>
      <c r="L64" s="899">
        <v>2014</v>
      </c>
      <c r="M64" s="899">
        <v>2015</v>
      </c>
      <c r="N64" s="730" t="s">
        <v>428</v>
      </c>
      <c r="O64" s="730" t="s">
        <v>425</v>
      </c>
      <c r="P64" s="730" t="s">
        <v>426</v>
      </c>
      <c r="Q64" s="730" t="s">
        <v>427</v>
      </c>
    </row>
    <row r="65" spans="2:17" s="592" customFormat="1" ht="15">
      <c r="B65" s="900" t="s">
        <v>102</v>
      </c>
      <c r="C65" s="901">
        <f>'Purchased Power Model'!H6</f>
        <v>13599460</v>
      </c>
      <c r="D65" s="901">
        <f>'Purchased Power Model'!H18</f>
        <v>12508470</v>
      </c>
      <c r="E65" s="901">
        <f>'Purchased Power Model'!H30</f>
        <v>12568180</v>
      </c>
      <c r="F65" s="901">
        <f>'Purchased Power Model'!H42</f>
        <v>12288190</v>
      </c>
      <c r="G65" s="901">
        <f>'Purchased Power Model'!H54</f>
        <v>12715660</v>
      </c>
      <c r="H65" s="901">
        <f>'Purchased Power Model'!H66</f>
        <v>12078338</v>
      </c>
      <c r="I65" s="901">
        <f>'Purchased Power Model'!H78</f>
        <v>12132585</v>
      </c>
      <c r="J65" s="901">
        <f>'Purchased Power Model'!H90</f>
        <v>11700330</v>
      </c>
      <c r="K65" s="901">
        <f>'Purchased Power Model'!H102</f>
        <v>12001052</v>
      </c>
      <c r="L65" s="901">
        <f>'Purchased Power Model'!H114</f>
        <v>12522131</v>
      </c>
      <c r="M65" s="902">
        <f>'Purchased Power Model'!H126</f>
        <v>12180927.15</v>
      </c>
      <c r="N65" s="594">
        <f>F65-E65</f>
        <v>-279990</v>
      </c>
      <c r="O65" s="728">
        <f>I65-H65</f>
        <v>54247</v>
      </c>
      <c r="P65" s="728">
        <f>K65-J65</f>
        <v>300722</v>
      </c>
      <c r="Q65" s="728">
        <f>M65-L65</f>
        <v>-341203.84999999963</v>
      </c>
    </row>
    <row r="66" spans="2:17" s="592" customFormat="1" ht="15">
      <c r="B66" s="900" t="s">
        <v>103</v>
      </c>
      <c r="C66" s="901">
        <f>'Purchased Power Model'!H7</f>
        <v>11597730</v>
      </c>
      <c r="D66" s="901">
        <f>'Purchased Power Model'!H19</f>
        <v>11727560</v>
      </c>
      <c r="E66" s="901">
        <f>'Purchased Power Model'!H31</f>
        <v>12210720</v>
      </c>
      <c r="F66" s="901">
        <f>'Purchased Power Model'!H43</f>
        <v>11701800</v>
      </c>
      <c r="G66" s="901">
        <f>'Purchased Power Model'!H55</f>
        <v>10806911</v>
      </c>
      <c r="H66" s="901">
        <f>'Purchased Power Model'!H67</f>
        <v>10494800</v>
      </c>
      <c r="I66" s="907">
        <f>'Purchased Power Model'!H79</f>
        <v>10868253</v>
      </c>
      <c r="J66" s="907">
        <f>'Purchased Power Model'!H91</f>
        <v>10395841</v>
      </c>
      <c r="K66" s="907">
        <f>'Purchased Power Model'!H103</f>
        <v>10703797</v>
      </c>
      <c r="L66" s="901">
        <f>'Purchased Power Model'!H115</f>
        <v>10695468</v>
      </c>
      <c r="M66" s="902">
        <f>'Purchased Power Model'!H127</f>
        <v>11448305.18</v>
      </c>
      <c r="N66" s="594">
        <f t="shared" ref="N66:N77" si="10">F66-E66</f>
        <v>-508920</v>
      </c>
      <c r="O66" s="733">
        <f t="shared" ref="O66:O77" si="11">I66-H66</f>
        <v>373453</v>
      </c>
      <c r="P66" s="728">
        <f t="shared" ref="P66:P77" si="12">K66-J66</f>
        <v>307956</v>
      </c>
      <c r="Q66" s="728">
        <f t="shared" ref="Q66:Q77" si="13">M66-L66</f>
        <v>752837.1799999997</v>
      </c>
    </row>
    <row r="67" spans="2:17" s="592" customFormat="1" ht="15">
      <c r="B67" s="900" t="s">
        <v>104</v>
      </c>
      <c r="C67" s="901">
        <f>'Purchased Power Model'!H8</f>
        <v>11805830</v>
      </c>
      <c r="D67" s="901">
        <f>'Purchased Power Model'!H20</f>
        <v>11784150</v>
      </c>
      <c r="E67" s="901">
        <f>'Purchased Power Model'!H32</f>
        <v>11873120</v>
      </c>
      <c r="F67" s="901">
        <f>'Purchased Power Model'!H44</f>
        <v>11663590</v>
      </c>
      <c r="G67" s="901">
        <f>'Purchased Power Model'!H56</f>
        <v>10822297</v>
      </c>
      <c r="H67" s="901">
        <f>'Purchased Power Model'!H68</f>
        <v>10154062</v>
      </c>
      <c r="I67" s="907">
        <f>'Purchased Power Model'!H80</f>
        <v>11068641</v>
      </c>
      <c r="J67" s="907">
        <f>'Purchased Power Model'!H92</f>
        <v>9872024</v>
      </c>
      <c r="K67" s="907">
        <f>'Purchased Power Model'!H104</f>
        <v>10577021</v>
      </c>
      <c r="L67" s="901">
        <f>'Purchased Power Model'!H116</f>
        <v>11273530</v>
      </c>
      <c r="M67" s="902">
        <f>'Purchased Power Model'!H128</f>
        <v>10924977.359999999</v>
      </c>
      <c r="N67" s="594">
        <f t="shared" si="10"/>
        <v>-209530</v>
      </c>
      <c r="O67" s="729">
        <f t="shared" si="11"/>
        <v>914579</v>
      </c>
      <c r="P67" s="729">
        <f t="shared" si="12"/>
        <v>704997</v>
      </c>
      <c r="Q67" s="728">
        <f t="shared" si="13"/>
        <v>-348552.6400000006</v>
      </c>
    </row>
    <row r="68" spans="2:17" s="592" customFormat="1" ht="15">
      <c r="B68" s="900" t="s">
        <v>105</v>
      </c>
      <c r="C68" s="901">
        <f>'Purchased Power Model'!H9</f>
        <v>9698980</v>
      </c>
      <c r="D68" s="901">
        <f>'Purchased Power Model'!H21</f>
        <v>9406440</v>
      </c>
      <c r="E68" s="901">
        <f>'Purchased Power Model'!H33</f>
        <v>9854780</v>
      </c>
      <c r="F68" s="901">
        <f>'Purchased Power Model'!H45</f>
        <v>9464610</v>
      </c>
      <c r="G68" s="901">
        <f>'Purchased Power Model'!H57</f>
        <v>9188119</v>
      </c>
      <c r="H68" s="901">
        <f>'Purchased Power Model'!H69</f>
        <v>8300785</v>
      </c>
      <c r="I68" s="907">
        <f>'Purchased Power Model'!H81</f>
        <v>9074817</v>
      </c>
      <c r="J68" s="907">
        <f>'Purchased Power Model'!H93</f>
        <v>8707449</v>
      </c>
      <c r="K68" s="907">
        <f>'Purchased Power Model'!H105</f>
        <v>9121662</v>
      </c>
      <c r="L68" s="901">
        <f>'Purchased Power Model'!H117</f>
        <v>9031993</v>
      </c>
      <c r="M68" s="902">
        <f>'Purchased Power Model'!H129</f>
        <v>8731936</v>
      </c>
      <c r="N68" s="594">
        <f t="shared" si="10"/>
        <v>-390170</v>
      </c>
      <c r="O68" s="729">
        <f t="shared" si="11"/>
        <v>774032</v>
      </c>
      <c r="P68" s="733">
        <f t="shared" si="12"/>
        <v>414213</v>
      </c>
      <c r="Q68" s="728">
        <f t="shared" si="13"/>
        <v>-300057</v>
      </c>
    </row>
    <row r="69" spans="2:17" s="592" customFormat="1" ht="15">
      <c r="B69" s="900" t="s">
        <v>55</v>
      </c>
      <c r="C69" s="901">
        <f>'Purchased Power Model'!H10</f>
        <v>9203640</v>
      </c>
      <c r="D69" s="901">
        <f>'Purchased Power Model'!H22</f>
        <v>9293920</v>
      </c>
      <c r="E69" s="901">
        <f>'Purchased Power Model'!H34</f>
        <v>9000430</v>
      </c>
      <c r="F69" s="901">
        <f>'Purchased Power Model'!H46</f>
        <v>8709540</v>
      </c>
      <c r="G69" s="901">
        <f>'Purchased Power Model'!H58</f>
        <v>8646669</v>
      </c>
      <c r="H69" s="901">
        <f>'Purchased Power Model'!H70</f>
        <v>8510046</v>
      </c>
      <c r="I69" s="907">
        <f>'Purchased Power Model'!H82</f>
        <v>8658879</v>
      </c>
      <c r="J69" s="907">
        <f>'Purchased Power Model'!H94</f>
        <v>8480484</v>
      </c>
      <c r="K69" s="907">
        <f>'Purchased Power Model'!H106</f>
        <v>8211243</v>
      </c>
      <c r="L69" s="901">
        <f>'Purchased Power Model'!H118</f>
        <v>8286920</v>
      </c>
      <c r="M69" s="902">
        <f>'Purchased Power Model'!H130</f>
        <v>8223122.5700000003</v>
      </c>
      <c r="N69" s="594">
        <f t="shared" si="10"/>
        <v>-290890</v>
      </c>
      <c r="O69" s="728">
        <f t="shared" si="11"/>
        <v>148833</v>
      </c>
      <c r="P69" s="728">
        <f t="shared" si="12"/>
        <v>-269241</v>
      </c>
      <c r="Q69" s="728">
        <f t="shared" si="13"/>
        <v>-63797.429999999702</v>
      </c>
    </row>
    <row r="70" spans="2:17" s="592" customFormat="1" ht="15">
      <c r="B70" s="900" t="s">
        <v>106</v>
      </c>
      <c r="C70" s="901">
        <f>'Purchased Power Model'!H11</f>
        <v>10190860</v>
      </c>
      <c r="D70" s="901">
        <f>'Purchased Power Model'!H23</f>
        <v>9564320</v>
      </c>
      <c r="E70" s="901">
        <f>'Purchased Power Model'!H35</f>
        <v>9265780</v>
      </c>
      <c r="F70" s="901">
        <f>'Purchased Power Model'!H47</f>
        <v>9032720</v>
      </c>
      <c r="G70" s="901">
        <f>'Purchased Power Model'!H59</f>
        <v>8694745</v>
      </c>
      <c r="H70" s="901">
        <f>'Purchased Power Model'!H71</f>
        <v>8680146</v>
      </c>
      <c r="I70" s="901">
        <f>'Purchased Power Model'!H83</f>
        <v>8778920</v>
      </c>
      <c r="J70" s="901">
        <f>'Purchased Power Model'!H95</f>
        <v>9037032</v>
      </c>
      <c r="K70" s="901">
        <f>'Purchased Power Model'!H107</f>
        <v>8287581</v>
      </c>
      <c r="L70" s="901">
        <f>'Purchased Power Model'!H119</f>
        <v>8579731</v>
      </c>
      <c r="M70" s="902">
        <f>'Purchased Power Model'!H131</f>
        <v>8092658.46</v>
      </c>
      <c r="N70" s="594">
        <f t="shared" si="10"/>
        <v>-233060</v>
      </c>
      <c r="O70" s="728">
        <f t="shared" si="11"/>
        <v>98774</v>
      </c>
      <c r="P70" s="728">
        <f t="shared" si="12"/>
        <v>-749451</v>
      </c>
      <c r="Q70" s="729">
        <f t="shared" si="13"/>
        <v>-487072.54000000004</v>
      </c>
    </row>
    <row r="71" spans="2:17" s="592" customFormat="1" ht="15">
      <c r="B71" s="900" t="s">
        <v>107</v>
      </c>
      <c r="C71" s="901">
        <f>'Purchased Power Model'!H12</f>
        <v>10516530</v>
      </c>
      <c r="D71" s="901">
        <f>'Purchased Power Model'!H24</f>
        <v>10639870</v>
      </c>
      <c r="E71" s="901">
        <f>'Purchased Power Model'!H36</f>
        <v>9662330</v>
      </c>
      <c r="F71" s="901">
        <f>'Purchased Power Model'!H48</f>
        <v>9681910</v>
      </c>
      <c r="G71" s="901">
        <f>'Purchased Power Model'!H60</f>
        <v>8965453</v>
      </c>
      <c r="H71" s="901">
        <f>'Purchased Power Model'!H72</f>
        <v>9983854</v>
      </c>
      <c r="I71" s="901">
        <f>'Purchased Power Model'!H84</f>
        <v>10001581</v>
      </c>
      <c r="J71" s="901">
        <f>'Purchased Power Model'!H96</f>
        <v>9784872</v>
      </c>
      <c r="K71" s="901">
        <f>'Purchased Power Model'!H108</f>
        <v>9598701</v>
      </c>
      <c r="L71" s="901">
        <f>'Purchased Power Model'!H120</f>
        <v>9080121</v>
      </c>
      <c r="M71" s="902">
        <f>'Purchased Power Model'!H132</f>
        <v>8978804.4600000009</v>
      </c>
      <c r="N71" s="594">
        <f t="shared" si="10"/>
        <v>19580</v>
      </c>
      <c r="O71" s="728">
        <f t="shared" si="11"/>
        <v>17727</v>
      </c>
      <c r="P71" s="728">
        <f t="shared" si="12"/>
        <v>-186171</v>
      </c>
      <c r="Q71" s="728">
        <f t="shared" si="13"/>
        <v>-101316.53999999911</v>
      </c>
    </row>
    <row r="72" spans="2:17" s="592" customFormat="1" ht="15">
      <c r="B72" s="900" t="s">
        <v>108</v>
      </c>
      <c r="C72" s="901">
        <f>'Purchased Power Model'!H13</f>
        <v>10498410</v>
      </c>
      <c r="D72" s="901">
        <f>'Purchased Power Model'!H25</f>
        <v>10096480</v>
      </c>
      <c r="E72" s="901">
        <f>'Purchased Power Model'!H37</f>
        <v>9982760</v>
      </c>
      <c r="F72" s="901">
        <f>'Purchased Power Model'!H49</f>
        <v>9241240</v>
      </c>
      <c r="G72" s="901">
        <f>'Purchased Power Model'!H61</f>
        <v>9534995</v>
      </c>
      <c r="H72" s="901">
        <f>'Purchased Power Model'!H73</f>
        <v>9543754</v>
      </c>
      <c r="I72" s="901">
        <f>'Purchased Power Model'!H85</f>
        <v>9454436</v>
      </c>
      <c r="J72" s="901">
        <f>'Purchased Power Model'!H97</f>
        <v>9438341</v>
      </c>
      <c r="K72" s="901">
        <f>'Purchased Power Model'!H109</f>
        <v>9619248</v>
      </c>
      <c r="L72" s="901">
        <f>'Purchased Power Model'!H121</f>
        <v>8989250</v>
      </c>
      <c r="M72" s="902">
        <f>'Purchased Power Model'!H133</f>
        <v>8939421.9100000001</v>
      </c>
      <c r="N72" s="734">
        <f t="shared" si="10"/>
        <v>-741520</v>
      </c>
      <c r="O72" s="728">
        <f t="shared" si="11"/>
        <v>-89318</v>
      </c>
      <c r="P72" s="728">
        <f t="shared" si="12"/>
        <v>180907</v>
      </c>
      <c r="Q72" s="728">
        <f t="shared" si="13"/>
        <v>-49828.089999999851</v>
      </c>
    </row>
    <row r="73" spans="2:17" s="592" customFormat="1" ht="15">
      <c r="B73" s="900" t="s">
        <v>109</v>
      </c>
      <c r="C73" s="901">
        <f>'Purchased Power Model'!H14</f>
        <v>9504880</v>
      </c>
      <c r="D73" s="901">
        <f>'Purchased Power Model'!H26</f>
        <v>8938560</v>
      </c>
      <c r="E73" s="901">
        <f>'Purchased Power Model'!H38</f>
        <v>9063690</v>
      </c>
      <c r="F73" s="901">
        <f>'Purchased Power Model'!H50</f>
        <v>8800520</v>
      </c>
      <c r="G73" s="901">
        <f>'Purchased Power Model'!H62</f>
        <v>8543544</v>
      </c>
      <c r="H73" s="901">
        <f>'Purchased Power Model'!H74</f>
        <v>8579877</v>
      </c>
      <c r="I73" s="901">
        <f>'Purchased Power Model'!H86</f>
        <v>8634961</v>
      </c>
      <c r="J73" s="901">
        <f>'Purchased Power Model'!H98</f>
        <v>8463793</v>
      </c>
      <c r="K73" s="901">
        <f>'Purchased Power Model'!H110</f>
        <v>8194773</v>
      </c>
      <c r="L73" s="901">
        <f>'Purchased Power Model'!H122</f>
        <v>8464550</v>
      </c>
      <c r="M73" s="902">
        <f>'Purchased Power Model'!H134</f>
        <v>8496700.6799999997</v>
      </c>
      <c r="N73" s="594">
        <f t="shared" si="10"/>
        <v>-263170</v>
      </c>
      <c r="O73" s="728">
        <f t="shared" si="11"/>
        <v>55084</v>
      </c>
      <c r="P73" s="728">
        <f t="shared" si="12"/>
        <v>-269020</v>
      </c>
      <c r="Q73" s="728">
        <f t="shared" si="13"/>
        <v>32150.679999999702</v>
      </c>
    </row>
    <row r="74" spans="2:17" s="592" customFormat="1" ht="15">
      <c r="B74" s="900" t="s">
        <v>110</v>
      </c>
      <c r="C74" s="901">
        <f>'Purchased Power Model'!H15</f>
        <v>9922960</v>
      </c>
      <c r="D74" s="901">
        <f>'Purchased Power Model'!H27</f>
        <v>9952100</v>
      </c>
      <c r="E74" s="901">
        <f>'Purchased Power Model'!H39</f>
        <v>9402850</v>
      </c>
      <c r="F74" s="901">
        <f>'Purchased Power Model'!H51</f>
        <v>8997790</v>
      </c>
      <c r="G74" s="901">
        <f>'Purchased Power Model'!H63</f>
        <v>9341679</v>
      </c>
      <c r="H74" s="901">
        <f>'Purchased Power Model'!H75</f>
        <v>8994685</v>
      </c>
      <c r="I74" s="901">
        <f>'Purchased Power Model'!H87</f>
        <v>8927131</v>
      </c>
      <c r="J74" s="901">
        <f>'Purchased Power Model'!H99</f>
        <v>8669407</v>
      </c>
      <c r="K74" s="901">
        <f>'Purchased Power Model'!H111</f>
        <v>8732069</v>
      </c>
      <c r="L74" s="901">
        <f>'Purchased Power Model'!H123</f>
        <v>8670762</v>
      </c>
      <c r="M74" s="902">
        <f>'Purchased Power Model'!H135</f>
        <v>8450501.8100000005</v>
      </c>
      <c r="N74" s="594">
        <f t="shared" si="10"/>
        <v>-405060</v>
      </c>
      <c r="O74" s="728">
        <f t="shared" si="11"/>
        <v>-67554</v>
      </c>
      <c r="P74" s="728">
        <f t="shared" si="12"/>
        <v>62662</v>
      </c>
      <c r="Q74" s="728">
        <f t="shared" si="13"/>
        <v>-220260.18999999948</v>
      </c>
    </row>
    <row r="75" spans="2:17" s="592" customFormat="1" ht="15">
      <c r="B75" s="900" t="s">
        <v>111</v>
      </c>
      <c r="C75" s="901">
        <f>'Purchased Power Model'!H16</f>
        <v>10652470</v>
      </c>
      <c r="D75" s="901">
        <f>'Purchased Power Model'!H28</f>
        <v>10436420</v>
      </c>
      <c r="E75" s="901">
        <f>'Purchased Power Model'!H40</f>
        <v>10423660</v>
      </c>
      <c r="F75" s="901">
        <f>'Purchased Power Model'!H52</f>
        <v>9775270</v>
      </c>
      <c r="G75" s="901">
        <f>'Purchased Power Model'!H64</f>
        <v>9542500</v>
      </c>
      <c r="H75" s="901">
        <f>'Purchased Power Model'!H76</f>
        <v>9833800</v>
      </c>
      <c r="I75" s="901">
        <f>'Purchased Power Model'!H88</f>
        <v>9482575</v>
      </c>
      <c r="J75" s="901">
        <f>'Purchased Power Model'!H100</f>
        <v>9769730</v>
      </c>
      <c r="K75" s="901">
        <f>'Purchased Power Model'!H112</f>
        <v>9931378</v>
      </c>
      <c r="L75" s="901">
        <f>'Purchased Power Model'!H124</f>
        <v>9598673</v>
      </c>
      <c r="M75" s="902">
        <f>'Purchased Power Model'!H136</f>
        <v>8794018.0199999996</v>
      </c>
      <c r="N75" s="734">
        <f t="shared" si="10"/>
        <v>-648390</v>
      </c>
      <c r="O75" s="728">
        <f t="shared" si="11"/>
        <v>-351225</v>
      </c>
      <c r="P75" s="728">
        <f t="shared" si="12"/>
        <v>161648</v>
      </c>
      <c r="Q75" s="729">
        <f t="shared" si="13"/>
        <v>-804654.98000000045</v>
      </c>
    </row>
    <row r="76" spans="2:17" s="592" customFormat="1" ht="15">
      <c r="B76" s="900" t="s">
        <v>112</v>
      </c>
      <c r="C76" s="901">
        <f>'Purchased Power Model'!H17</f>
        <v>12377440</v>
      </c>
      <c r="D76" s="901">
        <f>'Purchased Power Model'!H29</f>
        <v>11345280</v>
      </c>
      <c r="E76" s="901">
        <f>'Purchased Power Model'!H41</f>
        <v>12253260</v>
      </c>
      <c r="F76" s="901">
        <f>'Purchased Power Model'!H53</f>
        <v>11977460</v>
      </c>
      <c r="G76" s="901">
        <f>'Purchased Power Model'!H65</f>
        <v>11612258</v>
      </c>
      <c r="H76" s="901">
        <f>'Purchased Power Model'!H77</f>
        <v>11438554</v>
      </c>
      <c r="I76" s="901">
        <f>'Purchased Power Model'!H89</f>
        <v>10919663</v>
      </c>
      <c r="J76" s="901">
        <f>'Purchased Power Model'!H101</f>
        <v>10961744</v>
      </c>
      <c r="K76" s="907">
        <f>'Purchased Power Model'!H113</f>
        <v>11616941</v>
      </c>
      <c r="L76" s="901">
        <f>'Purchased Power Model'!H125</f>
        <v>10755419</v>
      </c>
      <c r="M76" s="902">
        <f>'Purchased Power Model'!H137</f>
        <v>9423404.3499999996</v>
      </c>
      <c r="N76" s="594">
        <f t="shared" si="10"/>
        <v>-275800</v>
      </c>
      <c r="O76" s="731">
        <f t="shared" si="11"/>
        <v>-518891</v>
      </c>
      <c r="P76" s="732">
        <f t="shared" si="12"/>
        <v>655197</v>
      </c>
      <c r="Q76" s="732">
        <f t="shared" si="13"/>
        <v>-1332014.6500000004</v>
      </c>
    </row>
    <row r="77" spans="2:17" s="592" customFormat="1" ht="15">
      <c r="B77" s="903" t="s">
        <v>5</v>
      </c>
      <c r="C77" s="904">
        <f>SUM(C65:C76)</f>
        <v>129569190</v>
      </c>
      <c r="D77" s="904">
        <f t="shared" ref="D77:M77" si="14">SUM(D65:D76)</f>
        <v>125693570</v>
      </c>
      <c r="E77" s="904">
        <f t="shared" si="14"/>
        <v>125561560</v>
      </c>
      <c r="F77" s="904">
        <f t="shared" si="14"/>
        <v>121334640</v>
      </c>
      <c r="G77" s="904">
        <f t="shared" si="14"/>
        <v>118414830</v>
      </c>
      <c r="H77" s="904">
        <f t="shared" si="14"/>
        <v>116592701</v>
      </c>
      <c r="I77" s="904">
        <f t="shared" si="14"/>
        <v>118002442</v>
      </c>
      <c r="J77" s="904">
        <f t="shared" si="14"/>
        <v>115281047</v>
      </c>
      <c r="K77" s="904">
        <f t="shared" si="14"/>
        <v>116595466</v>
      </c>
      <c r="L77" s="904">
        <f t="shared" si="14"/>
        <v>115948548</v>
      </c>
      <c r="M77" s="904">
        <f t="shared" si="14"/>
        <v>112684777.95</v>
      </c>
      <c r="N77" s="594">
        <f t="shared" si="10"/>
        <v>-4226920</v>
      </c>
      <c r="O77" s="728">
        <f t="shared" si="11"/>
        <v>1409741</v>
      </c>
      <c r="P77" s="728">
        <f t="shared" si="12"/>
        <v>1314419</v>
      </c>
      <c r="Q77" s="728">
        <f t="shared" si="13"/>
        <v>-3263770.049999997</v>
      </c>
    </row>
    <row r="78" spans="2:17" s="592" customFormat="1" ht="13.5" customHeight="1">
      <c r="B78" s="903" t="s">
        <v>356</v>
      </c>
      <c r="C78" s="905"/>
      <c r="D78" s="906">
        <f>D77/C77</f>
        <v>0.97008841376564903</v>
      </c>
      <c r="E78" s="906">
        <f t="shared" ref="E78:M78" si="15">E77/D77</f>
        <v>0.99894974738962383</v>
      </c>
      <c r="F78" s="906">
        <f t="shared" si="15"/>
        <v>0.96633587540645405</v>
      </c>
      <c r="G78" s="906">
        <f t="shared" si="15"/>
        <v>0.97593589102007472</v>
      </c>
      <c r="H78" s="906">
        <f t="shared" si="15"/>
        <v>0.98461232431782408</v>
      </c>
      <c r="I78" s="906">
        <f t="shared" si="15"/>
        <v>1.0120911599775015</v>
      </c>
      <c r="J78" s="906">
        <f t="shared" si="15"/>
        <v>0.97693780777858819</v>
      </c>
      <c r="K78" s="906">
        <f t="shared" si="15"/>
        <v>1.01140186556425</v>
      </c>
      <c r="L78" s="906">
        <f t="shared" si="15"/>
        <v>0.99445160243195052</v>
      </c>
      <c r="M78" s="906">
        <f t="shared" si="15"/>
        <v>0.97185156600667399</v>
      </c>
    </row>
    <row r="79" spans="2:17" s="592" customFormat="1" ht="13.5" customHeight="1">
      <c r="B79" s="941"/>
      <c r="C79" s="942"/>
      <c r="D79" s="943"/>
      <c r="E79" s="943"/>
      <c r="F79" s="943"/>
      <c r="G79" s="943"/>
      <c r="H79" s="943"/>
      <c r="I79" s="943"/>
      <c r="J79" s="943"/>
      <c r="K79" s="943"/>
      <c r="L79" s="943"/>
      <c r="M79" s="943"/>
    </row>
    <row r="81" spans="2:13" ht="15">
      <c r="B81" s="599" t="s">
        <v>463</v>
      </c>
    </row>
    <row r="82" spans="2:13">
      <c r="B82" s="665" t="s">
        <v>464</v>
      </c>
    </row>
    <row r="84" spans="2:13" ht="15">
      <c r="F84" s="599" t="s">
        <v>424</v>
      </c>
    </row>
    <row r="85" spans="2:13" ht="15">
      <c r="F85" s="599"/>
      <c r="I85" s="595"/>
    </row>
    <row r="86" spans="2:13">
      <c r="C86" s="600"/>
      <c r="D86" s="601"/>
      <c r="E86" s="601" t="s">
        <v>357</v>
      </c>
      <c r="F86" s="601"/>
      <c r="G86" s="601"/>
      <c r="H86" s="601"/>
      <c r="I86" s="601"/>
      <c r="J86" s="601"/>
      <c r="K86" s="602"/>
      <c r="L86" s="600" t="s">
        <v>358</v>
      </c>
      <c r="M86" s="602"/>
    </row>
    <row r="87" spans="2:13">
      <c r="B87" s="170"/>
      <c r="C87" s="603">
        <f>'CDM Activity'!B41</f>
        <v>2006</v>
      </c>
      <c r="D87" s="603">
        <f>'CDM Activity'!C41</f>
        <v>2007</v>
      </c>
      <c r="E87" s="603">
        <f>'CDM Activity'!D41</f>
        <v>2008</v>
      </c>
      <c r="F87" s="603">
        <f>'CDM Activity'!E41</f>
        <v>2009</v>
      </c>
      <c r="G87" s="603">
        <f>'CDM Activity'!F41</f>
        <v>2010</v>
      </c>
      <c r="H87" s="603">
        <f>'CDM Activity'!G41</f>
        <v>2011</v>
      </c>
      <c r="I87" s="603">
        <f>'CDM Activity'!H41</f>
        <v>2012</v>
      </c>
      <c r="J87" s="603">
        <f>'CDM Activity'!I41</f>
        <v>2013</v>
      </c>
      <c r="K87" s="603">
        <f>'CDM Activity'!J41</f>
        <v>2014</v>
      </c>
      <c r="L87" s="603">
        <f>'CDM Activity'!K41</f>
        <v>2015</v>
      </c>
      <c r="M87" s="603">
        <f>'CDM Activity'!L41</f>
        <v>2016</v>
      </c>
    </row>
    <row r="88" spans="2:13">
      <c r="B88" s="170"/>
      <c r="C88" s="604">
        <f t="array" ref="C88:M88">TRANSPOSE('CDM Activity'!B4:B14)</f>
        <v>415552.6948728204</v>
      </c>
      <c r="D88" s="605">
        <v>749106.26563565712</v>
      </c>
      <c r="E88" s="605">
        <v>1039688.903973503</v>
      </c>
      <c r="F88" s="605">
        <v>1802169.88608751</v>
      </c>
      <c r="G88" s="605">
        <v>1879508.692706482</v>
      </c>
      <c r="H88" s="605">
        <v>2629671.732033812</v>
      </c>
      <c r="I88" s="605">
        <v>3327697.8034008839</v>
      </c>
      <c r="J88" s="605">
        <v>3601067.0168802715</v>
      </c>
      <c r="K88" s="605">
        <v>4475753.7237504823</v>
      </c>
      <c r="L88" s="605">
        <v>5579141.1289679604</v>
      </c>
      <c r="M88" s="605">
        <v>5267345.8286500499</v>
      </c>
    </row>
    <row r="89" spans="2:13">
      <c r="B89" s="170"/>
      <c r="C89" s="596" t="s">
        <v>359</v>
      </c>
      <c r="D89" s="597"/>
      <c r="E89" s="597"/>
      <c r="F89" s="597"/>
      <c r="G89" s="597"/>
      <c r="H89" s="597"/>
      <c r="I89" s="597"/>
      <c r="J89" s="597"/>
      <c r="K89" s="597"/>
      <c r="L89" s="597"/>
      <c r="M89" s="598"/>
    </row>
    <row r="90" spans="2:13">
      <c r="B90" s="170"/>
      <c r="C90" s="643"/>
      <c r="D90" s="643"/>
      <c r="E90" s="643"/>
      <c r="F90" s="643"/>
      <c r="G90" s="643"/>
      <c r="H90" s="643"/>
      <c r="I90" s="643"/>
      <c r="J90" s="643"/>
      <c r="K90" s="643"/>
      <c r="L90" s="643"/>
      <c r="M90" s="643"/>
    </row>
    <row r="91" spans="2:13">
      <c r="B91" s="170"/>
      <c r="C91" s="643"/>
      <c r="D91" s="643"/>
      <c r="E91" s="643"/>
      <c r="F91" s="643"/>
      <c r="G91" s="643"/>
      <c r="H91" s="643"/>
      <c r="I91" s="643"/>
      <c r="J91" s="643"/>
      <c r="K91" s="643"/>
      <c r="L91" s="643"/>
      <c r="M91" s="643"/>
    </row>
    <row r="92" spans="2:13">
      <c r="B92" s="333" t="s">
        <v>468</v>
      </c>
      <c r="C92" s="643"/>
      <c r="D92" s="643"/>
      <c r="E92" s="643"/>
      <c r="F92" s="643"/>
      <c r="G92" s="643"/>
      <c r="H92" s="643"/>
      <c r="I92" s="643"/>
      <c r="J92" s="643"/>
      <c r="K92" s="643"/>
      <c r="L92" s="643"/>
      <c r="M92" s="643"/>
    </row>
    <row r="93" spans="2:13">
      <c r="B93" s="170" t="s">
        <v>469</v>
      </c>
      <c r="C93" s="643"/>
      <c r="D93" s="643"/>
      <c r="E93" s="643"/>
      <c r="F93" s="643"/>
      <c r="G93" s="643"/>
      <c r="H93" s="643"/>
      <c r="I93" s="643"/>
      <c r="J93" s="643"/>
      <c r="K93" s="643"/>
      <c r="L93" s="643"/>
      <c r="M93" s="643"/>
    </row>
    <row r="94" spans="2:13">
      <c r="B94" s="170"/>
      <c r="C94" s="643"/>
      <c r="D94" s="643"/>
      <c r="E94" s="643"/>
      <c r="F94" s="643"/>
      <c r="G94" s="643"/>
      <c r="H94" s="643"/>
      <c r="I94" s="643"/>
      <c r="J94" s="643"/>
      <c r="K94" s="643"/>
      <c r="L94" s="643"/>
      <c r="M94" s="643"/>
    </row>
    <row r="95" spans="2:13">
      <c r="B95" s="170"/>
      <c r="C95" s="643"/>
      <c r="D95" s="643"/>
      <c r="E95" s="643"/>
      <c r="F95" s="643"/>
      <c r="G95" s="643"/>
      <c r="H95" s="643"/>
      <c r="I95" s="643"/>
      <c r="J95" s="643"/>
      <c r="K95" s="643"/>
      <c r="L95" s="643"/>
      <c r="M95" s="643"/>
    </row>
    <row r="96" spans="2:13">
      <c r="B96" s="333" t="s">
        <v>470</v>
      </c>
      <c r="C96" s="643"/>
      <c r="D96" s="643"/>
      <c r="E96" s="643"/>
      <c r="F96" s="643"/>
      <c r="G96" s="643"/>
      <c r="H96" s="643"/>
      <c r="I96" s="643"/>
      <c r="J96" s="643"/>
      <c r="K96" s="643"/>
      <c r="L96" s="643"/>
      <c r="M96" s="643"/>
    </row>
    <row r="97" spans="2:13">
      <c r="B97" s="170" t="s">
        <v>469</v>
      </c>
      <c r="C97" s="643"/>
      <c r="D97" s="643"/>
      <c r="E97" s="643"/>
      <c r="F97" s="643"/>
      <c r="G97" s="643"/>
      <c r="H97" s="643"/>
      <c r="I97" s="643"/>
      <c r="J97" s="643"/>
      <c r="K97" s="643"/>
      <c r="L97" s="643"/>
      <c r="M97" s="643"/>
    </row>
    <row r="98" spans="2:13">
      <c r="B98" s="170"/>
      <c r="C98" s="643"/>
      <c r="D98" s="643"/>
      <c r="E98" s="643"/>
      <c r="F98" s="643"/>
      <c r="G98" s="643"/>
      <c r="H98" s="643"/>
      <c r="I98" s="643"/>
      <c r="J98" s="643"/>
      <c r="K98" s="643"/>
      <c r="L98" s="643"/>
      <c r="M98" s="643"/>
    </row>
    <row r="99" spans="2:13">
      <c r="B99" s="170"/>
    </row>
    <row r="100" spans="2:13">
      <c r="B100" s="333" t="s">
        <v>471</v>
      </c>
      <c r="C100" s="643"/>
      <c r="D100" s="643"/>
      <c r="E100" s="643"/>
      <c r="F100" s="643"/>
      <c r="G100" s="643"/>
      <c r="H100" s="643"/>
      <c r="I100" s="643"/>
      <c r="J100" s="643"/>
      <c r="K100" s="643"/>
      <c r="L100" s="643"/>
      <c r="M100" s="643"/>
    </row>
    <row r="101" spans="2:13">
      <c r="B101" s="170" t="s">
        <v>469</v>
      </c>
      <c r="C101" s="643"/>
      <c r="D101" s="643"/>
      <c r="E101" s="643"/>
      <c r="F101" s="643"/>
      <c r="G101" s="643"/>
      <c r="H101" s="643"/>
      <c r="I101" s="643"/>
      <c r="J101" s="643"/>
      <c r="K101" s="643"/>
      <c r="L101" s="643"/>
      <c r="M101" s="643"/>
    </row>
    <row r="102" spans="2:13">
      <c r="B102" s="170"/>
      <c r="C102" s="643"/>
      <c r="D102" s="643"/>
      <c r="E102" s="643"/>
      <c r="F102" s="643"/>
      <c r="G102" s="643"/>
      <c r="H102" s="643"/>
      <c r="I102" s="643"/>
      <c r="J102" s="643"/>
      <c r="K102" s="643"/>
      <c r="L102" s="643"/>
      <c r="M102" s="643"/>
    </row>
    <row r="103" spans="2:13">
      <c r="B103" s="170"/>
    </row>
    <row r="104" spans="2:13" ht="15">
      <c r="B104" s="170"/>
      <c r="D104" s="599" t="s">
        <v>465</v>
      </c>
    </row>
    <row r="105" spans="2:13" ht="15" thickBot="1">
      <c r="B105" s="170"/>
    </row>
    <row r="106" spans="2:13" ht="39" thickTop="1">
      <c r="B106" s="170"/>
      <c r="C106" s="1047"/>
      <c r="D106" s="963" t="s">
        <v>131</v>
      </c>
      <c r="E106" s="963" t="s">
        <v>132</v>
      </c>
      <c r="F106" s="963" t="s">
        <v>3</v>
      </c>
      <c r="G106" s="963" t="s">
        <v>133</v>
      </c>
      <c r="H106" s="963" t="s">
        <v>134</v>
      </c>
      <c r="I106" s="963" t="s">
        <v>97</v>
      </c>
      <c r="J106" s="964" t="s">
        <v>466</v>
      </c>
    </row>
    <row r="107" spans="2:13">
      <c r="B107" s="170"/>
      <c r="C107" s="1048">
        <v>42400</v>
      </c>
      <c r="D107" s="1049">
        <f>'Purchased Power Model'!J138</f>
        <v>804.80000000000018</v>
      </c>
      <c r="E107" s="1050">
        <f>'Purchased Power Model'!K138</f>
        <v>0</v>
      </c>
      <c r="F107" s="1051">
        <f>'Purchased Power Model'!L138</f>
        <v>31</v>
      </c>
      <c r="G107" s="1051">
        <f>'Purchased Power Model'!M138</f>
        <v>0</v>
      </c>
      <c r="H107" s="1051">
        <f>'Purchased Power Model'!N138</f>
        <v>1</v>
      </c>
      <c r="I107" s="1052">
        <f>'Purchased Power Model'!O138</f>
        <v>459284.91118247033</v>
      </c>
      <c r="J107" s="1052">
        <f>'Purchased Power Model'!U138</f>
        <v>11165473.02390413</v>
      </c>
    </row>
    <row r="108" spans="2:13">
      <c r="B108" s="170"/>
      <c r="C108" s="1048">
        <v>42429</v>
      </c>
      <c r="D108" s="1049">
        <f>'Purchased Power Model'!J139</f>
        <v>756.3</v>
      </c>
      <c r="E108" s="1050">
        <f>'Purchased Power Model'!K139</f>
        <v>0</v>
      </c>
      <c r="F108" s="1051">
        <f>'Purchased Power Model'!L139</f>
        <v>29</v>
      </c>
      <c r="G108" s="1051">
        <f>'Purchased Power Model'!M139</f>
        <v>0</v>
      </c>
      <c r="H108" s="1051">
        <f>'Purchased Power Model'!N139</f>
        <v>1</v>
      </c>
      <c r="I108" s="1052">
        <f>'Purchased Power Model'!O139</f>
        <v>457948.9194342788</v>
      </c>
      <c r="J108" s="1052">
        <f>'Purchased Power Model'!U139</f>
        <v>10466695.772992244</v>
      </c>
    </row>
    <row r="109" spans="2:13">
      <c r="B109" s="170"/>
      <c r="C109" s="1048">
        <v>42460</v>
      </c>
      <c r="D109" s="1049">
        <f>'Purchased Power Model'!J140</f>
        <v>591.39999999999975</v>
      </c>
      <c r="E109" s="1050">
        <f>'Purchased Power Model'!K140</f>
        <v>0</v>
      </c>
      <c r="F109" s="1051">
        <f>'Purchased Power Model'!L140</f>
        <v>31</v>
      </c>
      <c r="G109" s="1051">
        <f>'Purchased Power Model'!M140</f>
        <v>1</v>
      </c>
      <c r="H109" s="1051">
        <f>'Purchased Power Model'!N140</f>
        <v>2</v>
      </c>
      <c r="I109" s="1052">
        <f>'Purchased Power Model'!O140</f>
        <v>456612.92768608726</v>
      </c>
      <c r="J109" s="1052">
        <f>'Purchased Power Model'!U140</f>
        <v>9721313.6079896279</v>
      </c>
    </row>
    <row r="110" spans="2:13">
      <c r="B110" s="170"/>
      <c r="C110" s="1048">
        <v>42490</v>
      </c>
      <c r="D110" s="1049">
        <f>'Purchased Power Model'!J141</f>
        <v>433.7999999999999</v>
      </c>
      <c r="E110" s="1050">
        <f>'Purchased Power Model'!K141</f>
        <v>0</v>
      </c>
      <c r="F110" s="1051">
        <f>'Purchased Power Model'!L141</f>
        <v>30</v>
      </c>
      <c r="G110" s="1051">
        <f>'Purchased Power Model'!M141</f>
        <v>1</v>
      </c>
      <c r="H110" s="1051">
        <f>'Purchased Power Model'!N141</f>
        <v>0</v>
      </c>
      <c r="I110" s="1052">
        <f>'Purchased Power Model'!O141</f>
        <v>455276.93593789573</v>
      </c>
      <c r="J110" s="1052">
        <f>'Purchased Power Model'!U141</f>
        <v>8973262.6897424422</v>
      </c>
    </row>
    <row r="111" spans="2:13">
      <c r="B111" s="170"/>
      <c r="C111" s="1048">
        <v>42521</v>
      </c>
      <c r="D111" s="1049">
        <f>'Purchased Power Model'!J142</f>
        <v>145.39999999999998</v>
      </c>
      <c r="E111" s="1050">
        <f>'Purchased Power Model'!K142</f>
        <v>28.7</v>
      </c>
      <c r="F111" s="1051">
        <f>'Purchased Power Model'!L142</f>
        <v>31</v>
      </c>
      <c r="G111" s="1051">
        <f>'Purchased Power Model'!M142</f>
        <v>1</v>
      </c>
      <c r="H111" s="1051">
        <f>'Purchased Power Model'!N142</f>
        <v>1</v>
      </c>
      <c r="I111" s="1052">
        <f>'Purchased Power Model'!O142</f>
        <v>453940.9441897042</v>
      </c>
      <c r="J111" s="1052">
        <f>'Purchased Power Model'!U142</f>
        <v>8169221.4323632568</v>
      </c>
    </row>
    <row r="112" spans="2:13">
      <c r="B112" s="170"/>
      <c r="C112" s="1048">
        <v>42551</v>
      </c>
      <c r="D112" s="1049">
        <f>'Purchased Power Model'!J143</f>
        <v>36.300000000000004</v>
      </c>
      <c r="E112" s="1050">
        <f>'Purchased Power Model'!K143</f>
        <v>51.999999999999993</v>
      </c>
      <c r="F112" s="1051">
        <f>'Purchased Power Model'!L143</f>
        <v>30</v>
      </c>
      <c r="G112" s="1051">
        <f>'Purchased Power Model'!M143</f>
        <v>0</v>
      </c>
      <c r="H112" s="1051">
        <f>'Purchased Power Model'!N143</f>
        <v>0</v>
      </c>
      <c r="I112" s="1052">
        <f>'Purchased Power Model'!O143</f>
        <v>452604.95244151267</v>
      </c>
      <c r="J112" s="1052">
        <f>'Purchased Power Model'!U143</f>
        <v>8215242.8491654508</v>
      </c>
    </row>
    <row r="113" spans="2:10">
      <c r="B113" s="170"/>
      <c r="C113" s="1048">
        <v>42582</v>
      </c>
      <c r="D113" s="1049">
        <f>'Purchased Power Model'!J144</f>
        <v>3.4</v>
      </c>
      <c r="E113" s="1050">
        <f>'Purchased Power Model'!K144</f>
        <v>112.6</v>
      </c>
      <c r="F113" s="1051">
        <f>'Purchased Power Model'!L144</f>
        <v>31</v>
      </c>
      <c r="G113" s="1051">
        <f>'Purchased Power Model'!M144</f>
        <v>0</v>
      </c>
      <c r="H113" s="1051">
        <f>'Purchased Power Model'!N144</f>
        <v>1</v>
      </c>
      <c r="I113" s="1052">
        <f>'Purchased Power Model'!O144</f>
        <v>451268.96069332113</v>
      </c>
      <c r="J113" s="1052">
        <f>'Purchased Power Model'!U144</f>
        <v>9062165.8280658014</v>
      </c>
    </row>
    <row r="114" spans="2:10">
      <c r="B114" s="170"/>
      <c r="C114" s="1048">
        <v>42613</v>
      </c>
      <c r="D114" s="1049">
        <f>'Purchased Power Model'!J145</f>
        <v>1.4</v>
      </c>
      <c r="E114" s="1050">
        <f>'Purchased Power Model'!K145</f>
        <v>124.60000000000001</v>
      </c>
      <c r="F114" s="1051">
        <f>'Purchased Power Model'!L145</f>
        <v>31</v>
      </c>
      <c r="G114" s="1051">
        <f>'Purchased Power Model'!M145</f>
        <v>0</v>
      </c>
      <c r="H114" s="1051">
        <f>'Purchased Power Model'!N145</f>
        <v>1</v>
      </c>
      <c r="I114" s="1052">
        <f>'Purchased Power Model'!O145</f>
        <v>449932.9689451296</v>
      </c>
      <c r="J114" s="1052">
        <f>'Purchased Power Model'!U145</f>
        <v>9228905.6168483254</v>
      </c>
    </row>
    <row r="115" spans="2:10">
      <c r="B115" s="170"/>
      <c r="C115" s="1048">
        <v>42643</v>
      </c>
      <c r="D115" s="1049">
        <f>'Purchased Power Model'!J146</f>
        <v>75.100000000000009</v>
      </c>
      <c r="E115" s="1050">
        <f>'Purchased Power Model'!K146</f>
        <v>24.900000000000006</v>
      </c>
      <c r="F115" s="1051">
        <f>'Purchased Power Model'!L146</f>
        <v>30</v>
      </c>
      <c r="G115" s="1051">
        <f>'Purchased Power Model'!M146</f>
        <v>1</v>
      </c>
      <c r="H115" s="1051">
        <f>'Purchased Power Model'!N146</f>
        <v>1</v>
      </c>
      <c r="I115" s="1052">
        <f>'Purchased Power Model'!O146</f>
        <v>448596.97719693807</v>
      </c>
      <c r="J115" s="1052">
        <f>'Purchased Power Model'!U146</f>
        <v>7563771.6756266318</v>
      </c>
    </row>
    <row r="116" spans="2:10">
      <c r="B116" s="170"/>
      <c r="C116" s="1048">
        <v>42674</v>
      </c>
      <c r="D116" s="1049">
        <f>'Purchased Power Model'!J147</f>
        <v>291.09999999999997</v>
      </c>
      <c r="E116" s="1050">
        <f>'Purchased Power Model'!K147</f>
        <v>0</v>
      </c>
      <c r="F116" s="1051">
        <f>'Purchased Power Model'!L147</f>
        <v>31</v>
      </c>
      <c r="G116" s="1051">
        <f>'Purchased Power Model'!M147</f>
        <v>1</v>
      </c>
      <c r="H116" s="1051">
        <f>'Purchased Power Model'!N147</f>
        <v>1</v>
      </c>
      <c r="I116" s="1052">
        <f>'Purchased Power Model'!O147</f>
        <v>447260.98544874653</v>
      </c>
      <c r="J116" s="1052">
        <f>'Purchased Power Model'!U147</f>
        <v>8457058.4686659444</v>
      </c>
    </row>
    <row r="117" spans="2:10">
      <c r="B117" s="170"/>
      <c r="C117" s="1048">
        <v>42704</v>
      </c>
      <c r="D117" s="1049">
        <f>'Purchased Power Model'!J148</f>
        <v>449.50000000000006</v>
      </c>
      <c r="E117" s="1050">
        <f>'Purchased Power Model'!K148</f>
        <v>0</v>
      </c>
      <c r="F117" s="1051">
        <f>'Purchased Power Model'!L148</f>
        <v>30</v>
      </c>
      <c r="G117" s="1051">
        <f>'Purchased Power Model'!M148</f>
        <v>1</v>
      </c>
      <c r="H117" s="1051">
        <f>'Purchased Power Model'!N148</f>
        <v>0</v>
      </c>
      <c r="I117" s="1052">
        <f>'Purchased Power Model'!O148</f>
        <v>445924.993700555</v>
      </c>
      <c r="J117" s="1052">
        <f>'Purchased Power Model'!U148</f>
        <v>9073624.5999784451</v>
      </c>
    </row>
    <row r="118" spans="2:10">
      <c r="B118" s="170"/>
      <c r="C118" s="1048">
        <v>42735</v>
      </c>
      <c r="D118" s="1049">
        <f>'Purchased Power Model'!J149</f>
        <v>733.40000000000009</v>
      </c>
      <c r="E118" s="1050">
        <f>'Purchased Power Model'!K149</f>
        <v>0</v>
      </c>
      <c r="F118" s="1051">
        <f>'Purchased Power Model'!L149</f>
        <v>31</v>
      </c>
      <c r="G118" s="1051">
        <f>'Purchased Power Model'!M149</f>
        <v>0</v>
      </c>
      <c r="H118" s="1051">
        <f>'Purchased Power Model'!N149</f>
        <v>2</v>
      </c>
      <c r="I118" s="1052">
        <f>'Purchased Power Model'!O149</f>
        <v>444589.00195236347</v>
      </c>
      <c r="J118" s="1052">
        <f>'Purchased Power Model'!U149</f>
        <v>10763473.901697723</v>
      </c>
    </row>
    <row r="119" spans="2:10">
      <c r="B119" s="170"/>
      <c r="C119" s="810" t="s">
        <v>5</v>
      </c>
      <c r="D119" s="880"/>
      <c r="E119" s="880"/>
      <c r="F119" s="880"/>
      <c r="G119" s="880"/>
      <c r="H119" s="880"/>
      <c r="I119" s="880"/>
      <c r="J119" s="965">
        <f>SUM(J107:J118)</f>
        <v>110860209.46704002</v>
      </c>
    </row>
    <row r="120" spans="2:10">
      <c r="B120" s="170"/>
      <c r="C120" s="735"/>
      <c r="D120" s="643"/>
      <c r="E120" s="643"/>
      <c r="F120" s="643"/>
      <c r="G120" s="643"/>
      <c r="H120" s="643"/>
      <c r="I120" s="643"/>
      <c r="J120" s="712"/>
    </row>
    <row r="121" spans="2:10" customFormat="1" ht="12.75"/>
    <row r="122" spans="2:10" customFormat="1" ht="15">
      <c r="C122" s="607"/>
      <c r="D122" s="599" t="s">
        <v>429</v>
      </c>
      <c r="E122" s="607"/>
      <c r="F122" s="607"/>
      <c r="G122" s="607"/>
      <c r="H122" s="607"/>
      <c r="I122" s="607"/>
      <c r="J122" s="607"/>
    </row>
    <row r="123" spans="2:10" customFormat="1" ht="15" thickBot="1">
      <c r="C123" s="607"/>
      <c r="D123" s="607"/>
      <c r="E123" s="607"/>
      <c r="F123" s="607"/>
      <c r="G123" s="607"/>
      <c r="H123" s="607"/>
      <c r="I123" s="607"/>
      <c r="J123" s="607"/>
    </row>
    <row r="124" spans="2:10" customFormat="1" ht="39" thickTop="1">
      <c r="C124" s="1047"/>
      <c r="D124" s="963" t="s">
        <v>131</v>
      </c>
      <c r="E124" s="963" t="s">
        <v>132</v>
      </c>
      <c r="F124" s="963" t="s">
        <v>3</v>
      </c>
      <c r="G124" s="963" t="s">
        <v>133</v>
      </c>
      <c r="H124" s="963" t="s">
        <v>134</v>
      </c>
      <c r="I124" s="963" t="s">
        <v>97</v>
      </c>
      <c r="J124" s="964" t="s">
        <v>466</v>
      </c>
    </row>
    <row r="125" spans="2:10">
      <c r="B125" s="170"/>
      <c r="C125" s="1048">
        <v>42400</v>
      </c>
      <c r="D125" s="1049">
        <f>'Purchased Power Model'!J167</f>
        <v>864.91894736842119</v>
      </c>
      <c r="E125" s="1050">
        <f>'Purchased Power Model'!K167</f>
        <v>0</v>
      </c>
      <c r="F125" s="1051">
        <f>'Purchased Power Model'!L167</f>
        <v>31</v>
      </c>
      <c r="G125" s="1051">
        <f>'Purchased Power Model'!M167</f>
        <v>0</v>
      </c>
      <c r="H125" s="1051">
        <f>'Purchased Power Model'!N167</f>
        <v>1</v>
      </c>
      <c r="I125" s="1052">
        <f>'Purchased Power Model'!O167</f>
        <v>438928.25236369047</v>
      </c>
      <c r="J125" s="1052">
        <f>'Purchased Power Model'!U167</f>
        <v>11505090.753023209</v>
      </c>
    </row>
    <row r="126" spans="2:10">
      <c r="B126" s="170"/>
      <c r="C126" s="1048">
        <v>42429</v>
      </c>
      <c r="D126" s="1049">
        <f>'Purchased Power Model'!J168</f>
        <v>791.57894736842172</v>
      </c>
      <c r="E126" s="1050">
        <f>'Purchased Power Model'!K168</f>
        <v>0</v>
      </c>
      <c r="F126" s="1051">
        <f>'Purchased Power Model'!L168</f>
        <v>28</v>
      </c>
      <c r="G126" s="1051">
        <f>'Purchased Power Model'!M168</f>
        <v>0</v>
      </c>
      <c r="H126" s="1051">
        <f>'Purchased Power Model'!N168</f>
        <v>1</v>
      </c>
      <c r="I126" s="1052">
        <f>'Purchased Power Model'!O168</f>
        <v>433267.50277501746</v>
      </c>
      <c r="J126" s="1052">
        <f>'Purchased Power Model'!U168</f>
        <v>10464744.544016162</v>
      </c>
    </row>
    <row r="127" spans="2:10">
      <c r="B127" s="170"/>
      <c r="C127" s="1048">
        <v>42460</v>
      </c>
      <c r="D127" s="1049">
        <f>'Purchased Power Model'!J169</f>
        <v>626.33842105263147</v>
      </c>
      <c r="E127" s="1050">
        <f>'Purchased Power Model'!K169</f>
        <v>0</v>
      </c>
      <c r="F127" s="1051">
        <f>'Purchased Power Model'!L169</f>
        <v>31</v>
      </c>
      <c r="G127" s="1051">
        <f>'Purchased Power Model'!M169</f>
        <v>1</v>
      </c>
      <c r="H127" s="1051">
        <f>'Purchased Power Model'!N169</f>
        <v>0</v>
      </c>
      <c r="I127" s="1052">
        <f>'Purchased Power Model'!O169</f>
        <v>427606.75318634446</v>
      </c>
      <c r="J127" s="1052">
        <f>'Purchased Power Model'!U169</f>
        <v>10190490.021556463</v>
      </c>
    </row>
    <row r="128" spans="2:10">
      <c r="B128" s="170"/>
      <c r="C128" s="1048">
        <v>42490</v>
      </c>
      <c r="D128" s="1049">
        <f>'Purchased Power Model'!J170</f>
        <v>364.67894736842163</v>
      </c>
      <c r="E128" s="1050">
        <f>'Purchased Power Model'!K170</f>
        <v>0.63315789473683992</v>
      </c>
      <c r="F128" s="1051">
        <f>'Purchased Power Model'!L170</f>
        <v>30</v>
      </c>
      <c r="G128" s="1051">
        <f>'Purchased Power Model'!M170</f>
        <v>1</v>
      </c>
      <c r="H128" s="1051">
        <f>'Purchased Power Model'!N170</f>
        <v>2</v>
      </c>
      <c r="I128" s="1052">
        <f>'Purchased Power Model'!O170</f>
        <v>421946.00359767146</v>
      </c>
      <c r="J128" s="1052">
        <f>'Purchased Power Model'!U170</f>
        <v>8533815.0264704674</v>
      </c>
    </row>
    <row r="129" spans="2:10">
      <c r="B129" s="170"/>
      <c r="C129" s="1048">
        <v>42521</v>
      </c>
      <c r="D129" s="1049">
        <f>'Purchased Power Model'!J171</f>
        <v>129.98842105263157</v>
      </c>
      <c r="E129" s="1050">
        <f>'Purchased Power Model'!K171</f>
        <v>19.886315789473656</v>
      </c>
      <c r="F129" s="1051">
        <f>'Purchased Power Model'!L171</f>
        <v>31</v>
      </c>
      <c r="G129" s="1051">
        <f>'Purchased Power Model'!M171</f>
        <v>1</v>
      </c>
      <c r="H129" s="1051">
        <f>'Purchased Power Model'!N171</f>
        <v>1</v>
      </c>
      <c r="I129" s="1052">
        <f>'Purchased Power Model'!O171</f>
        <v>416285.25400899845</v>
      </c>
      <c r="J129" s="1052">
        <f>'Purchased Power Model'!U171</f>
        <v>8079658.5026084399</v>
      </c>
    </row>
    <row r="130" spans="2:10">
      <c r="B130" s="170"/>
      <c r="C130" s="1048">
        <v>42551</v>
      </c>
      <c r="D130" s="1049">
        <f>'Purchased Power Model'!J172</f>
        <v>36.678421052631592</v>
      </c>
      <c r="E130" s="1050">
        <f>'Purchased Power Model'!K172</f>
        <v>40.526315789473301</v>
      </c>
      <c r="F130" s="1051">
        <f>'Purchased Power Model'!L172</f>
        <v>30</v>
      </c>
      <c r="G130" s="1051">
        <f>'Purchased Power Model'!M172</f>
        <v>0</v>
      </c>
      <c r="H130" s="1051">
        <f>'Purchased Power Model'!N172</f>
        <v>0</v>
      </c>
      <c r="I130" s="1052">
        <f>'Purchased Power Model'!O172</f>
        <v>410624.50442032545</v>
      </c>
      <c r="J130" s="1052">
        <f>'Purchased Power Model'!U172</f>
        <v>8173749.5698824711</v>
      </c>
    </row>
    <row r="131" spans="2:10">
      <c r="B131" s="170"/>
      <c r="C131" s="1048">
        <v>42582</v>
      </c>
      <c r="D131" s="1049">
        <f>'Purchased Power Model'!J173</f>
        <v>4.353157894736853</v>
      </c>
      <c r="E131" s="1050">
        <f>'Purchased Power Model'!K173</f>
        <v>108.46631578947381</v>
      </c>
      <c r="F131" s="1051">
        <f>'Purchased Power Model'!L173</f>
        <v>31</v>
      </c>
      <c r="G131" s="1051">
        <f>'Purchased Power Model'!M173</f>
        <v>0</v>
      </c>
      <c r="H131" s="1051">
        <f>'Purchased Power Model'!N173</f>
        <v>1</v>
      </c>
      <c r="I131" s="1052">
        <f>'Purchased Power Model'!O173</f>
        <v>404963.75483165245</v>
      </c>
      <c r="J131" s="1052">
        <f>'Purchased Power Model'!U173</f>
        <v>9141201.9824321661</v>
      </c>
    </row>
    <row r="132" spans="2:10">
      <c r="B132" s="170"/>
      <c r="C132" s="1048">
        <v>42613</v>
      </c>
      <c r="D132" s="1049">
        <f>'Purchased Power Model'!J174</f>
        <v>11.356842105263127</v>
      </c>
      <c r="E132" s="1050">
        <f>'Purchased Power Model'!K174</f>
        <v>84.577368421052597</v>
      </c>
      <c r="F132" s="1051">
        <f>'Purchased Power Model'!L174</f>
        <v>31</v>
      </c>
      <c r="G132" s="1051">
        <f>'Purchased Power Model'!M174</f>
        <v>0</v>
      </c>
      <c r="H132" s="1051">
        <f>'Purchased Power Model'!N174</f>
        <v>1</v>
      </c>
      <c r="I132" s="1052">
        <f>'Purchased Power Model'!O174</f>
        <v>399303.00524297945</v>
      </c>
      <c r="J132" s="1052">
        <f>'Purchased Power Model'!U174</f>
        <v>8847440.2596945651</v>
      </c>
    </row>
    <row r="133" spans="2:10">
      <c r="B133" s="170"/>
      <c r="C133" s="1048">
        <v>42643</v>
      </c>
      <c r="D133" s="1049">
        <f>'Purchased Power Model'!J175</f>
        <v>91.517894736842095</v>
      </c>
      <c r="E133" s="1050">
        <f>'Purchased Power Model'!K175</f>
        <v>25.529999999999973</v>
      </c>
      <c r="F133" s="1051">
        <f>'Purchased Power Model'!L175</f>
        <v>30</v>
      </c>
      <c r="G133" s="1051">
        <f>'Purchased Power Model'!M175</f>
        <v>1</v>
      </c>
      <c r="H133" s="1051">
        <f>'Purchased Power Model'!N175</f>
        <v>1</v>
      </c>
      <c r="I133" s="1052">
        <f>'Purchased Power Model'!O175</f>
        <v>393642.25565430644</v>
      </c>
      <c r="J133" s="1052">
        <f>'Purchased Power Model'!U175</f>
        <v>7808404.9945102558</v>
      </c>
    </row>
    <row r="134" spans="2:10">
      <c r="B134" s="170"/>
      <c r="C134" s="1048">
        <v>42674</v>
      </c>
      <c r="D134" s="1049">
        <f>'Purchased Power Model'!J176</f>
        <v>283.99341597199736</v>
      </c>
      <c r="E134" s="1050">
        <f>'Purchased Power Model'!K176</f>
        <v>0.99052631578947015</v>
      </c>
      <c r="F134" s="1051">
        <f>'Purchased Power Model'!L176</f>
        <v>31</v>
      </c>
      <c r="G134" s="1051">
        <f>'Purchased Power Model'!M176</f>
        <v>1</v>
      </c>
      <c r="H134" s="1051">
        <f>'Purchased Power Model'!N176</f>
        <v>1</v>
      </c>
      <c r="I134" s="1052">
        <f>'Purchased Power Model'!O176</f>
        <v>387981.50606563344</v>
      </c>
      <c r="J134" s="1052">
        <f>'Purchased Power Model'!U176</f>
        <v>8609515.7854362894</v>
      </c>
    </row>
    <row r="135" spans="2:10">
      <c r="B135" s="170"/>
      <c r="C135" s="1048">
        <v>42704</v>
      </c>
      <c r="D135" s="1049">
        <f>'Purchased Power Model'!J177</f>
        <v>477.87052631578945</v>
      </c>
      <c r="E135" s="1050">
        <f>'Purchased Power Model'!K177</f>
        <v>0</v>
      </c>
      <c r="F135" s="1051">
        <f>'Purchased Power Model'!L177</f>
        <v>30</v>
      </c>
      <c r="G135" s="1051">
        <f>'Purchased Power Model'!M177</f>
        <v>1</v>
      </c>
      <c r="H135" s="1051">
        <f>'Purchased Power Model'!N177</f>
        <v>0</v>
      </c>
      <c r="I135" s="1052">
        <f>'Purchased Power Model'!O177</f>
        <v>382320.75647696044</v>
      </c>
      <c r="J135" s="1052">
        <f>'Purchased Power Model'!U177</f>
        <v>9390047.3625848256</v>
      </c>
    </row>
    <row r="136" spans="2:10">
      <c r="B136" s="170"/>
      <c r="C136" s="1048">
        <v>42735</v>
      </c>
      <c r="D136" s="1049">
        <f>'Purchased Power Model'!J178</f>
        <v>708.86263157894746</v>
      </c>
      <c r="E136" s="1050">
        <f>'Purchased Power Model'!K178</f>
        <v>0</v>
      </c>
      <c r="F136" s="1051">
        <f>'Purchased Power Model'!L178</f>
        <v>31</v>
      </c>
      <c r="G136" s="1051">
        <f>'Purchased Power Model'!M178</f>
        <v>0</v>
      </c>
      <c r="H136" s="1051">
        <f>'Purchased Power Model'!N178</f>
        <v>2</v>
      </c>
      <c r="I136" s="1052">
        <f>'Purchased Power Model'!O178</f>
        <v>376660.00688828743</v>
      </c>
      <c r="J136" s="1052">
        <f>'Purchased Power Model'!U178</f>
        <v>10845329.342672629</v>
      </c>
    </row>
    <row r="137" spans="2:10">
      <c r="B137" s="170"/>
      <c r="C137" s="810" t="s">
        <v>5</v>
      </c>
      <c r="D137" s="880"/>
      <c r="E137" s="880"/>
      <c r="F137" s="880"/>
      <c r="G137" s="880"/>
      <c r="H137" s="880"/>
      <c r="I137" s="880"/>
      <c r="J137" s="965">
        <f>SUM(J125:J136)</f>
        <v>111589488.14488795</v>
      </c>
    </row>
    <row r="138" spans="2:10">
      <c r="B138" s="170"/>
    </row>
    <row r="139" spans="2:10">
      <c r="B139" s="170"/>
    </row>
    <row r="140" spans="2:10" ht="15">
      <c r="B140" s="599" t="s">
        <v>472</v>
      </c>
    </row>
    <row r="141" spans="2:10">
      <c r="B141" s="170" t="s">
        <v>473</v>
      </c>
    </row>
    <row r="142" spans="2:10">
      <c r="B142" s="170"/>
    </row>
    <row r="143" spans="2:10">
      <c r="B143" s="170"/>
    </row>
    <row r="144" spans="2:10" ht="15">
      <c r="B144" s="599" t="s">
        <v>432</v>
      </c>
    </row>
    <row r="145" spans="2:9" ht="15">
      <c r="B145" s="599"/>
    </row>
    <row r="146" spans="2:9" ht="15">
      <c r="B146" s="599"/>
    </row>
    <row r="147" spans="2:9">
      <c r="B147" s="170"/>
    </row>
    <row r="148" spans="2:9" ht="15">
      <c r="B148" s="170"/>
      <c r="D148" s="599" t="s">
        <v>431</v>
      </c>
    </row>
    <row r="149" spans="2:9">
      <c r="B149" s="170"/>
    </row>
    <row r="150" spans="2:9" ht="38.25">
      <c r="B150" s="170"/>
      <c r="C150" s="631"/>
      <c r="D150" s="629" t="s">
        <v>1</v>
      </c>
      <c r="E150" s="630" t="s">
        <v>116</v>
      </c>
      <c r="F150" s="630" t="s">
        <v>299</v>
      </c>
      <c r="G150" s="630" t="s">
        <v>215</v>
      </c>
      <c r="H150" s="630" t="s">
        <v>181</v>
      </c>
      <c r="I150" s="630" t="s">
        <v>2</v>
      </c>
    </row>
    <row r="151" spans="2:9">
      <c r="C151" s="631">
        <f>'Rate Class Energy Model '!A23</f>
        <v>2005</v>
      </c>
      <c r="D151" s="632">
        <f>'Rate Class Energy Model '!E23</f>
        <v>9417.6355708781175</v>
      </c>
      <c r="E151" s="632">
        <f>'Rate Class Energy Model '!F23</f>
        <v>30507.472727272729</v>
      </c>
      <c r="F151" s="632">
        <f>'Rate Class Energy Model '!G23</f>
        <v>816168.95522388059</v>
      </c>
      <c r="G151" s="632">
        <f>'Rate Class Energy Model '!H23</f>
        <v>832.55113288426207</v>
      </c>
      <c r="H151" s="632">
        <f>'Rate Class Energy Model '!I23</f>
        <v>1694.3571428571429</v>
      </c>
      <c r="I151" s="632">
        <f>'Rate Class Energy Model '!J23</f>
        <v>5497.7959183673465</v>
      </c>
    </row>
    <row r="152" spans="2:9">
      <c r="C152" s="631">
        <f>'Rate Class Energy Model '!A24</f>
        <v>2006</v>
      </c>
      <c r="D152" s="632">
        <f>'Rate Class Energy Model '!E24</f>
        <v>8956.204151551794</v>
      </c>
      <c r="E152" s="632">
        <f>'Rate Class Energy Model '!F24</f>
        <v>28819.747081712063</v>
      </c>
      <c r="F152" s="632">
        <f>'Rate Class Energy Model '!G24</f>
        <v>744698.84615384613</v>
      </c>
      <c r="G152" s="632">
        <f>'Rate Class Energy Model '!H24</f>
        <v>817.43631931748939</v>
      </c>
      <c r="H152" s="632">
        <f>'Rate Class Energy Model '!I24</f>
        <v>1528.2686567164178</v>
      </c>
      <c r="I152" s="632">
        <f>'Rate Class Energy Model '!J24</f>
        <v>6089.86</v>
      </c>
    </row>
    <row r="153" spans="2:9">
      <c r="C153" s="631">
        <f>'Rate Class Energy Model '!A25</f>
        <v>2007</v>
      </c>
      <c r="D153" s="632">
        <f>'Rate Class Energy Model '!E25</f>
        <v>9077.2067646466676</v>
      </c>
      <c r="E153" s="632">
        <f>'Rate Class Energy Model '!F25</f>
        <v>28520.519132653062</v>
      </c>
      <c r="F153" s="632">
        <f>'Rate Class Energy Model '!G25</f>
        <v>688217.18461538467</v>
      </c>
      <c r="G153" s="632">
        <f>'Rate Class Energy Model '!H25</f>
        <v>846.91301703163015</v>
      </c>
      <c r="H153" s="632">
        <f>'Rate Class Energy Model '!I25</f>
        <v>1536.313432835821</v>
      </c>
      <c r="I153" s="632">
        <f>'Rate Class Energy Model '!J25</f>
        <v>6723.25</v>
      </c>
    </row>
    <row r="154" spans="2:9">
      <c r="C154" s="631">
        <f>'Rate Class Energy Model '!A26</f>
        <v>2008</v>
      </c>
      <c r="D154" s="632">
        <f>'Rate Class Energy Model '!E26</f>
        <v>8953.9339508658886</v>
      </c>
      <c r="E154" s="632">
        <f>'Rate Class Energy Model '!F26</f>
        <v>27146.471722365037</v>
      </c>
      <c r="F154" s="632">
        <f>'Rate Class Energy Model '!G26</f>
        <v>672452.30303030298</v>
      </c>
      <c r="G154" s="632">
        <f>'Rate Class Energy Model '!H26</f>
        <v>851.69028711056808</v>
      </c>
      <c r="H154" s="632">
        <f>'Rate Class Energy Model '!I26</f>
        <v>1494.9402985074628</v>
      </c>
      <c r="I154" s="632">
        <f>'Rate Class Energy Model '!J26</f>
        <v>6605.8163265306121</v>
      </c>
    </row>
    <row r="155" spans="2:9">
      <c r="C155" s="631">
        <f>'Rate Class Energy Model '!A27</f>
        <v>2009</v>
      </c>
      <c r="D155" s="632">
        <f>'Rate Class Energy Model '!E27</f>
        <v>8913.871934057097</v>
      </c>
      <c r="E155" s="632">
        <f>'Rate Class Energy Model '!F27</f>
        <v>26356.350129198967</v>
      </c>
      <c r="F155" s="632">
        <f>'Rate Class Energy Model '!G27</f>
        <v>652919.16666666663</v>
      </c>
      <c r="G155" s="632">
        <f>'Rate Class Energy Model '!H27</f>
        <v>849.95304878048785</v>
      </c>
      <c r="H155" s="632">
        <f>'Rate Class Energy Model '!I27</f>
        <v>1447.4133333333334</v>
      </c>
      <c r="I155" s="632">
        <f>'Rate Class Energy Model '!J27</f>
        <v>7102.4285714285716</v>
      </c>
    </row>
    <row r="156" spans="2:9">
      <c r="C156" s="631">
        <f>'Rate Class Energy Model '!A28</f>
        <v>2010</v>
      </c>
      <c r="D156" s="632">
        <f>'Rate Class Energy Model '!E28</f>
        <v>8870.2557205941393</v>
      </c>
      <c r="E156" s="632">
        <f>'Rate Class Energy Model '!F28</f>
        <v>26517.892207792207</v>
      </c>
      <c r="F156" s="632">
        <f>'Rate Class Energy Model '!G28</f>
        <v>626576</v>
      </c>
      <c r="G156" s="632">
        <f>'Rate Class Energy Model '!H28</f>
        <v>840.50499706055257</v>
      </c>
      <c r="H156" s="632">
        <f>'Rate Class Energy Model '!I28</f>
        <v>1443.6933333333334</v>
      </c>
      <c r="I156" s="632">
        <f>'Rate Class Energy Model '!J28</f>
        <v>7024.25</v>
      </c>
    </row>
    <row r="157" spans="2:9">
      <c r="C157" s="631">
        <f>'Rate Class Energy Model '!A29</f>
        <v>2011</v>
      </c>
      <c r="D157" s="632">
        <f>'Rate Class Energy Model '!E29</f>
        <v>8650.5351718625097</v>
      </c>
      <c r="E157" s="632">
        <f>'Rate Class Energy Model '!F29</f>
        <v>26573.054616384914</v>
      </c>
      <c r="F157" s="632">
        <f>'Rate Class Energy Model '!G29</f>
        <v>651988</v>
      </c>
      <c r="G157" s="632">
        <f>'Rate Class Energy Model '!H29</f>
        <v>853.71344685848499</v>
      </c>
      <c r="H157" s="632">
        <f>'Rate Class Energy Model '!I29</f>
        <v>1443.4933333333333</v>
      </c>
      <c r="I157" s="632">
        <f>'Rate Class Energy Model '!J29</f>
        <v>8396.2542372881362</v>
      </c>
    </row>
    <row r="158" spans="2:9">
      <c r="C158" s="631">
        <f>'Rate Class Energy Model '!A30</f>
        <v>2012</v>
      </c>
      <c r="D158" s="632">
        <f>'Rate Class Energy Model '!E30</f>
        <v>8381.4889552238801</v>
      </c>
      <c r="E158" s="632">
        <f>'Rate Class Energy Model '!F30</f>
        <v>25544.393506493507</v>
      </c>
      <c r="F158" s="632">
        <f>'Rate Class Energy Model '!G30</f>
        <v>635074.58208955219</v>
      </c>
      <c r="G158" s="632">
        <f>'Rate Class Energy Model '!H30</f>
        <v>853.67469172049323</v>
      </c>
      <c r="H158" s="632">
        <f>'Rate Class Energy Model '!I30</f>
        <v>1443.5466666666666</v>
      </c>
      <c r="I158" s="632">
        <f>'Rate Class Energy Model '!J30</f>
        <v>8321.0833333333339</v>
      </c>
    </row>
    <row r="159" spans="2:9">
      <c r="C159" s="631">
        <f>'Rate Class Energy Model '!A31</f>
        <v>2013</v>
      </c>
      <c r="D159" s="632">
        <f>'Rate Class Energy Model '!E31</f>
        <v>8493.5130089374379</v>
      </c>
      <c r="E159" s="632">
        <f>'Rate Class Energy Model '!F31</f>
        <v>26474.557312252964</v>
      </c>
      <c r="F159" s="632">
        <f>'Rate Class Energy Model '!G31</f>
        <v>649946.19999999995</v>
      </c>
      <c r="G159" s="632">
        <f>'Rate Class Energy Model '!H31</f>
        <v>847.86350322202691</v>
      </c>
      <c r="H159" s="632">
        <f>'Rate Class Energy Model '!I31</f>
        <v>1443.7466666666667</v>
      </c>
      <c r="I159" s="632">
        <f>'Rate Class Energy Model '!J31</f>
        <v>8719.6393442622957</v>
      </c>
    </row>
    <row r="160" spans="2:9">
      <c r="C160" s="631">
        <f>'Rate Class Energy Model '!A32</f>
        <v>2014</v>
      </c>
      <c r="D160" s="632">
        <f>'Rate Class Energy Model '!E32</f>
        <v>8387.3468253968258</v>
      </c>
      <c r="E160" s="632">
        <f>'Rate Class Energy Model '!F32</f>
        <v>27506.354111405835</v>
      </c>
      <c r="F160" s="632">
        <f>'Rate Class Energy Model '!G32</f>
        <v>665381.5</v>
      </c>
      <c r="G160" s="632">
        <f>'Rate Class Energy Model '!H32</f>
        <v>774.1681312243702</v>
      </c>
      <c r="H160" s="632">
        <f>'Rate Class Energy Model '!I32</f>
        <v>1457.36</v>
      </c>
      <c r="I160" s="632">
        <f>'Rate Class Energy Model '!J32</f>
        <v>9274.7377049180323</v>
      </c>
    </row>
    <row r="161" spans="2:10">
      <c r="C161" s="631">
        <f>'Rate Class Energy Model '!A33</f>
        <v>2015</v>
      </c>
      <c r="D161" s="632">
        <f>'Rate Class Energy Model '!E33</f>
        <v>8100.1802453502178</v>
      </c>
      <c r="E161" s="632">
        <f>'Rate Class Energy Model '!F33</f>
        <v>27834.411053908356</v>
      </c>
      <c r="F161" s="632">
        <f>'Rate Class Energy Model '!G33</f>
        <v>639344.953125</v>
      </c>
      <c r="G161" s="632">
        <f>'Rate Class Energy Model '!H33</f>
        <v>615.24137931034488</v>
      </c>
      <c r="H161" s="632">
        <f>'Rate Class Energy Model '!I33</f>
        <v>1460.0266666666666</v>
      </c>
      <c r="I161" s="632">
        <f>'Rate Class Energy Model '!J33</f>
        <v>9213.0677966101703</v>
      </c>
    </row>
    <row r="162" spans="2:10">
      <c r="C162" s="631" t="str">
        <f>'Rate Class Energy Model '!A35</f>
        <v>2017 Forecast 2017</v>
      </c>
      <c r="D162" s="738">
        <f>'Rate Class Energy Model '!E35</f>
        <v>7863.5849598613459</v>
      </c>
      <c r="E162" s="738">
        <f>'Rate Class Energy Model '!F35</f>
        <v>27239.745076241532</v>
      </c>
      <c r="F162" s="738">
        <f>'Rate Class Energy Model '!G35</f>
        <v>600974.86689407646</v>
      </c>
      <c r="G162" s="738">
        <f>'Rate Class Energy Model '!H35</f>
        <v>427.45621698745293</v>
      </c>
      <c r="H162" s="738">
        <f>'Rate Class Energy Model '!I35</f>
        <v>1443.4854630434315</v>
      </c>
      <c r="I162" s="738">
        <f>'Rate Class Energy Model '!J35</f>
        <v>9893.0891335415763</v>
      </c>
    </row>
    <row r="163" spans="2:10">
      <c r="C163" s="631"/>
      <c r="D163" s="631"/>
      <c r="E163" s="631"/>
      <c r="F163" s="631"/>
      <c r="G163" s="631"/>
      <c r="H163" s="631"/>
      <c r="I163" s="631"/>
    </row>
    <row r="164" spans="2:10">
      <c r="C164" s="633" t="s">
        <v>362</v>
      </c>
      <c r="D164" s="634">
        <f>'Rate Class Energy Model '!E50</f>
        <v>0.98508390930721779</v>
      </c>
      <c r="E164" s="634">
        <f>'Rate Class Energy Model '!F50</f>
        <v>0.99060321678748864</v>
      </c>
      <c r="F164" s="634">
        <f>'Rate Class Energy Model '!G50</f>
        <v>0.97481683292024202</v>
      </c>
      <c r="G164" s="634">
        <f>'Rate Class Energy Model '!H50</f>
        <v>0.94596135235686873</v>
      </c>
      <c r="H164" s="634">
        <f>'Rate Class Energy Model '!I50</f>
        <v>0.98673520055220476</v>
      </c>
      <c r="I164" s="634">
        <f>'Rate Class Energy Model '!J50</f>
        <v>1.050175645233776</v>
      </c>
    </row>
    <row r="165" spans="2:10">
      <c r="C165" s="635"/>
      <c r="D165" s="636"/>
      <c r="E165" s="636"/>
      <c r="F165" s="636"/>
      <c r="G165" s="636"/>
      <c r="H165" s="636"/>
      <c r="I165" s="636"/>
    </row>
    <row r="166" spans="2:10" ht="15">
      <c r="C166" s="714"/>
      <c r="D166" s="794"/>
      <c r="E166" s="794"/>
      <c r="F166" s="794"/>
      <c r="G166" s="794"/>
      <c r="H166" s="794"/>
      <c r="I166" s="794"/>
      <c r="J166" s="794"/>
    </row>
    <row r="167" spans="2:10" ht="15">
      <c r="D167" s="599"/>
      <c r="E167" s="599" t="s">
        <v>475</v>
      </c>
      <c r="F167" s="599"/>
      <c r="G167" s="599"/>
      <c r="H167" s="599"/>
      <c r="I167" s="636"/>
    </row>
    <row r="168" spans="2:10" ht="15" thickBot="1">
      <c r="C168" s="785"/>
      <c r="D168" s="785"/>
      <c r="E168" s="785"/>
      <c r="F168" s="785"/>
      <c r="G168" s="785"/>
      <c r="H168" s="785"/>
      <c r="I168" s="636"/>
    </row>
    <row r="169" spans="2:10" ht="39" thickTop="1">
      <c r="C169" s="786" t="s">
        <v>1</v>
      </c>
      <c r="D169" s="783" t="s">
        <v>116</v>
      </c>
      <c r="E169" s="783" t="s">
        <v>299</v>
      </c>
      <c r="F169" s="783" t="s">
        <v>215</v>
      </c>
      <c r="G169" s="783" t="s">
        <v>181</v>
      </c>
      <c r="H169" s="783" t="s">
        <v>2</v>
      </c>
      <c r="I169" s="636"/>
    </row>
    <row r="170" spans="2:10">
      <c r="C170" s="787"/>
      <c r="D170" s="788"/>
      <c r="E170" s="788"/>
      <c r="F170" s="788"/>
      <c r="G170" s="788"/>
      <c r="H170" s="788"/>
      <c r="I170" s="636"/>
    </row>
    <row r="171" spans="2:10">
      <c r="C171" s="789">
        <f>(1+E171)/2</f>
        <v>0.66</v>
      </c>
      <c r="D171" s="790">
        <f>(1+E171)/2</f>
        <v>0.66</v>
      </c>
      <c r="E171" s="790">
        <v>0.32</v>
      </c>
      <c r="F171" s="790">
        <v>0</v>
      </c>
      <c r="G171" s="790">
        <v>0</v>
      </c>
      <c r="H171" s="790">
        <v>0</v>
      </c>
      <c r="I171" s="636"/>
    </row>
    <row r="172" spans="2:10">
      <c r="C172" s="795"/>
      <c r="D172" s="795"/>
      <c r="E172" s="795"/>
      <c r="F172" s="795"/>
      <c r="G172" s="795"/>
      <c r="H172" s="795"/>
      <c r="I172" s="636"/>
    </row>
    <row r="173" spans="2:10">
      <c r="C173" s="635"/>
      <c r="D173" s="636"/>
      <c r="E173" s="636"/>
      <c r="F173" s="636"/>
      <c r="G173" s="636"/>
      <c r="H173" s="636"/>
      <c r="I173" s="636"/>
    </row>
    <row r="174" spans="2:10" ht="15">
      <c r="D174" s="599" t="s">
        <v>474</v>
      </c>
    </row>
    <row r="176" spans="2:10" ht="15.75">
      <c r="B176" s="1143"/>
      <c r="C176" s="1141" t="s">
        <v>363</v>
      </c>
      <c r="D176" s="1141"/>
      <c r="E176" s="1141"/>
      <c r="F176" s="1141"/>
      <c r="G176" s="1141"/>
      <c r="H176" s="1141"/>
      <c r="I176" s="1142"/>
    </row>
    <row r="177" spans="2:10" ht="38.25">
      <c r="B177" s="791" t="s">
        <v>135</v>
      </c>
      <c r="C177" s="973" t="s">
        <v>1</v>
      </c>
      <c r="D177" s="973" t="s">
        <v>116</v>
      </c>
      <c r="E177" s="973" t="s">
        <v>299</v>
      </c>
      <c r="F177" s="973" t="s">
        <v>215</v>
      </c>
      <c r="G177" s="973" t="s">
        <v>181</v>
      </c>
      <c r="H177" s="973" t="s">
        <v>2</v>
      </c>
      <c r="I177" s="974" t="s">
        <v>12</v>
      </c>
    </row>
    <row r="178" spans="2:10">
      <c r="B178" s="1138" t="s">
        <v>542</v>
      </c>
      <c r="C178" s="1139">
        <f>'Rate Class Energy Model '!E35</f>
        <v>7863.5849598613459</v>
      </c>
      <c r="D178" s="1139">
        <f>'Rate Class Energy Model '!F35</f>
        <v>27239.745076241532</v>
      </c>
      <c r="E178" s="1139">
        <f>'Rate Class Energy Model '!G35</f>
        <v>600974.86689407646</v>
      </c>
      <c r="F178" s="1139">
        <f>'Rate Class Energy Model '!H35</f>
        <v>427.45621698745293</v>
      </c>
      <c r="G178" s="1139">
        <f>'Rate Class Energy Model '!I35</f>
        <v>1443.4854630434315</v>
      </c>
      <c r="H178" s="1139">
        <f>'Rate Class Energy Model '!J35</f>
        <v>9893.0891335415763</v>
      </c>
      <c r="I178" s="888"/>
    </row>
    <row r="179" spans="2:10">
      <c r="B179" s="1138" t="s">
        <v>543</v>
      </c>
      <c r="C179" s="1139">
        <f>'Rate Class Customer Model'!B15</f>
        <v>5071</v>
      </c>
      <c r="D179" s="1139">
        <f>'Rate Class Customer Model'!C15</f>
        <v>740</v>
      </c>
      <c r="E179" s="1139">
        <f>'Rate Class Customer Model'!D15</f>
        <v>64</v>
      </c>
      <c r="F179" s="1139">
        <f>'Rate Class Customer Model'!E15</f>
        <v>1711</v>
      </c>
      <c r="G179" s="1139">
        <f>'Rate Class Customer Model'!F15</f>
        <v>73</v>
      </c>
      <c r="H179" s="1139">
        <f>'Rate Class Customer Model'!G15</f>
        <v>58</v>
      </c>
      <c r="I179" s="888">
        <f>SUM(C179:H179)</f>
        <v>7717</v>
      </c>
      <c r="J179" s="607" t="s">
        <v>11</v>
      </c>
    </row>
    <row r="180" spans="2:10">
      <c r="B180" s="810">
        <v>2016</v>
      </c>
      <c r="C180" s="888">
        <f>'Rate Class Energy Model '!E56</f>
        <v>39978465.93593508</v>
      </c>
      <c r="D180" s="888">
        <f>'Rate Class Energy Model '!F56</f>
        <v>20075692.121190008</v>
      </c>
      <c r="E180" s="888">
        <f>'Rate Class Energy Model '!G56</f>
        <v>38462391.481220894</v>
      </c>
      <c r="F180" s="888">
        <f>'Rate Class Energy Model '!H56</f>
        <v>731377.587265532</v>
      </c>
      <c r="G180" s="888">
        <f>'Rate Class Energy Model '!I56</f>
        <v>105374.43880217051</v>
      </c>
      <c r="H180" s="888">
        <f>'Rate Class Energy Model '!J56</f>
        <v>573799.16974541137</v>
      </c>
      <c r="I180" s="888">
        <f>SUM(C180:H180)</f>
        <v>99927100.734159112</v>
      </c>
      <c r="J180" s="666">
        <f>I180-'Rate Class Energy Model '!D56</f>
        <v>0</v>
      </c>
    </row>
    <row r="181" spans="2:10" ht="24" customHeight="1">
      <c r="B181" s="793"/>
      <c r="C181" s="643"/>
      <c r="D181" s="643"/>
      <c r="E181" s="643"/>
      <c r="F181" s="643"/>
      <c r="G181" s="643"/>
      <c r="H181" s="643"/>
      <c r="I181" s="975"/>
    </row>
    <row r="182" spans="2:10" ht="15.75">
      <c r="B182" s="1143"/>
      <c r="C182" s="1141"/>
      <c r="D182" s="1141" t="s">
        <v>364</v>
      </c>
      <c r="E182" s="1141"/>
      <c r="F182" s="1141"/>
      <c r="G182" s="1141"/>
      <c r="H182" s="1141"/>
      <c r="I182" s="1142"/>
    </row>
    <row r="183" spans="2:10" ht="38.25">
      <c r="B183" s="791" t="s">
        <v>135</v>
      </c>
      <c r="C183" s="973" t="s">
        <v>1</v>
      </c>
      <c r="D183" s="973" t="s">
        <v>116</v>
      </c>
      <c r="E183" s="973" t="s">
        <v>299</v>
      </c>
      <c r="F183" s="973" t="s">
        <v>215</v>
      </c>
      <c r="G183" s="973" t="s">
        <v>181</v>
      </c>
      <c r="H183" s="973" t="s">
        <v>2</v>
      </c>
      <c r="I183" s="974" t="s">
        <v>12</v>
      </c>
    </row>
    <row r="184" spans="2:10">
      <c r="B184" s="810">
        <v>2016</v>
      </c>
      <c r="C184" s="888">
        <f>'Rate Class Energy Model '!E76</f>
        <v>1538294.3522718989</v>
      </c>
      <c r="D184" s="888">
        <f>'Rate Class Energy Model '!F76</f>
        <v>772473.95779179037</v>
      </c>
      <c r="E184" s="888">
        <f>'Rate Class Energy Model '!G76</f>
        <v>717555.74686658417</v>
      </c>
      <c r="F184" s="888"/>
      <c r="G184" s="888"/>
      <c r="H184" s="888"/>
      <c r="I184" s="888">
        <f>SUM(C184:H184)</f>
        <v>3028324.0569302733</v>
      </c>
    </row>
    <row r="185" spans="2:10" ht="24" customHeight="1">
      <c r="B185" s="793"/>
      <c r="C185" s="643"/>
      <c r="D185" s="643"/>
      <c r="E185" s="643"/>
      <c r="F185" s="643"/>
      <c r="G185" s="643"/>
      <c r="H185" s="643"/>
      <c r="I185" s="975"/>
    </row>
    <row r="186" spans="2:10" ht="15.75">
      <c r="B186" s="1143"/>
      <c r="C186" s="1141" t="s">
        <v>365</v>
      </c>
      <c r="D186" s="1141"/>
      <c r="E186" s="1141"/>
      <c r="F186" s="1141"/>
      <c r="G186" s="1141"/>
      <c r="H186" s="1141"/>
      <c r="I186" s="1142"/>
    </row>
    <row r="187" spans="2:10" ht="38.25">
      <c r="B187" s="791" t="s">
        <v>135</v>
      </c>
      <c r="C187" s="973" t="s">
        <v>1</v>
      </c>
      <c r="D187" s="973" t="s">
        <v>116</v>
      </c>
      <c r="E187" s="973" t="s">
        <v>299</v>
      </c>
      <c r="F187" s="973" t="s">
        <v>215</v>
      </c>
      <c r="G187" s="973" t="s">
        <v>181</v>
      </c>
      <c r="H187" s="973" t="s">
        <v>2</v>
      </c>
      <c r="I187" s="974" t="s">
        <v>12</v>
      </c>
    </row>
    <row r="188" spans="2:10">
      <c r="B188" s="810">
        <v>2016</v>
      </c>
      <c r="C188" s="888">
        <f t="shared" ref="C188:H188" si="16">C180+C184</f>
        <v>41516760.28820698</v>
      </c>
      <c r="D188" s="888">
        <f t="shared" si="16"/>
        <v>20848166.078981798</v>
      </c>
      <c r="E188" s="888">
        <f t="shared" si="16"/>
        <v>39179947.228087477</v>
      </c>
      <c r="F188" s="888">
        <f t="shared" si="16"/>
        <v>731377.587265532</v>
      </c>
      <c r="G188" s="888">
        <f t="shared" si="16"/>
        <v>105374.43880217051</v>
      </c>
      <c r="H188" s="888">
        <f t="shared" si="16"/>
        <v>573799.16974541137</v>
      </c>
      <c r="I188" s="888">
        <f>SUM(C188:H188)</f>
        <v>102955424.79108939</v>
      </c>
    </row>
    <row r="189" spans="2:10">
      <c r="C189" s="635"/>
      <c r="D189" s="636"/>
      <c r="E189" s="636"/>
      <c r="F189" s="636"/>
      <c r="G189" s="636"/>
      <c r="H189" s="636"/>
      <c r="I189" s="636"/>
    </row>
    <row r="191" spans="2:10" ht="15">
      <c r="C191" s="976" t="s">
        <v>476</v>
      </c>
    </row>
    <row r="192" spans="2:10" ht="15" thickBot="1">
      <c r="C192" s="385"/>
      <c r="D192" s="595"/>
    </row>
    <row r="193" spans="2:7" ht="15" thickTop="1">
      <c r="B193" s="796"/>
      <c r="C193" s="797">
        <f>'CDM Activity'!B21</f>
        <v>2011</v>
      </c>
      <c r="D193" s="797">
        <f>'CDM Activity'!C21</f>
        <v>2012</v>
      </c>
      <c r="E193" s="797">
        <f>'CDM Activity'!D21</f>
        <v>2013</v>
      </c>
      <c r="F193" s="797">
        <f>'CDM Activity'!E21</f>
        <v>2014</v>
      </c>
      <c r="G193" s="798" t="str">
        <f>'CDM Activity'!F21</f>
        <v>Total</v>
      </c>
    </row>
    <row r="194" spans="2:7">
      <c r="B194" s="799" t="str">
        <f>'CDM Activity'!A22</f>
        <v>2011 Programs</v>
      </c>
      <c r="C194" s="800">
        <f>'CDM Activity'!B22</f>
        <v>0.1988235294117647</v>
      </c>
      <c r="D194" s="800">
        <f>'CDM Activity'!C22</f>
        <v>0.1988235294117647</v>
      </c>
      <c r="E194" s="800">
        <f>'CDM Activity'!D22</f>
        <v>0.1988235294117647</v>
      </c>
      <c r="F194" s="800">
        <f>'CDM Activity'!E22</f>
        <v>0.18196078431372548</v>
      </c>
      <c r="G194" s="800">
        <f>'CDM Activity'!F22</f>
        <v>0.77843137254901951</v>
      </c>
    </row>
    <row r="195" spans="2:7">
      <c r="B195" s="799" t="str">
        <f>'CDM Activity'!A23</f>
        <v>2012 Programs</v>
      </c>
      <c r="C195" s="800">
        <f>'CDM Activity'!B23</f>
        <v>-2.8823529411764706E-2</v>
      </c>
      <c r="D195" s="800">
        <f>'CDM Activity'!C23</f>
        <v>9.3137254901960786E-2</v>
      </c>
      <c r="E195" s="800">
        <f>'CDM Activity'!D23</f>
        <v>9.3137254901960786E-2</v>
      </c>
      <c r="F195" s="800">
        <f>'CDM Activity'!E23</f>
        <v>9.3137254901960786E-2</v>
      </c>
      <c r="G195" s="800">
        <f>'CDM Activity'!F23</f>
        <v>0.25058823529411767</v>
      </c>
    </row>
    <row r="196" spans="2:7">
      <c r="B196" s="799" t="str">
        <f>'CDM Activity'!A24</f>
        <v>2013 Programs</v>
      </c>
      <c r="C196" s="800"/>
      <c r="D196" s="800">
        <f>'CDM Activity'!C24</f>
        <v>1.3725490196078432E-3</v>
      </c>
      <c r="E196" s="800">
        <f>'CDM Activity'!D24</f>
        <v>5.4901960784313725E-2</v>
      </c>
      <c r="F196" s="800">
        <f>'CDM Activity'!E24</f>
        <v>5.4901960784313725E-2</v>
      </c>
      <c r="G196" s="800">
        <f>'CDM Activity'!F24</f>
        <v>0.11117647058823529</v>
      </c>
    </row>
    <row r="197" spans="2:7">
      <c r="B197" s="799" t="str">
        <f>'CDM Activity'!A25</f>
        <v>2014 Programs</v>
      </c>
      <c r="C197" s="800"/>
      <c r="D197" s="800">
        <f>'CDM Activity'!C25</f>
        <v>1.9411764705882354E-2</v>
      </c>
      <c r="E197" s="800">
        <f>'CDM Activity'!D25</f>
        <v>2.4705882352941175E-2</v>
      </c>
      <c r="F197" s="800">
        <f>'CDM Activity'!E25</f>
        <v>0.23745098039215687</v>
      </c>
      <c r="G197" s="800">
        <f>'CDM Activity'!F25</f>
        <v>0.28156862745098038</v>
      </c>
    </row>
    <row r="198" spans="2:7">
      <c r="B198" s="801" t="str">
        <f>'CDM Activity'!A26</f>
        <v>Total</v>
      </c>
      <c r="C198" s="800">
        <f>'CDM Activity'!B26</f>
        <v>0.16999999999999998</v>
      </c>
      <c r="D198" s="800">
        <f>'CDM Activity'!C26</f>
        <v>0.31274509803921569</v>
      </c>
      <c r="E198" s="800">
        <f>'CDM Activity'!D26</f>
        <v>0.37156862745098046</v>
      </c>
      <c r="F198" s="800">
        <f>'CDM Activity'!E26</f>
        <v>0.5674509803921568</v>
      </c>
      <c r="G198" s="802">
        <f>'CDM Activity'!F26</f>
        <v>1.421764705882353</v>
      </c>
    </row>
    <row r="199" spans="2:7">
      <c r="B199" s="799"/>
      <c r="C199" s="803"/>
      <c r="D199" s="803"/>
      <c r="E199" s="803"/>
      <c r="F199" s="803"/>
      <c r="G199" s="803"/>
    </row>
    <row r="200" spans="2:7">
      <c r="B200" s="799" t="str">
        <f>'CDM Activity'!A28</f>
        <v>2011 Programs</v>
      </c>
      <c r="C200" s="649">
        <f>'CDM Activity'!B28</f>
        <v>1014000</v>
      </c>
      <c r="D200" s="649">
        <f>'CDM Activity'!C28</f>
        <v>1014000</v>
      </c>
      <c r="E200" s="649">
        <f>'CDM Activity'!D28</f>
        <v>1014000</v>
      </c>
      <c r="F200" s="649">
        <f>'CDM Activity'!E28</f>
        <v>928000</v>
      </c>
      <c r="G200" s="649">
        <f>'CDM Activity'!F28</f>
        <v>3970000</v>
      </c>
    </row>
    <row r="201" spans="2:7">
      <c r="B201" s="799" t="str">
        <f>'CDM Activity'!A29</f>
        <v>2012 Programs</v>
      </c>
      <c r="C201" s="649">
        <f>'CDM Activity'!B29</f>
        <v>-147000</v>
      </c>
      <c r="D201" s="649">
        <f>'CDM Activity'!C29</f>
        <v>475000</v>
      </c>
      <c r="E201" s="649">
        <f>'CDM Activity'!D29</f>
        <v>475000</v>
      </c>
      <c r="F201" s="649">
        <f>'CDM Activity'!E29</f>
        <v>475000</v>
      </c>
      <c r="G201" s="649">
        <f>'CDM Activity'!F29</f>
        <v>1278000</v>
      </c>
    </row>
    <row r="202" spans="2:7">
      <c r="B202" s="799" t="str">
        <f>'CDM Activity'!A30</f>
        <v>2013 Programs</v>
      </c>
      <c r="C202" s="649">
        <f>'CDM Activity'!B30</f>
        <v>0</v>
      </c>
      <c r="D202" s="649">
        <f>'CDM Activity'!C30</f>
        <v>7000</v>
      </c>
      <c r="E202" s="649">
        <f>'CDM Activity'!D30</f>
        <v>280000</v>
      </c>
      <c r="F202" s="649">
        <f>'CDM Activity'!E30</f>
        <v>280000</v>
      </c>
      <c r="G202" s="649">
        <f>'CDM Activity'!F30</f>
        <v>567000</v>
      </c>
    </row>
    <row r="203" spans="2:7">
      <c r="B203" s="799" t="str">
        <f>'CDM Activity'!A31</f>
        <v>2014 Programs</v>
      </c>
      <c r="C203" s="649">
        <f>'CDM Activity'!B31</f>
        <v>0</v>
      </c>
      <c r="D203" s="649">
        <f>'CDM Activity'!C31</f>
        <v>99000</v>
      </c>
      <c r="E203" s="649">
        <f>'CDM Activity'!D31</f>
        <v>126000</v>
      </c>
      <c r="F203" s="649">
        <f>'CDM Activity'!E31</f>
        <v>1211000</v>
      </c>
      <c r="G203" s="649">
        <f>'CDM Activity'!F31</f>
        <v>1436000</v>
      </c>
    </row>
    <row r="204" spans="2:7">
      <c r="B204" s="801" t="str">
        <f>'CDM Activity'!A32</f>
        <v xml:space="preserve">Total </v>
      </c>
      <c r="C204" s="649">
        <f>'CDM Activity'!B32</f>
        <v>867000</v>
      </c>
      <c r="D204" s="649">
        <f>'CDM Activity'!C32</f>
        <v>1595000</v>
      </c>
      <c r="E204" s="649">
        <f>'CDM Activity'!D32</f>
        <v>1895000</v>
      </c>
      <c r="F204" s="649">
        <f>'CDM Activity'!E32</f>
        <v>2894000</v>
      </c>
      <c r="G204" s="662">
        <f>'CDM Activity'!F32</f>
        <v>7251000</v>
      </c>
    </row>
    <row r="205" spans="2:7" ht="15">
      <c r="B205" s="804" t="s">
        <v>368</v>
      </c>
      <c r="C205" s="646"/>
      <c r="D205" s="646"/>
      <c r="E205" s="646"/>
      <c r="F205" s="646"/>
      <c r="G205" s="662">
        <v>5100000</v>
      </c>
    </row>
    <row r="206" spans="2:7" ht="15">
      <c r="B206" s="642"/>
      <c r="C206" s="643"/>
      <c r="D206" s="643"/>
      <c r="E206" s="643"/>
      <c r="F206" s="643"/>
      <c r="G206" s="644"/>
    </row>
    <row r="208" spans="2:7" ht="15">
      <c r="B208" s="976" t="s">
        <v>477</v>
      </c>
    </row>
    <row r="209" spans="2:7">
      <c r="B209" s="977" t="s">
        <v>479</v>
      </c>
    </row>
    <row r="210" spans="2:7">
      <c r="B210" s="977"/>
    </row>
    <row r="212" spans="2:7" ht="15">
      <c r="B212" s="976" t="s">
        <v>478</v>
      </c>
    </row>
    <row r="213" spans="2:7">
      <c r="B213" s="607" t="s">
        <v>447</v>
      </c>
    </row>
    <row r="216" spans="2:7" ht="15">
      <c r="C216" s="599" t="s">
        <v>480</v>
      </c>
    </row>
    <row r="218" spans="2:7" ht="38.25">
      <c r="B218" s="645" t="s">
        <v>135</v>
      </c>
      <c r="C218" s="654" t="s">
        <v>5</v>
      </c>
      <c r="D218" s="647" t="s">
        <v>1</v>
      </c>
      <c r="E218" s="647" t="s">
        <v>116</v>
      </c>
      <c r="F218" s="647" t="s">
        <v>299</v>
      </c>
      <c r="G218" s="647" t="s">
        <v>215</v>
      </c>
    </row>
    <row r="219" spans="2:7">
      <c r="B219" s="646" t="s">
        <v>369</v>
      </c>
      <c r="C219" s="648">
        <f>'Rate Class Energy Model '!D82</f>
        <v>1076159.3999999999</v>
      </c>
      <c r="D219" s="651"/>
      <c r="E219" s="653">
        <f>C219-G219</f>
        <v>1076159.3999999999</v>
      </c>
      <c r="F219" s="652"/>
      <c r="G219" s="649">
        <f>'Rate Class Energy Model '!H82</f>
        <v>0</v>
      </c>
    </row>
    <row r="220" spans="2:7">
      <c r="B220" s="646"/>
      <c r="C220" s="648"/>
      <c r="D220" s="651"/>
      <c r="E220" s="657">
        <f>SUM(D221:F221)</f>
        <v>1</v>
      </c>
      <c r="F220" s="652"/>
      <c r="G220" s="649"/>
    </row>
    <row r="221" spans="2:7">
      <c r="B221" s="646" t="s">
        <v>370</v>
      </c>
      <c r="C221" s="646"/>
      <c r="D221" s="650">
        <f>'Rate Class Energy Model '!E80</f>
        <v>0.20390670380056908</v>
      </c>
      <c r="E221" s="650">
        <f>'Rate Class Energy Model '!F80</f>
        <v>0.15189886707560737</v>
      </c>
      <c r="F221" s="650">
        <f>'Rate Class Energy Model '!G80</f>
        <v>0.64419442912382352</v>
      </c>
      <c r="G221" s="646"/>
    </row>
    <row r="222" spans="2:7" ht="15">
      <c r="B222" s="654" t="s">
        <v>371</v>
      </c>
      <c r="C222" s="656">
        <f>SUM(D222:G222)</f>
        <v>1076159.3999999999</v>
      </c>
      <c r="D222" s="655">
        <f>'Rate Class Energy Model '!E82</f>
        <v>219436.11601799811</v>
      </c>
      <c r="E222" s="655">
        <f>'Rate Class Energy Model '!F82</f>
        <v>163467.39365276537</v>
      </c>
      <c r="F222" s="655">
        <f>'Rate Class Energy Model '!G82</f>
        <v>693255.8903292364</v>
      </c>
      <c r="G222" s="655">
        <f>G219</f>
        <v>0</v>
      </c>
    </row>
    <row r="223" spans="2:7">
      <c r="D223" s="595"/>
      <c r="E223" s="595"/>
      <c r="F223" s="595"/>
      <c r="G223" s="595"/>
    </row>
    <row r="225" spans="2:10" ht="15">
      <c r="C225" s="978" t="s">
        <v>481</v>
      </c>
    </row>
    <row r="227" spans="2:10" ht="38.25">
      <c r="B227" s="645" t="s">
        <v>135</v>
      </c>
      <c r="C227" s="647" t="s">
        <v>1</v>
      </c>
      <c r="D227" s="647" t="s">
        <v>116</v>
      </c>
      <c r="E227" s="647" t="s">
        <v>299</v>
      </c>
      <c r="F227" s="647" t="s">
        <v>215</v>
      </c>
      <c r="G227" s="647" t="s">
        <v>181</v>
      </c>
      <c r="H227" s="647" t="s">
        <v>2</v>
      </c>
      <c r="I227" s="661" t="s">
        <v>12</v>
      </c>
    </row>
    <row r="228" spans="2:10">
      <c r="B228" s="663" t="s">
        <v>372</v>
      </c>
      <c r="C228" s="649">
        <f>LRAMVA!B13</f>
        <v>292581.48802399752</v>
      </c>
      <c r="D228" s="649">
        <f>LRAMVA!C13</f>
        <v>217956.52487035384</v>
      </c>
      <c r="E228" s="649">
        <f>LRAMVA!D13</f>
        <v>924341.18710564857</v>
      </c>
      <c r="F228" s="649">
        <f>LRAMVA!E13</f>
        <v>0</v>
      </c>
      <c r="G228" s="649"/>
      <c r="H228" s="649"/>
      <c r="I228" s="662">
        <f>SUM(C228:H228)</f>
        <v>1434879.2</v>
      </c>
    </row>
    <row r="229" spans="2:10">
      <c r="B229" s="663" t="s">
        <v>373</v>
      </c>
      <c r="C229" s="646"/>
      <c r="D229" s="646"/>
      <c r="E229" s="648">
        <f>LRAMVA!D14</f>
        <v>2712.7843289842162</v>
      </c>
      <c r="F229" s="648">
        <f>LRAMVA!E14</f>
        <v>0</v>
      </c>
      <c r="G229" s="646"/>
      <c r="H229" s="646"/>
      <c r="I229" s="662">
        <f>SUM(C229:H229)</f>
        <v>2712.7843289842162</v>
      </c>
    </row>
    <row r="230" spans="2:10">
      <c r="B230" s="805"/>
      <c r="C230" s="643"/>
      <c r="D230" s="643"/>
      <c r="E230" s="718"/>
      <c r="F230" s="718"/>
      <c r="G230" s="643"/>
      <c r="H230" s="643"/>
      <c r="I230" s="644"/>
    </row>
    <row r="231" spans="2:10">
      <c r="B231" s="805"/>
      <c r="C231" s="643"/>
      <c r="D231" s="643"/>
      <c r="E231" s="718"/>
      <c r="F231" s="718"/>
      <c r="G231" s="643"/>
      <c r="H231" s="643"/>
      <c r="I231" s="644"/>
    </row>
    <row r="232" spans="2:10" ht="15">
      <c r="B232" s="978" t="s">
        <v>482</v>
      </c>
    </row>
    <row r="233" spans="2:10">
      <c r="B233" s="607" t="s">
        <v>447</v>
      </c>
    </row>
    <row r="236" spans="2:10" ht="15">
      <c r="D236" s="599" t="s">
        <v>483</v>
      </c>
    </row>
    <row r="237" spans="2:10" ht="15" thickBot="1"/>
    <row r="238" spans="2:10" ht="15.75" thickTop="1">
      <c r="C238" s="1201" t="s">
        <v>363</v>
      </c>
      <c r="D238" s="1202"/>
      <c r="E238" s="1202"/>
      <c r="F238" s="1202"/>
      <c r="G238" s="1202"/>
      <c r="H238" s="1202"/>
      <c r="I238" s="1202"/>
      <c r="J238" s="1203"/>
    </row>
    <row r="239" spans="2:10" ht="62.25" customHeight="1">
      <c r="C239" s="791" t="s">
        <v>135</v>
      </c>
      <c r="D239" s="647" t="s">
        <v>1</v>
      </c>
      <c r="E239" s="647" t="s">
        <v>116</v>
      </c>
      <c r="F239" s="647" t="s">
        <v>299</v>
      </c>
      <c r="G239" s="647" t="s">
        <v>215</v>
      </c>
      <c r="H239" s="647" t="s">
        <v>181</v>
      </c>
      <c r="I239" s="647" t="s">
        <v>2</v>
      </c>
      <c r="J239" s="661" t="s">
        <v>12</v>
      </c>
    </row>
    <row r="240" spans="2:10">
      <c r="C240" s="810">
        <v>2016</v>
      </c>
      <c r="D240" s="649">
        <f>'Rate Class Energy Model '!E56</f>
        <v>39978465.93593508</v>
      </c>
      <c r="E240" s="649">
        <f>'Rate Class Energy Model '!F56</f>
        <v>20075692.121190008</v>
      </c>
      <c r="F240" s="649">
        <f>'Rate Class Energy Model '!G56</f>
        <v>38462391.481220894</v>
      </c>
      <c r="G240" s="649">
        <f>'Rate Class Energy Model '!H56</f>
        <v>731377.587265532</v>
      </c>
      <c r="H240" s="649">
        <f>'Rate Class Energy Model '!I56</f>
        <v>105374.43880217051</v>
      </c>
      <c r="I240" s="649">
        <f>'Rate Class Energy Model '!J56</f>
        <v>573799.16974541137</v>
      </c>
      <c r="J240" s="649">
        <f>SUM(D240:I240)</f>
        <v>99927100.734159112</v>
      </c>
    </row>
    <row r="241" spans="3:17" ht="20.25" customHeight="1">
      <c r="C241" s="793"/>
      <c r="D241" s="643"/>
      <c r="E241" s="643"/>
      <c r="F241" s="643"/>
      <c r="G241" s="643"/>
      <c r="H241" s="643"/>
      <c r="I241" s="643"/>
      <c r="J241" s="643"/>
    </row>
    <row r="242" spans="3:17" ht="15.75">
      <c r="C242" s="1204" t="s">
        <v>364</v>
      </c>
      <c r="D242" s="1205"/>
      <c r="E242" s="1205"/>
      <c r="F242" s="1205"/>
      <c r="G242" s="1205"/>
      <c r="H242" s="1205"/>
      <c r="I242" s="1205"/>
      <c r="J242" s="1205"/>
    </row>
    <row r="243" spans="3:17" ht="48.75" customHeight="1">
      <c r="C243" s="791" t="s">
        <v>135</v>
      </c>
      <c r="D243" s="647" t="s">
        <v>1</v>
      </c>
      <c r="E243" s="647" t="s">
        <v>116</v>
      </c>
      <c r="F243" s="647" t="s">
        <v>299</v>
      </c>
      <c r="G243" s="647" t="s">
        <v>215</v>
      </c>
      <c r="H243" s="647" t="s">
        <v>181</v>
      </c>
      <c r="I243" s="647" t="s">
        <v>2</v>
      </c>
      <c r="J243" s="661" t="s">
        <v>12</v>
      </c>
    </row>
    <row r="244" spans="3:17">
      <c r="C244" s="810">
        <v>2016</v>
      </c>
      <c r="D244" s="649">
        <f>'Rate Class Energy Model '!E76</f>
        <v>1538294.3522718989</v>
      </c>
      <c r="E244" s="649">
        <f>'Rate Class Energy Model '!F76</f>
        <v>772473.95779179037</v>
      </c>
      <c r="F244" s="649">
        <f>'Rate Class Energy Model '!G76</f>
        <v>717555.74686658417</v>
      </c>
      <c r="G244" s="649">
        <f>'Rate Class Energy Model '!H76</f>
        <v>0</v>
      </c>
      <c r="H244" s="649">
        <f>'Rate Class Energy Model '!I76</f>
        <v>0</v>
      </c>
      <c r="I244" s="649">
        <f>'Rate Class Energy Model '!J76</f>
        <v>0</v>
      </c>
      <c r="J244" s="649">
        <f>SUM(D244:I244)</f>
        <v>3028324.0569302733</v>
      </c>
    </row>
    <row r="245" spans="3:17">
      <c r="C245" s="1144"/>
      <c r="D245" s="716"/>
      <c r="E245" s="716"/>
      <c r="F245" s="716"/>
      <c r="G245" s="716"/>
      <c r="H245" s="716"/>
      <c r="I245" s="716"/>
      <c r="J245" s="716"/>
    </row>
    <row r="246" spans="3:17" ht="15.75">
      <c r="C246" s="1140"/>
      <c r="D246" s="1145"/>
      <c r="E246" s="1141" t="s">
        <v>544</v>
      </c>
      <c r="F246" s="1141"/>
      <c r="G246" s="1141"/>
      <c r="H246" s="1141"/>
      <c r="I246" s="1141"/>
      <c r="J246" s="1142"/>
    </row>
    <row r="247" spans="3:17" ht="45" customHeight="1">
      <c r="C247" s="791" t="s">
        <v>135</v>
      </c>
      <c r="D247" s="973" t="s">
        <v>1</v>
      </c>
      <c r="E247" s="973" t="s">
        <v>116</v>
      </c>
      <c r="F247" s="973" t="s">
        <v>299</v>
      </c>
      <c r="G247" s="973" t="s">
        <v>215</v>
      </c>
      <c r="H247" s="973" t="s">
        <v>181</v>
      </c>
      <c r="I247" s="973" t="s">
        <v>2</v>
      </c>
      <c r="J247" s="974" t="s">
        <v>12</v>
      </c>
      <c r="K247" s="607" t="s">
        <v>11</v>
      </c>
    </row>
    <row r="248" spans="3:17">
      <c r="C248" s="810">
        <v>2016</v>
      </c>
      <c r="D248" s="888">
        <f t="shared" ref="D248:I248" si="17">D240+D244</f>
        <v>41516760.28820698</v>
      </c>
      <c r="E248" s="888">
        <f t="shared" si="17"/>
        <v>20848166.078981798</v>
      </c>
      <c r="F248" s="888">
        <f t="shared" si="17"/>
        <v>39179947.228087477</v>
      </c>
      <c r="G248" s="888">
        <f t="shared" si="17"/>
        <v>731377.587265532</v>
      </c>
      <c r="H248" s="888">
        <f t="shared" si="17"/>
        <v>105374.43880217051</v>
      </c>
      <c r="I248" s="888">
        <f t="shared" si="17"/>
        <v>573799.16974541137</v>
      </c>
      <c r="J248" s="888">
        <f>SUM(D248:I248)</f>
        <v>102955424.79108939</v>
      </c>
      <c r="K248" s="666">
        <f>J248-I188</f>
        <v>0</v>
      </c>
    </row>
    <row r="249" spans="3:17">
      <c r="C249" s="793"/>
      <c r="D249" s="643"/>
      <c r="E249" s="643"/>
      <c r="F249" s="643"/>
      <c r="G249" s="643"/>
      <c r="H249" s="643"/>
      <c r="I249" s="643"/>
      <c r="J249" s="643"/>
    </row>
    <row r="250" spans="3:17" ht="20.25" customHeight="1">
      <c r="C250" s="1204" t="s">
        <v>374</v>
      </c>
      <c r="D250" s="1205"/>
      <c r="E250" s="1205"/>
      <c r="F250" s="1205"/>
      <c r="G250" s="1205"/>
      <c r="H250" s="1205"/>
      <c r="I250" s="1205"/>
      <c r="J250" s="1205"/>
    </row>
    <row r="251" spans="3:17" ht="51.75" customHeight="1">
      <c r="C251" s="791" t="s">
        <v>135</v>
      </c>
      <c r="D251" s="647" t="s">
        <v>1</v>
      </c>
      <c r="E251" s="647" t="s">
        <v>116</v>
      </c>
      <c r="F251" s="647" t="s">
        <v>299</v>
      </c>
      <c r="G251" s="647" t="s">
        <v>215</v>
      </c>
      <c r="H251" s="647" t="s">
        <v>181</v>
      </c>
      <c r="I251" s="647" t="s">
        <v>2</v>
      </c>
      <c r="J251" s="661" t="s">
        <v>12</v>
      </c>
    </row>
    <row r="252" spans="3:17">
      <c r="C252" s="810">
        <v>2016</v>
      </c>
      <c r="D252" s="649">
        <f>'Rate Class Energy Model '!E82</f>
        <v>219436.11601799811</v>
      </c>
      <c r="E252" s="649">
        <f>'Rate Class Energy Model '!F82</f>
        <v>163467.39365276537</v>
      </c>
      <c r="F252" s="649">
        <f>'Rate Class Energy Model '!G82</f>
        <v>693255.8903292364</v>
      </c>
      <c r="G252" s="649">
        <f>'Rate Class Energy Model '!H82</f>
        <v>0</v>
      </c>
      <c r="H252" s="649"/>
      <c r="I252" s="649"/>
      <c r="J252" s="649">
        <f>SUM(D252:I252)</f>
        <v>1076159.3999999999</v>
      </c>
    </row>
    <row r="253" spans="3:17">
      <c r="C253" s="793"/>
      <c r="D253" s="643"/>
      <c r="E253" s="643"/>
      <c r="F253" s="643"/>
      <c r="G253" s="643"/>
      <c r="H253" s="643"/>
      <c r="I253" s="643"/>
      <c r="J253" s="643"/>
    </row>
    <row r="254" spans="3:17" ht="22.5" customHeight="1">
      <c r="C254" s="1206" t="s">
        <v>545</v>
      </c>
      <c r="D254" s="1207"/>
      <c r="E254" s="1207"/>
      <c r="F254" s="1207"/>
      <c r="G254" s="1207"/>
      <c r="H254" s="1207"/>
      <c r="I254" s="1207"/>
      <c r="J254" s="1207"/>
    </row>
    <row r="255" spans="3:17" ht="48" customHeight="1">
      <c r="C255" s="791" t="s">
        <v>135</v>
      </c>
      <c r="D255" s="973" t="s">
        <v>1</v>
      </c>
      <c r="E255" s="973" t="s">
        <v>116</v>
      </c>
      <c r="F255" s="973" t="s">
        <v>299</v>
      </c>
      <c r="G255" s="973" t="s">
        <v>215</v>
      </c>
      <c r="H255" s="973" t="s">
        <v>181</v>
      </c>
      <c r="I255" s="973" t="s">
        <v>2</v>
      </c>
      <c r="J255" s="974" t="s">
        <v>12</v>
      </c>
      <c r="K255" s="607" t="s">
        <v>11</v>
      </c>
    </row>
    <row r="256" spans="3:17">
      <c r="C256" s="810">
        <v>2016</v>
      </c>
      <c r="D256" s="888">
        <f t="shared" ref="D256:I256" si="18">D248-D252</f>
        <v>41297324.172188982</v>
      </c>
      <c r="E256" s="888">
        <f t="shared" si="18"/>
        <v>20684698.685329031</v>
      </c>
      <c r="F256" s="888">
        <f t="shared" si="18"/>
        <v>38486691.337758243</v>
      </c>
      <c r="G256" s="888">
        <f t="shared" si="18"/>
        <v>731377.587265532</v>
      </c>
      <c r="H256" s="888">
        <f t="shared" si="18"/>
        <v>105374.43880217051</v>
      </c>
      <c r="I256" s="888">
        <f t="shared" si="18"/>
        <v>573799.16974541137</v>
      </c>
      <c r="J256" s="888">
        <f>SUM(D256:I256)</f>
        <v>101879265.39108938</v>
      </c>
      <c r="K256" s="666">
        <f>D256-'Rate Class Energy Model '!E64</f>
        <v>0</v>
      </c>
      <c r="L256" s="666">
        <f>E256-'Rate Class Energy Model '!F64</f>
        <v>0</v>
      </c>
      <c r="M256" s="666">
        <f>F256-'Rate Class Energy Model '!G64</f>
        <v>0</v>
      </c>
      <c r="N256" s="666">
        <f>G256-'Rate Class Energy Model '!H64</f>
        <v>0</v>
      </c>
      <c r="O256" s="666">
        <f>H256-'Rate Class Energy Model '!I64</f>
        <v>0</v>
      </c>
      <c r="P256" s="666">
        <f>I256-'Rate Class Energy Model '!J64</f>
        <v>0</v>
      </c>
      <c r="Q256" s="666">
        <f>J256-'Rate Class Energy Model '!K64</f>
        <v>0</v>
      </c>
    </row>
    <row r="259" spans="2:8" ht="15">
      <c r="C259" s="599" t="s">
        <v>484</v>
      </c>
    </row>
    <row r="260" spans="2:8" ht="16.5" thickBot="1">
      <c r="C260" s="606"/>
    </row>
    <row r="261" spans="2:8" ht="39" thickTop="1">
      <c r="B261" s="806" t="s">
        <v>135</v>
      </c>
      <c r="C261" s="807" t="s">
        <v>333</v>
      </c>
      <c r="D261" s="807" t="s">
        <v>215</v>
      </c>
      <c r="E261" s="807" t="s">
        <v>181</v>
      </c>
      <c r="F261" s="808" t="s">
        <v>5</v>
      </c>
    </row>
    <row r="262" spans="2:8">
      <c r="B262" s="784"/>
      <c r="C262" s="809"/>
      <c r="D262" s="646"/>
      <c r="E262" s="809"/>
      <c r="F262" s="646"/>
      <c r="H262" s="640"/>
    </row>
    <row r="263" spans="2:8">
      <c r="B263" s="810">
        <f>'Rate Class Load Model'!A3</f>
        <v>2005</v>
      </c>
      <c r="C263" s="649">
        <f>'Rate Class Load Model'!B3</f>
        <v>139429</v>
      </c>
      <c r="D263" s="649">
        <f>'Rate Class Load Model'!C3</f>
        <v>3764</v>
      </c>
      <c r="E263" s="649">
        <f>'Rate Class Load Model'!D3</f>
        <v>261</v>
      </c>
      <c r="F263" s="649">
        <f>SUM(C263:E263)</f>
        <v>143454</v>
      </c>
      <c r="H263" s="640"/>
    </row>
    <row r="264" spans="2:8">
      <c r="B264" s="810">
        <f>'Rate Class Load Model'!A4</f>
        <v>2006</v>
      </c>
      <c r="C264" s="649">
        <f>'Rate Class Load Model'!B4</f>
        <v>133580</v>
      </c>
      <c r="D264" s="649">
        <f>'Rate Class Load Model'!C4</f>
        <v>3772</v>
      </c>
      <c r="E264" s="649">
        <f>'Rate Class Load Model'!D4</f>
        <v>284</v>
      </c>
      <c r="F264" s="649">
        <f t="shared" ref="F264:F274" si="19">SUM(C264:E264)</f>
        <v>137636</v>
      </c>
      <c r="H264" s="640"/>
    </row>
    <row r="265" spans="2:8">
      <c r="B265" s="810">
        <f>'Rate Class Load Model'!A5</f>
        <v>2007</v>
      </c>
      <c r="C265" s="649">
        <f>'Rate Class Load Model'!B5</f>
        <v>118636</v>
      </c>
      <c r="D265" s="649">
        <f>'Rate Class Load Model'!C5</f>
        <v>3777</v>
      </c>
      <c r="E265" s="649">
        <f>'Rate Class Load Model'!D5</f>
        <v>286</v>
      </c>
      <c r="F265" s="649">
        <f t="shared" si="19"/>
        <v>122699</v>
      </c>
      <c r="H265" s="640"/>
    </row>
    <row r="266" spans="2:8">
      <c r="B266" s="810">
        <f>'Rate Class Load Model'!A6</f>
        <v>2008</v>
      </c>
      <c r="C266" s="649">
        <f>'Rate Class Load Model'!B6</f>
        <v>124007</v>
      </c>
      <c r="D266" s="649">
        <f>'Rate Class Load Model'!C6</f>
        <v>3782</v>
      </c>
      <c r="E266" s="649">
        <f>'Rate Class Load Model'!D6</f>
        <v>278</v>
      </c>
      <c r="F266" s="649">
        <f t="shared" si="19"/>
        <v>128067</v>
      </c>
      <c r="H266" s="640"/>
    </row>
    <row r="267" spans="2:8">
      <c r="B267" s="810">
        <f>'Rate Class Load Model'!A7</f>
        <v>2009</v>
      </c>
      <c r="C267" s="649">
        <f>'Rate Class Load Model'!B7</f>
        <v>130261</v>
      </c>
      <c r="D267" s="649">
        <f>'Rate Class Load Model'!C7</f>
        <v>3774</v>
      </c>
      <c r="E267" s="649">
        <f>'Rate Class Load Model'!D7</f>
        <v>301</v>
      </c>
      <c r="F267" s="649">
        <f t="shared" si="19"/>
        <v>134336</v>
      </c>
      <c r="H267" s="640"/>
    </row>
    <row r="268" spans="2:8">
      <c r="B268" s="810">
        <f>'Rate Class Load Model'!A8</f>
        <v>2010</v>
      </c>
      <c r="C268" s="649">
        <f>'Rate Class Load Model'!B8</f>
        <v>132433</v>
      </c>
      <c r="D268" s="649">
        <f>'Rate Class Load Model'!C8</f>
        <v>3857</v>
      </c>
      <c r="E268" s="649">
        <f>'Rate Class Load Model'!D8</f>
        <v>301</v>
      </c>
      <c r="F268" s="649">
        <f t="shared" si="19"/>
        <v>136591</v>
      </c>
      <c r="H268" s="640"/>
    </row>
    <row r="269" spans="2:8">
      <c r="B269" s="810">
        <f>'Rate Class Load Model'!A9</f>
        <v>2011</v>
      </c>
      <c r="C269" s="649">
        <f>'Rate Class Load Model'!B9</f>
        <v>130762</v>
      </c>
      <c r="D269" s="649">
        <f>'Rate Class Load Model'!C9</f>
        <v>3941</v>
      </c>
      <c r="E269" s="649">
        <f>'Rate Class Load Model'!D9</f>
        <v>300</v>
      </c>
      <c r="F269" s="649">
        <f t="shared" si="19"/>
        <v>135003</v>
      </c>
    </row>
    <row r="270" spans="2:8">
      <c r="B270" s="810">
        <f>'Rate Class Load Model'!A10</f>
        <v>2012</v>
      </c>
      <c r="C270" s="649">
        <f>'Rate Class Load Model'!B10</f>
        <v>125469</v>
      </c>
      <c r="D270" s="649">
        <f>'Rate Class Load Model'!C10</f>
        <v>3919</v>
      </c>
      <c r="E270" s="649">
        <f>'Rate Class Load Model'!D10</f>
        <v>300</v>
      </c>
      <c r="F270" s="649">
        <f t="shared" si="19"/>
        <v>129688</v>
      </c>
    </row>
    <row r="271" spans="2:8">
      <c r="B271" s="810">
        <f>'Rate Class Load Model'!A11</f>
        <v>2013</v>
      </c>
      <c r="C271" s="649">
        <f>'Rate Class Load Model'!B11</f>
        <v>133148</v>
      </c>
      <c r="D271" s="649">
        <f>'Rate Class Load Model'!C11</f>
        <v>3920</v>
      </c>
      <c r="E271" s="649">
        <f>'Rate Class Load Model'!D11</f>
        <v>300</v>
      </c>
      <c r="F271" s="649">
        <f t="shared" si="19"/>
        <v>137368</v>
      </c>
    </row>
    <row r="272" spans="2:8">
      <c r="B272" s="810">
        <f>'Rate Class Load Model'!A12</f>
        <v>2014</v>
      </c>
      <c r="C272" s="649">
        <f>'Rate Class Load Model'!B12</f>
        <v>131947</v>
      </c>
      <c r="D272" s="649">
        <f>'Rate Class Load Model'!C12</f>
        <v>3620</v>
      </c>
      <c r="E272" s="649">
        <f>'Rate Class Load Model'!D12</f>
        <v>302</v>
      </c>
      <c r="F272" s="649">
        <f t="shared" si="19"/>
        <v>135869</v>
      </c>
    </row>
    <row r="273" spans="2:6">
      <c r="B273" s="810">
        <f>'Rate Class Load Model'!A13</f>
        <v>2015</v>
      </c>
      <c r="C273" s="649">
        <f>'Rate Class Load Model'!B13</f>
        <v>125734.44</v>
      </c>
      <c r="D273" s="649">
        <f>'Rate Class Load Model'!C13</f>
        <v>2861.6</v>
      </c>
      <c r="E273" s="649">
        <f>'Rate Class Load Model'!D13</f>
        <v>302</v>
      </c>
      <c r="F273" s="649">
        <f t="shared" si="19"/>
        <v>128898.04000000001</v>
      </c>
    </row>
    <row r="274" spans="2:6">
      <c r="B274" s="792" t="s">
        <v>366</v>
      </c>
      <c r="C274" s="662">
        <f>'Rate Class Load Model'!B15</f>
        <v>112951.89978761591</v>
      </c>
      <c r="D274" s="662">
        <f>'Rate Class Load Model'!C15</f>
        <v>1990.6267768959806</v>
      </c>
      <c r="E274" s="662">
        <f>'Rate Class Load Model'!D15</f>
        <v>292.34814949780423</v>
      </c>
      <c r="F274" s="662">
        <f t="shared" si="19"/>
        <v>115234.8747140097</v>
      </c>
    </row>
    <row r="277" spans="2:6" ht="15.75">
      <c r="C277" s="606" t="s">
        <v>485</v>
      </c>
    </row>
    <row r="278" spans="2:6" ht="16.5" thickBot="1">
      <c r="C278" s="606"/>
    </row>
    <row r="279" spans="2:6" ht="39" thickTop="1">
      <c r="B279" s="806" t="s">
        <v>135</v>
      </c>
      <c r="C279" s="807" t="s">
        <v>333</v>
      </c>
      <c r="D279" s="807" t="s">
        <v>210</v>
      </c>
      <c r="E279" s="807" t="s">
        <v>181</v>
      </c>
    </row>
    <row r="280" spans="2:6">
      <c r="B280" s="784"/>
      <c r="C280" s="809"/>
      <c r="D280" s="646"/>
      <c r="E280" s="809"/>
    </row>
    <row r="281" spans="2:6">
      <c r="B281" s="810">
        <f>'Rate Class Load Model'!A18</f>
        <v>2005</v>
      </c>
      <c r="C281" s="811">
        <f>'Rate Class Load Model'!B18</f>
        <v>2.5497537457491609E-3</v>
      </c>
      <c r="D281" s="811">
        <f>'Rate Class Load Model'!C18</f>
        <v>2.7685509092674372E-3</v>
      </c>
      <c r="E281" s="811">
        <f>'Rate Class Load Model'!D18</f>
        <v>2.7507272037435183E-3</v>
      </c>
    </row>
    <row r="282" spans="2:6">
      <c r="B282" s="810">
        <f>'Rate Class Load Model'!A19</f>
        <v>2006</v>
      </c>
      <c r="C282" s="811">
        <f>'Rate Class Load Model'!B19</f>
        <v>2.7596080398013239E-3</v>
      </c>
      <c r="D282" s="811">
        <f>'Rate Class Load Model'!C19</f>
        <v>2.8119602240324194E-3</v>
      </c>
      <c r="E282" s="811">
        <f>'Rate Class Load Model'!D19</f>
        <v>2.7736000156259157E-3</v>
      </c>
    </row>
    <row r="283" spans="2:6">
      <c r="B283" s="810">
        <f>'Rate Class Load Model'!A20</f>
        <v>2007</v>
      </c>
      <c r="C283" s="811">
        <f>'Rate Class Load Model'!B20</f>
        <v>2.6520250751791972E-3</v>
      </c>
      <c r="D283" s="811">
        <f>'Rate Class Load Model'!C20</f>
        <v>2.7127287091735048E-3</v>
      </c>
      <c r="E283" s="811">
        <f>'Rate Class Load Model'!D20</f>
        <v>2.7785064070803339E-3</v>
      </c>
    </row>
    <row r="284" spans="2:6">
      <c r="B284" s="810">
        <f>'Rate Class Load Model'!A21</f>
        <v>2008</v>
      </c>
      <c r="C284" s="811">
        <f>'Rate Class Load Model'!B21</f>
        <v>2.794092504296576E-3</v>
      </c>
      <c r="D284" s="811">
        <f>'Rate Class Load Model'!C21</f>
        <v>2.712633686147852E-3</v>
      </c>
      <c r="E284" s="811">
        <f>'Rate Class Load Model'!D21</f>
        <v>2.7755313944549274E-3</v>
      </c>
    </row>
    <row r="285" spans="2:6">
      <c r="B285" s="810">
        <f>'Rate Class Load Model'!A22</f>
        <v>2009</v>
      </c>
      <c r="C285" s="811">
        <f>'Rate Class Load Model'!B22</f>
        <v>3.0228114227792593E-3</v>
      </c>
      <c r="D285" s="811">
        <f>'Rate Class Load Model'!C22</f>
        <v>2.7074666247705217E-3</v>
      </c>
      <c r="E285" s="811">
        <f>'Rate Class Load Model'!D22</f>
        <v>2.7727624451895794E-3</v>
      </c>
    </row>
    <row r="286" spans="2:6">
      <c r="B286" s="810">
        <f>'Rate Class Load Model'!A23</f>
        <v>2010</v>
      </c>
      <c r="C286" s="811">
        <f>'Rate Class Load Model'!B23</f>
        <v>3.2024217430297458E-3</v>
      </c>
      <c r="D286" s="811">
        <f>'Rate Class Load Model'!C23</f>
        <v>2.6977706496262499E-3</v>
      </c>
      <c r="E286" s="811">
        <f>'Rate Class Load Model'!D23</f>
        <v>2.7799070901484155E-3</v>
      </c>
    </row>
    <row r="287" spans="2:6">
      <c r="B287" s="810">
        <f>'Rate Class Load Model'!A24</f>
        <v>2011</v>
      </c>
      <c r="C287" s="811">
        <f>'Rate Class Load Model'!B24</f>
        <v>3.0387713029111337E-3</v>
      </c>
      <c r="D287" s="811">
        <f>'Rate Class Load Model'!C24</f>
        <v>2.71068882172733E-3</v>
      </c>
      <c r="E287" s="811">
        <f>'Rate Class Load Model'!D24</f>
        <v>2.77105540263435E-3</v>
      </c>
    </row>
    <row r="288" spans="2:6">
      <c r="B288" s="810">
        <f>'Rate Class Load Model'!A25</f>
        <v>2012</v>
      </c>
      <c r="C288" s="811">
        <f>'Rate Class Load Model'!B25</f>
        <v>2.9487428636011418E-3</v>
      </c>
      <c r="D288" s="811">
        <f>'Rate Class Load Model'!C25</f>
        <v>2.6956792093591449E-3</v>
      </c>
      <c r="E288" s="811">
        <f>'Rate Class Load Model'!D25</f>
        <v>2.7709530231097481E-3</v>
      </c>
    </row>
    <row r="289" spans="2:5">
      <c r="B289" s="810">
        <f>'Rate Class Load Model'!A26</f>
        <v>2013</v>
      </c>
      <c r="C289" s="811">
        <f>'Rate Class Load Model'!B26</f>
        <v>3.1516928158527111E-3</v>
      </c>
      <c r="D289" s="811">
        <f>'Rate Class Load Model'!C26</f>
        <v>2.7084860599335455E-3</v>
      </c>
      <c r="E289" s="811">
        <f>'Rate Class Load Model'!D26</f>
        <v>2.7705691672592608E-3</v>
      </c>
    </row>
    <row r="290" spans="2:5">
      <c r="B290" s="810">
        <f>'Rate Class Load Model'!A27</f>
        <v>2014</v>
      </c>
      <c r="C290" s="811">
        <f>'Rate Class Load Model'!B27</f>
        <v>3.0984809090724643E-3</v>
      </c>
      <c r="D290" s="811">
        <f>'Rate Class Load Model'!C27</f>
        <v>2.739301024211032E-3</v>
      </c>
      <c r="E290" s="811">
        <f>'Rate Class Load Model'!D27</f>
        <v>2.7629869535781594E-3</v>
      </c>
    </row>
    <row r="291" spans="2:5">
      <c r="B291" s="810">
        <f>'Rate Class Load Model'!A28</f>
        <v>2015</v>
      </c>
      <c r="C291" s="811">
        <f>'Rate Class Load Model'!B28</f>
        <v>3.0728335547147048E-3</v>
      </c>
      <c r="D291" s="811">
        <f>'Rate Class Load Model'!C28</f>
        <v>2.7184001185547716E-3</v>
      </c>
      <c r="E291" s="811">
        <f>'Rate Class Load Model'!D28</f>
        <v>2.757940494237548E-3</v>
      </c>
    </row>
    <row r="292" spans="2:5">
      <c r="B292" s="812" t="s">
        <v>367</v>
      </c>
      <c r="C292" s="813">
        <f>'Rate Class Load Model'!B31</f>
        <v>2.9348300896107917E-3</v>
      </c>
      <c r="D292" s="813">
        <f>'Rate Class Load Model'!C31</f>
        <v>2.7217497658610489E-3</v>
      </c>
      <c r="E292" s="813">
        <f>'Rate Class Load Model'!D31</f>
        <v>2.7743744386307698E-3</v>
      </c>
    </row>
    <row r="295" spans="2:5" ht="15">
      <c r="B295" s="599" t="s">
        <v>434</v>
      </c>
    </row>
    <row r="296" spans="2:5" ht="15">
      <c r="B296" s="607" t="s">
        <v>486</v>
      </c>
      <c r="D296" s="599"/>
    </row>
    <row r="297" spans="2:5" ht="15">
      <c r="D297" s="599"/>
    </row>
    <row r="298" spans="2:5" ht="15">
      <c r="D298" s="599"/>
    </row>
    <row r="299" spans="2:5" ht="15">
      <c r="B299" s="599" t="s">
        <v>487</v>
      </c>
      <c r="D299" s="599"/>
    </row>
    <row r="300" spans="2:5" ht="15">
      <c r="B300" s="607" t="s">
        <v>489</v>
      </c>
      <c r="C300" s="599"/>
      <c r="D300" s="599"/>
    </row>
    <row r="301" spans="2:5" ht="15">
      <c r="B301" s="599"/>
      <c r="C301" s="599"/>
      <c r="D301" s="599"/>
    </row>
    <row r="302" spans="2:5" ht="15">
      <c r="C302" s="599"/>
      <c r="D302" s="599"/>
    </row>
    <row r="303" spans="2:5" ht="15">
      <c r="B303" s="599" t="s">
        <v>488</v>
      </c>
    </row>
    <row r="304" spans="2:5">
      <c r="B304" s="607" t="s">
        <v>489</v>
      </c>
    </row>
    <row r="307" spans="2:18" ht="15">
      <c r="D307" s="599" t="s">
        <v>490</v>
      </c>
    </row>
    <row r="308" spans="2:18" ht="15" thickBot="1"/>
    <row r="309" spans="2:18" s="665" customFormat="1" ht="26.25" thickTop="1">
      <c r="B309" s="980"/>
      <c r="C309" s="1053" t="s">
        <v>340</v>
      </c>
      <c r="D309" s="1054" t="str">
        <f>Summary!I3</f>
        <v xml:space="preserve">2012 Actual </v>
      </c>
      <c r="E309" s="1197" t="s">
        <v>162</v>
      </c>
      <c r="F309" s="1198"/>
      <c r="G309" s="1055" t="str">
        <f>Summary!J3</f>
        <v xml:space="preserve">2013 Actual </v>
      </c>
      <c r="H309" s="1197" t="s">
        <v>162</v>
      </c>
      <c r="I309" s="1198"/>
      <c r="J309" s="1056" t="str">
        <f>Summary!K3</f>
        <v xml:space="preserve">2014 Actual </v>
      </c>
      <c r="K309" s="1197" t="s">
        <v>162</v>
      </c>
      <c r="L309" s="1198"/>
      <c r="M309" s="1055" t="s">
        <v>377</v>
      </c>
      <c r="N309" s="1197" t="s">
        <v>162</v>
      </c>
      <c r="O309" s="1198"/>
      <c r="P309" s="1057" t="s">
        <v>344</v>
      </c>
      <c r="Q309" s="1197" t="s">
        <v>162</v>
      </c>
      <c r="R309" s="1198"/>
    </row>
    <row r="310" spans="2:18" s="665" customFormat="1" ht="12.75">
      <c r="B310" s="826"/>
      <c r="C310" s="981"/>
      <c r="D310" s="981"/>
      <c r="E310" s="981"/>
      <c r="F310" s="982" t="s">
        <v>159</v>
      </c>
      <c r="G310" s="1058"/>
      <c r="H310" s="981"/>
      <c r="I310" s="982" t="s">
        <v>159</v>
      </c>
      <c r="J310" s="1058"/>
      <c r="K310" s="981"/>
      <c r="L310" s="982" t="s">
        <v>159</v>
      </c>
      <c r="M310" s="1058"/>
      <c r="N310" s="981"/>
      <c r="O310" s="982" t="s">
        <v>159</v>
      </c>
      <c r="P310" s="1058"/>
      <c r="Q310" s="1059"/>
      <c r="R310" s="1060" t="s">
        <v>159</v>
      </c>
    </row>
    <row r="311" spans="2:18" s="665" customFormat="1" ht="12.75">
      <c r="B311" s="827" t="str">
        <f>Summary!A14</f>
        <v xml:space="preserve">Residential </v>
      </c>
      <c r="C311" s="667"/>
      <c r="D311" s="667"/>
      <c r="E311" s="667"/>
      <c r="F311" s="673"/>
      <c r="G311" s="670"/>
      <c r="H311" s="667"/>
      <c r="I311" s="673"/>
      <c r="J311" s="670"/>
      <c r="K311" s="667"/>
      <c r="L311" s="673"/>
      <c r="M311" s="670"/>
      <c r="N311" s="667"/>
      <c r="O311" s="673"/>
      <c r="P311" s="670"/>
      <c r="Q311" s="1061"/>
      <c r="R311" s="1062"/>
    </row>
    <row r="312" spans="2:18" s="665" customFormat="1" ht="12.75">
      <c r="B312" s="828" t="str">
        <f>Summary!A15</f>
        <v xml:space="preserve">  Customers</v>
      </c>
      <c r="C312" s="668">
        <v>5016</v>
      </c>
      <c r="D312" s="668">
        <f>Summary!I15</f>
        <v>5025</v>
      </c>
      <c r="E312" s="668">
        <f>D312-C312</f>
        <v>9</v>
      </c>
      <c r="F312" s="679">
        <f>E312/C312</f>
        <v>1.7942583732057417E-3</v>
      </c>
      <c r="G312" s="671">
        <f>Summary!J15</f>
        <v>5035</v>
      </c>
      <c r="H312" s="668">
        <f>G312-D312</f>
        <v>10</v>
      </c>
      <c r="I312" s="679">
        <f>H312/D312</f>
        <v>1.990049751243781E-3</v>
      </c>
      <c r="J312" s="671">
        <f>Summary!K15</f>
        <v>5040</v>
      </c>
      <c r="K312" s="668">
        <f>J312-G312</f>
        <v>5</v>
      </c>
      <c r="L312" s="679">
        <f>K312/G312</f>
        <v>9.930486593843098E-4</v>
      </c>
      <c r="M312" s="671">
        <f>Summary!L15</f>
        <v>5054</v>
      </c>
      <c r="N312" s="668">
        <f>M312-J312</f>
        <v>14</v>
      </c>
      <c r="O312" s="679">
        <f>N312/J312</f>
        <v>2.7777777777777779E-3</v>
      </c>
      <c r="P312" s="671">
        <f>Summary!M15</f>
        <v>5071</v>
      </c>
      <c r="Q312" s="668">
        <f>P312-M312</f>
        <v>17</v>
      </c>
      <c r="R312" s="679">
        <f>Q312/M312</f>
        <v>3.3636723387415906E-3</v>
      </c>
    </row>
    <row r="313" spans="2:18" s="665" customFormat="1" ht="12.75">
      <c r="B313" s="828" t="str">
        <f>Summary!A16</f>
        <v xml:space="preserve">  kWh</v>
      </c>
      <c r="C313" s="668">
        <v>44584446</v>
      </c>
      <c r="D313" s="668">
        <f>Summary!I16</f>
        <v>42116982</v>
      </c>
      <c r="E313" s="668">
        <f>D313-C313</f>
        <v>-2467464</v>
      </c>
      <c r="F313" s="679">
        <f>E313/C313</f>
        <v>-5.5343605705003039E-2</v>
      </c>
      <c r="G313" s="671">
        <f>Summary!J16</f>
        <v>42764838</v>
      </c>
      <c r="H313" s="668">
        <f t="shared" ref="H313:H343" si="20">G313-D313</f>
        <v>647856</v>
      </c>
      <c r="I313" s="679">
        <f t="shared" ref="I313:I343" si="21">H313/D313</f>
        <v>1.5382298760153327E-2</v>
      </c>
      <c r="J313" s="671">
        <f>Summary!K16</f>
        <v>42272228</v>
      </c>
      <c r="K313" s="668">
        <f t="shared" ref="K313:K343" si="22">J313-G313</f>
        <v>-492610</v>
      </c>
      <c r="L313" s="679">
        <f t="shared" ref="L313:L343" si="23">K313/G313</f>
        <v>-1.1519042817372534E-2</v>
      </c>
      <c r="M313" s="671">
        <f>Summary!L16</f>
        <v>40938310.960000001</v>
      </c>
      <c r="N313" s="668">
        <f t="shared" ref="N313:N343" si="24">M313-J313</f>
        <v>-1333917.0399999991</v>
      </c>
      <c r="O313" s="679">
        <f t="shared" ref="O313:O343" si="25">N313/J313</f>
        <v>-3.1555399445706983E-2</v>
      </c>
      <c r="P313" s="671">
        <f>Summary!M16</f>
        <v>40480043.329000004</v>
      </c>
      <c r="Q313" s="668">
        <f t="shared" ref="Q313:Q343" si="26">P313-M313</f>
        <v>-458267.63099999726</v>
      </c>
      <c r="R313" s="679">
        <f t="shared" ref="R313:R343" si="27">Q313/M313</f>
        <v>-1.1194102058772316E-2</v>
      </c>
    </row>
    <row r="314" spans="2:18" s="1063" customFormat="1" ht="12.75">
      <c r="B314" s="829" t="s">
        <v>376</v>
      </c>
      <c r="C314" s="683">
        <v>1415689</v>
      </c>
      <c r="D314" s="683">
        <v>1471752.2499999995</v>
      </c>
      <c r="E314" s="683">
        <f>D314-C314</f>
        <v>56063.249999999534</v>
      </c>
      <c r="F314" s="684">
        <f>E314/C314</f>
        <v>3.9601388440539932E-2</v>
      </c>
      <c r="G314" s="685">
        <v>1440178.5199999996</v>
      </c>
      <c r="H314" s="683">
        <f t="shared" si="20"/>
        <v>-31573.729999999981</v>
      </c>
      <c r="I314" s="684">
        <f t="shared" si="21"/>
        <v>-2.1453155583760781E-2</v>
      </c>
      <c r="J314" s="685">
        <v>1394352.4100000001</v>
      </c>
      <c r="K314" s="683">
        <f t="shared" si="22"/>
        <v>-45826.109999999404</v>
      </c>
      <c r="L314" s="684">
        <f t="shared" si="23"/>
        <v>-3.18197427357821E-2</v>
      </c>
      <c r="M314" s="685">
        <v>1418450.81</v>
      </c>
      <c r="N314" s="683">
        <f t="shared" si="24"/>
        <v>24098.399999999907</v>
      </c>
      <c r="O314" s="684">
        <f t="shared" si="25"/>
        <v>1.7282861798187665E-2</v>
      </c>
      <c r="P314" s="685">
        <f>+'[18]2016 Test Yr On Existing Rates'!$J$22</f>
        <v>1547492.6407823511</v>
      </c>
      <c r="Q314" s="683">
        <f t="shared" si="26"/>
        <v>129041.83078235108</v>
      </c>
      <c r="R314" s="684">
        <f t="shared" si="27"/>
        <v>9.0973779191081766E-2</v>
      </c>
    </row>
    <row r="315" spans="2:18" s="1063" customFormat="1" ht="12.75">
      <c r="B315" s="830" t="s">
        <v>378</v>
      </c>
      <c r="C315" s="678">
        <f>C313/C312/12</f>
        <v>740.7038476874003</v>
      </c>
      <c r="D315" s="678">
        <f>D313/D312/12</f>
        <v>698.4574129353233</v>
      </c>
      <c r="E315" s="678">
        <f>D315-C315</f>
        <v>-42.246434752076993</v>
      </c>
      <c r="F315" s="680">
        <f>E315/C315</f>
        <v>-5.7035527605232963E-2</v>
      </c>
      <c r="G315" s="678">
        <f>G313/G312/12</f>
        <v>707.79275074478653</v>
      </c>
      <c r="H315" s="678">
        <f>G315-D315</f>
        <v>9.3353378094632262</v>
      </c>
      <c r="I315" s="680">
        <f>H315/D315</f>
        <v>1.3365650699060835E-2</v>
      </c>
      <c r="J315" s="678">
        <f>J313/J312/12</f>
        <v>698.94556878306878</v>
      </c>
      <c r="K315" s="678">
        <f>J315-G315</f>
        <v>-8.8471819617177516</v>
      </c>
      <c r="L315" s="680">
        <f>K315/G315</f>
        <v>-1.2499678687593451E-2</v>
      </c>
      <c r="M315" s="678">
        <f>M313/M312/12</f>
        <v>675.01502044585152</v>
      </c>
      <c r="N315" s="678">
        <f>M315-J315</f>
        <v>-23.93054833721726</v>
      </c>
      <c r="O315" s="680">
        <f>N315/J315</f>
        <v>-3.4238071469403032E-2</v>
      </c>
      <c r="P315" s="678">
        <f>P313/P312/12</f>
        <v>665.22124710773687</v>
      </c>
      <c r="Q315" s="678">
        <f>P315-M315</f>
        <v>-9.7937733381146472</v>
      </c>
      <c r="R315" s="680">
        <f>Q315/M315</f>
        <v>-1.4508970973187827E-2</v>
      </c>
    </row>
    <row r="316" spans="2:18" s="665" customFormat="1" ht="12.75">
      <c r="B316" s="831" t="str">
        <f>Summary!A18</f>
        <v>General Service &lt; 50 kW</v>
      </c>
      <c r="C316" s="676"/>
      <c r="D316" s="676"/>
      <c r="E316" s="676"/>
      <c r="F316" s="681"/>
      <c r="G316" s="677"/>
      <c r="H316" s="676"/>
      <c r="I316" s="681"/>
      <c r="J316" s="677"/>
      <c r="K316" s="676"/>
      <c r="L316" s="681"/>
      <c r="M316" s="677"/>
      <c r="N316" s="676"/>
      <c r="O316" s="681"/>
      <c r="P316" s="677"/>
      <c r="Q316" s="676"/>
      <c r="R316" s="681"/>
    </row>
    <row r="317" spans="2:18" s="665" customFormat="1" ht="12.75">
      <c r="B317" s="828" t="str">
        <f>Summary!A19</f>
        <v xml:space="preserve">  Customers</v>
      </c>
      <c r="C317" s="668">
        <v>770</v>
      </c>
      <c r="D317" s="668">
        <f>Summary!I19</f>
        <v>770</v>
      </c>
      <c r="E317" s="668">
        <f t="shared" ref="E317:E348" si="28">D317-C317</f>
        <v>0</v>
      </c>
      <c r="F317" s="679">
        <f t="shared" ref="F317:F348" si="29">E317/C317</f>
        <v>0</v>
      </c>
      <c r="G317" s="671">
        <f>Summary!J19</f>
        <v>759</v>
      </c>
      <c r="H317" s="668">
        <f t="shared" si="20"/>
        <v>-11</v>
      </c>
      <c r="I317" s="679">
        <f t="shared" si="21"/>
        <v>-1.4285714285714285E-2</v>
      </c>
      <c r="J317" s="671">
        <f>Summary!K19</f>
        <v>754</v>
      </c>
      <c r="K317" s="668">
        <f t="shared" si="22"/>
        <v>-5</v>
      </c>
      <c r="L317" s="679">
        <f t="shared" si="23"/>
        <v>-6.587615283267457E-3</v>
      </c>
      <c r="M317" s="671">
        <f>Summary!L19</f>
        <v>742</v>
      </c>
      <c r="N317" s="668">
        <f t="shared" si="24"/>
        <v>-12</v>
      </c>
      <c r="O317" s="679">
        <f t="shared" si="25"/>
        <v>-1.5915119363395226E-2</v>
      </c>
      <c r="P317" s="671">
        <f>Summary!M19</f>
        <v>740</v>
      </c>
      <c r="Q317" s="668">
        <f t="shared" si="26"/>
        <v>-2</v>
      </c>
      <c r="R317" s="679">
        <f t="shared" si="27"/>
        <v>-2.6954177897574125E-3</v>
      </c>
    </row>
    <row r="318" spans="2:18" s="665" customFormat="1" ht="12.75">
      <c r="B318" s="828" t="str">
        <f>Summary!A20</f>
        <v xml:space="preserve">  kWh</v>
      </c>
      <c r="C318" s="668">
        <v>19806496</v>
      </c>
      <c r="D318" s="668">
        <f>Summary!I20</f>
        <v>19669183</v>
      </c>
      <c r="E318" s="668">
        <f t="shared" si="28"/>
        <v>-137313</v>
      </c>
      <c r="F318" s="679">
        <f t="shared" si="29"/>
        <v>-6.9327255058138498E-3</v>
      </c>
      <c r="G318" s="671">
        <f>Summary!J20</f>
        <v>20094189</v>
      </c>
      <c r="H318" s="668">
        <f t="shared" si="20"/>
        <v>425006</v>
      </c>
      <c r="I318" s="679">
        <f t="shared" si="21"/>
        <v>2.1607709888102622E-2</v>
      </c>
      <c r="J318" s="671">
        <f>Summary!K20</f>
        <v>20739791</v>
      </c>
      <c r="K318" s="668">
        <f t="shared" si="22"/>
        <v>645602</v>
      </c>
      <c r="L318" s="679">
        <f t="shared" si="23"/>
        <v>3.2128791064919317E-2</v>
      </c>
      <c r="M318" s="671">
        <f>Summary!L20</f>
        <v>20653133.002</v>
      </c>
      <c r="N318" s="668">
        <f t="shared" si="24"/>
        <v>-86657.997999999672</v>
      </c>
      <c r="O318" s="679">
        <f t="shared" si="25"/>
        <v>-4.1783448058854439E-3</v>
      </c>
      <c r="P318" s="671">
        <f>Summary!M20</f>
        <v>20348622.955000002</v>
      </c>
      <c r="Q318" s="668">
        <f t="shared" si="26"/>
        <v>-304510.04699999839</v>
      </c>
      <c r="R318" s="679">
        <f t="shared" si="27"/>
        <v>-1.4744012299272481E-2</v>
      </c>
    </row>
    <row r="319" spans="2:18" s="1063" customFormat="1" ht="12.75">
      <c r="B319" s="829" t="s">
        <v>376</v>
      </c>
      <c r="C319" s="683">
        <v>450671</v>
      </c>
      <c r="D319" s="683">
        <v>466848.19</v>
      </c>
      <c r="E319" s="683">
        <f t="shared" si="28"/>
        <v>16177.190000000002</v>
      </c>
      <c r="F319" s="684">
        <f t="shared" si="29"/>
        <v>3.5895786505011421E-2</v>
      </c>
      <c r="G319" s="685">
        <v>496050.63999999996</v>
      </c>
      <c r="H319" s="683">
        <f t="shared" si="20"/>
        <v>29202.449999999953</v>
      </c>
      <c r="I319" s="684">
        <f t="shared" si="21"/>
        <v>6.2552347048833917E-2</v>
      </c>
      <c r="J319" s="685">
        <v>456057.91000000003</v>
      </c>
      <c r="K319" s="683">
        <f t="shared" si="22"/>
        <v>-39992.729999999923</v>
      </c>
      <c r="L319" s="684">
        <f t="shared" si="23"/>
        <v>-8.0622272758281141E-2</v>
      </c>
      <c r="M319" s="685">
        <v>482663.68999999994</v>
      </c>
      <c r="N319" s="683">
        <f t="shared" si="24"/>
        <v>26605.779999999912</v>
      </c>
      <c r="O319" s="684">
        <f t="shared" si="25"/>
        <v>5.8338600025597431E-2</v>
      </c>
      <c r="P319" s="685">
        <f>+'[18]2016 Test Yr On Existing Rates'!$J$23</f>
        <v>504772.00329809316</v>
      </c>
      <c r="Q319" s="683">
        <f t="shared" si="26"/>
        <v>22108.313298093213</v>
      </c>
      <c r="R319" s="684">
        <f t="shared" si="27"/>
        <v>4.5804798985590187E-2</v>
      </c>
    </row>
    <row r="320" spans="2:18" s="1063" customFormat="1" ht="12.75">
      <c r="B320" s="830" t="s">
        <v>378</v>
      </c>
      <c r="C320" s="678">
        <f>C318/C317/12</f>
        <v>2143.5601731601732</v>
      </c>
      <c r="D320" s="678">
        <f>D318/D317/12</f>
        <v>2128.6994588744587</v>
      </c>
      <c r="E320" s="678">
        <f t="shared" si="28"/>
        <v>-14.860714285714494</v>
      </c>
      <c r="F320" s="680">
        <f t="shared" si="29"/>
        <v>-6.932725505813947E-3</v>
      </c>
      <c r="G320" s="678">
        <f>G318/G317/12</f>
        <v>2206.2131093544135</v>
      </c>
      <c r="H320" s="678">
        <f t="shared" si="20"/>
        <v>77.513650479954777</v>
      </c>
      <c r="I320" s="680">
        <f t="shared" si="21"/>
        <v>3.6413618727060608E-2</v>
      </c>
      <c r="J320" s="678">
        <f>J318/J317/12</f>
        <v>2292.1961759504861</v>
      </c>
      <c r="K320" s="678">
        <f t="shared" si="22"/>
        <v>85.983066596072604</v>
      </c>
      <c r="L320" s="680">
        <f t="shared" si="23"/>
        <v>3.8973146443333911E-2</v>
      </c>
      <c r="M320" s="678">
        <f>M318/M317/12</f>
        <v>2319.5342544923628</v>
      </c>
      <c r="N320" s="678">
        <f t="shared" si="24"/>
        <v>27.338078541876712</v>
      </c>
      <c r="O320" s="680">
        <f t="shared" si="25"/>
        <v>1.1926587623129882E-2</v>
      </c>
      <c r="P320" s="678">
        <f>P318/P317/12</f>
        <v>2291.5115940315318</v>
      </c>
      <c r="Q320" s="678">
        <f t="shared" si="26"/>
        <v>-28.022660460831048</v>
      </c>
      <c r="R320" s="680">
        <f t="shared" si="27"/>
        <v>-1.2081158278459609E-2</v>
      </c>
    </row>
    <row r="321" spans="2:23" s="665" customFormat="1" ht="12.75">
      <c r="B321" s="831" t="str">
        <f>Summary!A22</f>
        <v>General Service 50 to 4,999 kW</v>
      </c>
      <c r="C321" s="676"/>
      <c r="D321" s="676"/>
      <c r="E321" s="676"/>
      <c r="F321" s="681"/>
      <c r="G321" s="677"/>
      <c r="H321" s="676"/>
      <c r="I321" s="681"/>
      <c r="J321" s="677"/>
      <c r="K321" s="676"/>
      <c r="L321" s="681"/>
      <c r="M321" s="677"/>
      <c r="N321" s="676"/>
      <c r="O321" s="681"/>
      <c r="P321" s="677"/>
      <c r="Q321" s="676"/>
      <c r="R321" s="681"/>
    </row>
    <row r="322" spans="2:23" s="665" customFormat="1" ht="12.75">
      <c r="B322" s="828" t="str">
        <f>Summary!A23</f>
        <v xml:space="preserve">  Customers</v>
      </c>
      <c r="C322" s="668">
        <v>66</v>
      </c>
      <c r="D322" s="668">
        <f>Summary!I23</f>
        <v>67</v>
      </c>
      <c r="E322" s="668">
        <f t="shared" si="28"/>
        <v>1</v>
      </c>
      <c r="F322" s="679">
        <f t="shared" si="29"/>
        <v>1.5151515151515152E-2</v>
      </c>
      <c r="G322" s="671">
        <f>Summary!J23</f>
        <v>65</v>
      </c>
      <c r="H322" s="668">
        <f t="shared" si="20"/>
        <v>-2</v>
      </c>
      <c r="I322" s="679">
        <f t="shared" si="21"/>
        <v>-2.9850746268656716E-2</v>
      </c>
      <c r="J322" s="671">
        <f>Summary!K23</f>
        <v>64</v>
      </c>
      <c r="K322" s="668">
        <f t="shared" si="22"/>
        <v>-1</v>
      </c>
      <c r="L322" s="679">
        <f t="shared" si="23"/>
        <v>-1.5384615384615385E-2</v>
      </c>
      <c r="M322" s="671">
        <f>Summary!L23</f>
        <v>64</v>
      </c>
      <c r="N322" s="668">
        <f t="shared" si="24"/>
        <v>0</v>
      </c>
      <c r="O322" s="679">
        <f t="shared" si="25"/>
        <v>0</v>
      </c>
      <c r="P322" s="671">
        <f>Summary!M23</f>
        <v>64</v>
      </c>
      <c r="Q322" s="668">
        <f t="shared" si="26"/>
        <v>0</v>
      </c>
      <c r="R322" s="679">
        <f t="shared" si="27"/>
        <v>0</v>
      </c>
      <c r="T322" s="52" t="s">
        <v>439</v>
      </c>
      <c r="U322" s="665">
        <v>2015</v>
      </c>
      <c r="V322" s="665">
        <v>2016</v>
      </c>
      <c r="W322" s="438"/>
    </row>
    <row r="323" spans="2:23" s="665" customFormat="1" ht="12.75">
      <c r="B323" s="828" t="str">
        <f>Summary!A24</f>
        <v xml:space="preserve">  kWh</v>
      </c>
      <c r="C323" s="668">
        <v>38166401</v>
      </c>
      <c r="D323" s="668">
        <f>Summary!I24</f>
        <v>42549997</v>
      </c>
      <c r="E323" s="668">
        <f t="shared" si="28"/>
        <v>4383596</v>
      </c>
      <c r="F323" s="679">
        <f t="shared" si="29"/>
        <v>0.11485484313807844</v>
      </c>
      <c r="G323" s="671">
        <f>Summary!J24</f>
        <v>42246503</v>
      </c>
      <c r="H323" s="668">
        <f t="shared" si="20"/>
        <v>-303494</v>
      </c>
      <c r="I323" s="679">
        <f t="shared" si="21"/>
        <v>-7.1326444511852728E-3</v>
      </c>
      <c r="J323" s="671">
        <f>Summary!K24</f>
        <v>42584416</v>
      </c>
      <c r="K323" s="668">
        <f t="shared" si="22"/>
        <v>337913</v>
      </c>
      <c r="L323" s="679">
        <f t="shared" si="23"/>
        <v>7.998602866608865E-3</v>
      </c>
      <c r="M323" s="671">
        <f>Summary!L24</f>
        <v>40918077</v>
      </c>
      <c r="N323" s="668">
        <f t="shared" si="24"/>
        <v>-1666339</v>
      </c>
      <c r="O323" s="679">
        <f t="shared" si="25"/>
        <v>-3.9130253658991122E-2</v>
      </c>
      <c r="P323" s="671">
        <f>Summary!M24</f>
        <v>39456019</v>
      </c>
      <c r="Q323" s="668">
        <f t="shared" si="26"/>
        <v>-1462058</v>
      </c>
      <c r="R323" s="679">
        <f t="shared" si="27"/>
        <v>-3.5731346807915731E-2</v>
      </c>
      <c r="U323" s="52" t="s">
        <v>440</v>
      </c>
      <c r="V323" s="52" t="s">
        <v>440</v>
      </c>
      <c r="W323" s="665" t="s">
        <v>162</v>
      </c>
    </row>
    <row r="324" spans="2:23" s="665" customFormat="1" ht="12.75">
      <c r="B324" s="828" t="str">
        <f>Summary!A25</f>
        <v xml:space="preserve">  kW</v>
      </c>
      <c r="C324" s="668">
        <v>126652</v>
      </c>
      <c r="D324" s="668">
        <f>Summary!I25</f>
        <v>125469</v>
      </c>
      <c r="E324" s="668">
        <f t="shared" si="28"/>
        <v>-1183</v>
      </c>
      <c r="F324" s="679">
        <f t="shared" si="29"/>
        <v>-9.3405552221836208E-3</v>
      </c>
      <c r="G324" s="671">
        <f>Summary!J25</f>
        <v>133148</v>
      </c>
      <c r="H324" s="668">
        <f t="shared" si="20"/>
        <v>7679</v>
      </c>
      <c r="I324" s="679">
        <f t="shared" si="21"/>
        <v>6.1202368712590362E-2</v>
      </c>
      <c r="J324" s="671">
        <f>Summary!K25</f>
        <v>131947</v>
      </c>
      <c r="K324" s="668">
        <f t="shared" si="22"/>
        <v>-1201</v>
      </c>
      <c r="L324" s="679">
        <f t="shared" si="23"/>
        <v>-9.0200378526151346E-3</v>
      </c>
      <c r="M324" s="671">
        <f>Summary!L25</f>
        <v>125734.44</v>
      </c>
      <c r="N324" s="668">
        <f t="shared" si="24"/>
        <v>-6212.5599999999977</v>
      </c>
      <c r="O324" s="679">
        <f t="shared" si="25"/>
        <v>-4.7083753325198735E-2</v>
      </c>
      <c r="P324" s="671">
        <f>Summary!M25</f>
        <v>115477</v>
      </c>
      <c r="Q324" s="668">
        <f t="shared" si="26"/>
        <v>-10257.440000000002</v>
      </c>
      <c r="R324" s="679">
        <f t="shared" si="27"/>
        <v>-8.1580193938908085E-2</v>
      </c>
      <c r="T324" s="52" t="s">
        <v>441</v>
      </c>
      <c r="U324" s="438">
        <v>54987.9</v>
      </c>
      <c r="V324" s="438">
        <v>50071.600000000006</v>
      </c>
    </row>
    <row r="325" spans="2:23" s="1063" customFormat="1" ht="12.75">
      <c r="B325" s="829" t="s">
        <v>376</v>
      </c>
      <c r="C325" s="683">
        <v>423173</v>
      </c>
      <c r="D325" s="683">
        <v>367847.63000000006</v>
      </c>
      <c r="E325" s="683">
        <f t="shared" si="28"/>
        <v>-55325.369999999937</v>
      </c>
      <c r="F325" s="684">
        <f t="shared" si="29"/>
        <v>-0.13073936664201152</v>
      </c>
      <c r="G325" s="685">
        <v>449444.11</v>
      </c>
      <c r="H325" s="683">
        <f t="shared" si="20"/>
        <v>81596.479999999923</v>
      </c>
      <c r="I325" s="684">
        <f t="shared" si="21"/>
        <v>0.22182141013114562</v>
      </c>
      <c r="J325" s="685">
        <v>436506.12</v>
      </c>
      <c r="K325" s="683">
        <f t="shared" si="22"/>
        <v>-12937.989999999991</v>
      </c>
      <c r="L325" s="684">
        <f t="shared" si="23"/>
        <v>-2.8786649356690848E-2</v>
      </c>
      <c r="M325" s="685">
        <v>448662.22</v>
      </c>
      <c r="N325" s="683">
        <f t="shared" si="24"/>
        <v>12156.099999999977</v>
      </c>
      <c r="O325" s="684">
        <f t="shared" si="25"/>
        <v>2.7848635890832359E-2</v>
      </c>
      <c r="P325" s="685">
        <f>+'[18]2016 Test Yr On Existing Rates'!$J$24</f>
        <v>457430.82839669025</v>
      </c>
      <c r="Q325" s="683">
        <f t="shared" si="26"/>
        <v>8768.6083966902806</v>
      </c>
      <c r="R325" s="684">
        <f t="shared" si="27"/>
        <v>1.9543897403909518E-2</v>
      </c>
      <c r="T325" s="438" t="s">
        <v>467</v>
      </c>
      <c r="U325" s="438">
        <v>64</v>
      </c>
      <c r="V325" s="438">
        <v>64</v>
      </c>
      <c r="W325" s="665"/>
    </row>
    <row r="326" spans="2:23" s="1063" customFormat="1" ht="12.75">
      <c r="B326" s="830" t="s">
        <v>379</v>
      </c>
      <c r="C326" s="678">
        <f>C324/C322</f>
        <v>1918.969696969697</v>
      </c>
      <c r="D326" s="678">
        <f>D324/D322</f>
        <v>1872.6716417910447</v>
      </c>
      <c r="E326" s="678">
        <f>D326-C326</f>
        <v>-46.298055178652248</v>
      </c>
      <c r="F326" s="680">
        <f>E326/C326</f>
        <v>-2.4126517084539119E-2</v>
      </c>
      <c r="G326" s="678">
        <f>G324/G322</f>
        <v>2048.4307692307693</v>
      </c>
      <c r="H326" s="678">
        <f>G326-D326</f>
        <v>175.75912743972458</v>
      </c>
      <c r="I326" s="680">
        <f>H326/D326</f>
        <v>9.3854749288362446E-2</v>
      </c>
      <c r="J326" s="678">
        <f>J324/J322</f>
        <v>2061.671875</v>
      </c>
      <c r="K326" s="678">
        <f>J326-G326</f>
        <v>13.241105769230671</v>
      </c>
      <c r="L326" s="680">
        <f>K326/G326</f>
        <v>6.4640240559377055E-3</v>
      </c>
      <c r="M326" s="678">
        <f>M324/M322</f>
        <v>1964.600625</v>
      </c>
      <c r="N326" s="678">
        <f>M326-J326</f>
        <v>-97.071249999999964</v>
      </c>
      <c r="O326" s="680">
        <f>N326/J326</f>
        <v>-4.7083753325198735E-2</v>
      </c>
      <c r="P326" s="678">
        <f>P324/P322</f>
        <v>1804.328125</v>
      </c>
      <c r="Q326" s="678">
        <f>P326-M326</f>
        <v>-160.27250000000004</v>
      </c>
      <c r="R326" s="680">
        <f>Q326/M326</f>
        <v>-8.1580193938908085E-2</v>
      </c>
      <c r="U326" s="1064">
        <f>U324/U325</f>
        <v>859.18593750000002</v>
      </c>
      <c r="V326" s="1064">
        <f>V324/V325</f>
        <v>782.36875000000009</v>
      </c>
      <c r="W326" s="743">
        <f>(V326-U326)/U326</f>
        <v>-8.9406942254568647E-2</v>
      </c>
    </row>
    <row r="327" spans="2:23" s="665" customFormat="1" ht="12.75">
      <c r="B327" s="831" t="str">
        <f>Summary!A27</f>
        <v xml:space="preserve">Street Lights </v>
      </c>
      <c r="C327" s="676"/>
      <c r="D327" s="676"/>
      <c r="E327" s="676"/>
      <c r="F327" s="681"/>
      <c r="G327" s="677"/>
      <c r="H327" s="676"/>
      <c r="I327" s="681"/>
      <c r="J327" s="677"/>
      <c r="K327" s="676"/>
      <c r="L327" s="681"/>
      <c r="M327" s="677"/>
      <c r="N327" s="676"/>
      <c r="O327" s="681"/>
      <c r="P327" s="677"/>
      <c r="Q327" s="676"/>
      <c r="R327" s="681"/>
    </row>
    <row r="328" spans="2:23" s="665" customFormat="1" ht="12.75">
      <c r="B328" s="828" t="str">
        <f>Summary!A28</f>
        <v xml:space="preserve">  Connections</v>
      </c>
      <c r="C328" s="668">
        <v>1709</v>
      </c>
      <c r="D328" s="668">
        <f>Summary!I28</f>
        <v>1703</v>
      </c>
      <c r="E328" s="668">
        <f t="shared" si="28"/>
        <v>-6</v>
      </c>
      <c r="F328" s="679">
        <f t="shared" si="29"/>
        <v>-3.5108250438853129E-3</v>
      </c>
      <c r="G328" s="671">
        <f>Summary!J28</f>
        <v>1707</v>
      </c>
      <c r="H328" s="668">
        <f t="shared" si="20"/>
        <v>4</v>
      </c>
      <c r="I328" s="679">
        <f t="shared" si="21"/>
        <v>2.3487962419260129E-3</v>
      </c>
      <c r="J328" s="671">
        <f>Summary!K28</f>
        <v>1707</v>
      </c>
      <c r="K328" s="668">
        <f t="shared" si="22"/>
        <v>0</v>
      </c>
      <c r="L328" s="679">
        <f t="shared" si="23"/>
        <v>0</v>
      </c>
      <c r="M328" s="671">
        <f>Summary!L28</f>
        <v>1711</v>
      </c>
      <c r="N328" s="668">
        <f t="shared" si="24"/>
        <v>4</v>
      </c>
      <c r="O328" s="679">
        <f t="shared" si="25"/>
        <v>2.3432923257176333E-3</v>
      </c>
      <c r="P328" s="671">
        <f>Summary!M28</f>
        <v>1711</v>
      </c>
      <c r="Q328" s="668">
        <f t="shared" si="26"/>
        <v>0</v>
      </c>
      <c r="R328" s="679">
        <f t="shared" si="27"/>
        <v>0</v>
      </c>
    </row>
    <row r="329" spans="2:23" s="665" customFormat="1" ht="12.75">
      <c r="B329" s="828" t="str">
        <f>Summary!A29</f>
        <v xml:space="preserve">  kWh</v>
      </c>
      <c r="C329" s="668">
        <v>1441722</v>
      </c>
      <c r="D329" s="668">
        <f>Summary!I29</f>
        <v>1453808</v>
      </c>
      <c r="E329" s="668">
        <f t="shared" si="28"/>
        <v>12086</v>
      </c>
      <c r="F329" s="679">
        <f t="shared" si="29"/>
        <v>8.3830308478333553E-3</v>
      </c>
      <c r="G329" s="671">
        <f>Summary!J29</f>
        <v>1447303</v>
      </c>
      <c r="H329" s="668">
        <f t="shared" si="20"/>
        <v>-6505</v>
      </c>
      <c r="I329" s="679">
        <f t="shared" si="21"/>
        <v>-4.4744560492169533E-3</v>
      </c>
      <c r="J329" s="671">
        <f>Summary!K29</f>
        <v>1321505</v>
      </c>
      <c r="K329" s="668">
        <f t="shared" si="22"/>
        <v>-125798</v>
      </c>
      <c r="L329" s="679">
        <f t="shared" si="23"/>
        <v>-8.6918910552938808E-2</v>
      </c>
      <c r="M329" s="671">
        <f>Summary!L29</f>
        <v>1052678</v>
      </c>
      <c r="N329" s="668">
        <f t="shared" si="24"/>
        <v>-268827</v>
      </c>
      <c r="O329" s="679">
        <f t="shared" si="25"/>
        <v>-0.2034248829932539</v>
      </c>
      <c r="P329" s="671">
        <f>Summary!M29</f>
        <v>773158</v>
      </c>
      <c r="Q329" s="668">
        <f t="shared" si="26"/>
        <v>-279520</v>
      </c>
      <c r="R329" s="679">
        <f t="shared" si="27"/>
        <v>-0.26553229002600987</v>
      </c>
    </row>
    <row r="330" spans="2:23" s="665" customFormat="1" ht="12.75">
      <c r="B330" s="828" t="str">
        <f>Summary!A30</f>
        <v xml:space="preserve">  kW</v>
      </c>
      <c r="C330" s="668">
        <v>3843</v>
      </c>
      <c r="D330" s="668">
        <f>Summary!I30</f>
        <v>3919</v>
      </c>
      <c r="E330" s="668">
        <f t="shared" si="28"/>
        <v>76</v>
      </c>
      <c r="F330" s="679">
        <f t="shared" si="29"/>
        <v>1.9776216497527973E-2</v>
      </c>
      <c r="G330" s="671">
        <f>Summary!J30</f>
        <v>3920</v>
      </c>
      <c r="H330" s="668">
        <f t="shared" si="20"/>
        <v>1</v>
      </c>
      <c r="I330" s="679">
        <f t="shared" si="21"/>
        <v>2.5516713447307985E-4</v>
      </c>
      <c r="J330" s="671">
        <f>Summary!K30</f>
        <v>3620</v>
      </c>
      <c r="K330" s="668">
        <f t="shared" si="22"/>
        <v>-300</v>
      </c>
      <c r="L330" s="679">
        <f t="shared" si="23"/>
        <v>-7.6530612244897961E-2</v>
      </c>
      <c r="M330" s="671">
        <f>Summary!L30</f>
        <v>2861.6</v>
      </c>
      <c r="N330" s="668">
        <f t="shared" si="24"/>
        <v>-758.40000000000009</v>
      </c>
      <c r="O330" s="679">
        <f t="shared" si="25"/>
        <v>-0.20950276243093924</v>
      </c>
      <c r="P330" s="671">
        <f>Summary!M30</f>
        <v>2070</v>
      </c>
      <c r="Q330" s="668">
        <f t="shared" si="26"/>
        <v>-791.59999999999991</v>
      </c>
      <c r="R330" s="679">
        <f t="shared" si="27"/>
        <v>-0.27662845960301929</v>
      </c>
    </row>
    <row r="331" spans="2:23" s="1063" customFormat="1" ht="12.75">
      <c r="B331" s="829" t="s">
        <v>376</v>
      </c>
      <c r="C331" s="683">
        <v>117106</v>
      </c>
      <c r="D331" s="683">
        <v>94392.629999999976</v>
      </c>
      <c r="E331" s="683">
        <f t="shared" si="28"/>
        <v>-22713.370000000024</v>
      </c>
      <c r="F331" s="684">
        <f t="shared" si="29"/>
        <v>-0.19395564702064816</v>
      </c>
      <c r="G331" s="685">
        <v>121371.07999999999</v>
      </c>
      <c r="H331" s="683">
        <f t="shared" si="20"/>
        <v>26978.450000000012</v>
      </c>
      <c r="I331" s="684">
        <f t="shared" si="21"/>
        <v>0.28581097909868619</v>
      </c>
      <c r="J331" s="685">
        <v>115976.8</v>
      </c>
      <c r="K331" s="683">
        <f t="shared" si="22"/>
        <v>-5394.2799999999843</v>
      </c>
      <c r="L331" s="684">
        <f t="shared" si="23"/>
        <v>-4.4444525005462462E-2</v>
      </c>
      <c r="M331" s="685">
        <v>107656.33</v>
      </c>
      <c r="N331" s="683">
        <f t="shared" si="24"/>
        <v>-8320.4700000000012</v>
      </c>
      <c r="O331" s="684">
        <f t="shared" si="25"/>
        <v>-7.1742538162804986E-2</v>
      </c>
      <c r="P331" s="685">
        <f>+'[18]2016 Test Yr On Existing Rates'!$J$25</f>
        <v>107317.88269386216</v>
      </c>
      <c r="Q331" s="683">
        <f t="shared" si="26"/>
        <v>-338.44730613783759</v>
      </c>
      <c r="R331" s="684">
        <f t="shared" si="27"/>
        <v>-3.1437752535112204E-3</v>
      </c>
    </row>
    <row r="332" spans="2:23" s="1063" customFormat="1" ht="12.75">
      <c r="B332" s="830" t="s">
        <v>380</v>
      </c>
      <c r="C332" s="686">
        <f>C330/C328</f>
        <v>2.2486834406085432</v>
      </c>
      <c r="D332" s="686">
        <f>D330/D328</f>
        <v>2.3012331180270111</v>
      </c>
      <c r="E332" s="686">
        <f t="shared" si="28"/>
        <v>5.2549677418467944E-2</v>
      </c>
      <c r="F332" s="680">
        <f t="shared" si="29"/>
        <v>2.3369086314900263E-2</v>
      </c>
      <c r="G332" s="686">
        <f>G330/G328</f>
        <v>2.2964264792032805</v>
      </c>
      <c r="H332" s="686">
        <f t="shared" si="20"/>
        <v>-4.806638823730669E-3</v>
      </c>
      <c r="I332" s="680">
        <f t="shared" si="21"/>
        <v>-2.0887231224325925E-3</v>
      </c>
      <c r="J332" s="686">
        <f>J330/J328</f>
        <v>2.1206795547744579</v>
      </c>
      <c r="K332" s="686">
        <f t="shared" si="22"/>
        <v>-0.17574692442882256</v>
      </c>
      <c r="L332" s="680">
        <f t="shared" si="23"/>
        <v>-7.6530612244897989E-2</v>
      </c>
      <c r="M332" s="686">
        <f>M330/M328</f>
        <v>1.6724722384570425</v>
      </c>
      <c r="N332" s="686">
        <f t="shared" si="24"/>
        <v>-0.44820731631741539</v>
      </c>
      <c r="O332" s="680">
        <f t="shared" si="25"/>
        <v>-0.21135079805354368</v>
      </c>
      <c r="P332" s="686">
        <f>P330/P328</f>
        <v>1.2098188194038575</v>
      </c>
      <c r="Q332" s="686">
        <f t="shared" si="26"/>
        <v>-0.46265341905318502</v>
      </c>
      <c r="R332" s="680">
        <f t="shared" si="27"/>
        <v>-0.27662845960301918</v>
      </c>
    </row>
    <row r="333" spans="2:23" s="665" customFormat="1" ht="12.75">
      <c r="B333" s="832" t="str">
        <f>Summary!A32</f>
        <v>Sentinel Lights</v>
      </c>
      <c r="C333" s="676"/>
      <c r="D333" s="676"/>
      <c r="E333" s="676"/>
      <c r="F333" s="681"/>
      <c r="G333" s="677"/>
      <c r="H333" s="676"/>
      <c r="I333" s="681"/>
      <c r="J333" s="677"/>
      <c r="K333" s="676"/>
      <c r="L333" s="681"/>
      <c r="M333" s="677"/>
      <c r="N333" s="676"/>
      <c r="O333" s="681"/>
      <c r="P333" s="677"/>
      <c r="Q333" s="676"/>
      <c r="R333" s="681"/>
    </row>
    <row r="334" spans="2:23" s="665" customFormat="1" ht="12.75">
      <c r="B334" s="828" t="str">
        <f>Summary!A33</f>
        <v xml:space="preserve">  Connections</v>
      </c>
      <c r="C334" s="668">
        <v>75</v>
      </c>
      <c r="D334" s="668">
        <f>Summary!I33</f>
        <v>75</v>
      </c>
      <c r="E334" s="668">
        <f t="shared" si="28"/>
        <v>0</v>
      </c>
      <c r="F334" s="679">
        <f t="shared" si="29"/>
        <v>0</v>
      </c>
      <c r="G334" s="671">
        <f>Summary!J33</f>
        <v>75</v>
      </c>
      <c r="H334" s="668">
        <f t="shared" si="20"/>
        <v>0</v>
      </c>
      <c r="I334" s="679">
        <f t="shared" si="21"/>
        <v>0</v>
      </c>
      <c r="J334" s="671">
        <f>Summary!K33</f>
        <v>75</v>
      </c>
      <c r="K334" s="668">
        <f t="shared" si="22"/>
        <v>0</v>
      </c>
      <c r="L334" s="679">
        <f t="shared" si="23"/>
        <v>0</v>
      </c>
      <c r="M334" s="671">
        <f>Summary!L33</f>
        <v>75</v>
      </c>
      <c r="N334" s="668">
        <f t="shared" si="24"/>
        <v>0</v>
      </c>
      <c r="O334" s="679">
        <f t="shared" si="25"/>
        <v>0</v>
      </c>
      <c r="P334" s="671">
        <f>Summary!M33</f>
        <v>73</v>
      </c>
      <c r="Q334" s="668">
        <f t="shared" si="26"/>
        <v>-2</v>
      </c>
      <c r="R334" s="679">
        <f t="shared" si="27"/>
        <v>-2.6666666666666668E-2</v>
      </c>
    </row>
    <row r="335" spans="2:23" s="665" customFormat="1" ht="12.75">
      <c r="B335" s="828" t="str">
        <f>Summary!A34</f>
        <v xml:space="preserve">  kWh</v>
      </c>
      <c r="C335" s="668">
        <v>108277</v>
      </c>
      <c r="D335" s="668">
        <f>Summary!I34</f>
        <v>108266</v>
      </c>
      <c r="E335" s="668">
        <f t="shared" si="28"/>
        <v>-11</v>
      </c>
      <c r="F335" s="679">
        <f t="shared" si="29"/>
        <v>-1.0159128900874609E-4</v>
      </c>
      <c r="G335" s="671">
        <f>Summary!J34</f>
        <v>108281</v>
      </c>
      <c r="H335" s="668">
        <f t="shared" si="20"/>
        <v>15</v>
      </c>
      <c r="I335" s="679">
        <f t="shared" si="21"/>
        <v>1.385476511554874E-4</v>
      </c>
      <c r="J335" s="671">
        <f>Summary!K34</f>
        <v>109302</v>
      </c>
      <c r="K335" s="668">
        <f t="shared" si="22"/>
        <v>1021</v>
      </c>
      <c r="L335" s="679">
        <f t="shared" si="23"/>
        <v>9.4291703992390175E-3</v>
      </c>
      <c r="M335" s="671">
        <f>Summary!L34</f>
        <v>109502</v>
      </c>
      <c r="N335" s="668">
        <f t="shared" si="24"/>
        <v>200</v>
      </c>
      <c r="O335" s="679">
        <f t="shared" si="25"/>
        <v>1.8297926844888473E-3</v>
      </c>
      <c r="P335" s="671">
        <f>Summary!M34</f>
        <v>106791</v>
      </c>
      <c r="Q335" s="668">
        <f t="shared" si="26"/>
        <v>-2711</v>
      </c>
      <c r="R335" s="679">
        <f t="shared" si="27"/>
        <v>-2.4757538675092693E-2</v>
      </c>
    </row>
    <row r="336" spans="2:23" s="665" customFormat="1" ht="12.75">
      <c r="B336" s="828" t="str">
        <f>Summary!A35</f>
        <v xml:space="preserve">  kW</v>
      </c>
      <c r="C336" s="668">
        <v>301</v>
      </c>
      <c r="D336" s="668">
        <f>Summary!I35</f>
        <v>300</v>
      </c>
      <c r="E336" s="668">
        <f t="shared" si="28"/>
        <v>-1</v>
      </c>
      <c r="F336" s="679">
        <f t="shared" si="29"/>
        <v>-3.3222591362126247E-3</v>
      </c>
      <c r="G336" s="671">
        <f>Summary!J35</f>
        <v>300</v>
      </c>
      <c r="H336" s="668">
        <f t="shared" si="20"/>
        <v>0</v>
      </c>
      <c r="I336" s="679">
        <f t="shared" si="21"/>
        <v>0</v>
      </c>
      <c r="J336" s="671">
        <f>Summary!K35</f>
        <v>302</v>
      </c>
      <c r="K336" s="668">
        <f t="shared" si="22"/>
        <v>2</v>
      </c>
      <c r="L336" s="679">
        <f t="shared" si="23"/>
        <v>6.6666666666666671E-3</v>
      </c>
      <c r="M336" s="671">
        <f>Summary!L35</f>
        <v>302</v>
      </c>
      <c r="N336" s="668">
        <f t="shared" si="24"/>
        <v>0</v>
      </c>
      <c r="O336" s="679">
        <f t="shared" si="25"/>
        <v>0</v>
      </c>
      <c r="P336" s="671">
        <f>Summary!M35</f>
        <v>302</v>
      </c>
      <c r="Q336" s="668">
        <f t="shared" si="26"/>
        <v>0</v>
      </c>
      <c r="R336" s="679">
        <f t="shared" si="27"/>
        <v>0</v>
      </c>
    </row>
    <row r="337" spans="2:18" s="1063" customFormat="1" ht="12.75">
      <c r="B337" s="829" t="s">
        <v>376</v>
      </c>
      <c r="C337" s="683">
        <v>6382</v>
      </c>
      <c r="D337" s="683">
        <v>4749.5100000000011</v>
      </c>
      <c r="E337" s="683">
        <f t="shared" si="28"/>
        <v>-1632.4899999999989</v>
      </c>
      <c r="F337" s="684">
        <f t="shared" si="29"/>
        <v>-0.25579598871826997</v>
      </c>
      <c r="G337" s="685">
        <v>6608.08</v>
      </c>
      <c r="H337" s="683">
        <f t="shared" si="20"/>
        <v>1858.5699999999988</v>
      </c>
      <c r="I337" s="684">
        <f t="shared" si="21"/>
        <v>0.3913182623049532</v>
      </c>
      <c r="J337" s="685">
        <v>6491.74</v>
      </c>
      <c r="K337" s="683">
        <f t="shared" si="22"/>
        <v>-116.34000000000015</v>
      </c>
      <c r="L337" s="684">
        <f t="shared" si="23"/>
        <v>-1.7605719059091317E-2</v>
      </c>
      <c r="M337" s="685">
        <v>6580.8099999999995</v>
      </c>
      <c r="N337" s="683">
        <f t="shared" si="24"/>
        <v>89.069999999999709</v>
      </c>
      <c r="O337" s="684">
        <f t="shared" si="25"/>
        <v>1.3720512528228136E-2</v>
      </c>
      <c r="P337" s="685">
        <f>+'[18]2016 Test Yr On Existing Rates'!$J$26</f>
        <v>8002.8772381130939</v>
      </c>
      <c r="Q337" s="683">
        <f t="shared" si="26"/>
        <v>1422.0672381130944</v>
      </c>
      <c r="R337" s="684">
        <f t="shared" si="27"/>
        <v>0.21609303993172491</v>
      </c>
    </row>
    <row r="338" spans="2:18" s="1063" customFormat="1" ht="12.75">
      <c r="B338" s="830" t="s">
        <v>380</v>
      </c>
      <c r="C338" s="686">
        <f>C336/C334</f>
        <v>4.0133333333333336</v>
      </c>
      <c r="D338" s="686">
        <f>D336/D334</f>
        <v>4</v>
      </c>
      <c r="E338" s="686">
        <f>D338-C338</f>
        <v>-1.3333333333333641E-2</v>
      </c>
      <c r="F338" s="680">
        <f>E338/C338</f>
        <v>-3.322259136212701E-3</v>
      </c>
      <c r="G338" s="686">
        <f>G336/G334</f>
        <v>4</v>
      </c>
      <c r="H338" s="686">
        <f>G338-D338</f>
        <v>0</v>
      </c>
      <c r="I338" s="680">
        <f>H338/D338</f>
        <v>0</v>
      </c>
      <c r="J338" s="686">
        <f>J336/J334</f>
        <v>4.0266666666666664</v>
      </c>
      <c r="K338" s="686">
        <f>J338-G338</f>
        <v>2.6666666666666394E-2</v>
      </c>
      <c r="L338" s="680">
        <f>K338/G338</f>
        <v>6.6666666666665986E-3</v>
      </c>
      <c r="M338" s="686">
        <f>M336/M334</f>
        <v>4.0266666666666664</v>
      </c>
      <c r="N338" s="686">
        <f>M338-J338</f>
        <v>0</v>
      </c>
      <c r="O338" s="680">
        <f>N338/J338</f>
        <v>0</v>
      </c>
      <c r="P338" s="686">
        <f>P336/P334</f>
        <v>4.1369863013698627</v>
      </c>
      <c r="Q338" s="686">
        <f>P338-M338</f>
        <v>0.11031963470319628</v>
      </c>
      <c r="R338" s="680">
        <f>Q338/M338</f>
        <v>2.7397260273972587E-2</v>
      </c>
    </row>
    <row r="339" spans="2:18" s="665" customFormat="1" ht="12.75">
      <c r="B339" s="831" t="str">
        <f>Summary!A37</f>
        <v xml:space="preserve">Unmetered Loads </v>
      </c>
      <c r="C339" s="676"/>
      <c r="D339" s="676"/>
      <c r="E339" s="676"/>
      <c r="F339" s="681"/>
      <c r="G339" s="677"/>
      <c r="H339" s="676"/>
      <c r="I339" s="681"/>
      <c r="J339" s="677"/>
      <c r="K339" s="676"/>
      <c r="L339" s="681"/>
      <c r="M339" s="677"/>
      <c r="N339" s="676"/>
      <c r="O339" s="681"/>
      <c r="P339" s="677"/>
      <c r="Q339" s="676"/>
      <c r="R339" s="681"/>
    </row>
    <row r="340" spans="2:18" s="665" customFormat="1" ht="12.75">
      <c r="B340" s="828" t="str">
        <f>Summary!A38</f>
        <v xml:space="preserve">  Connections</v>
      </c>
      <c r="C340" s="668">
        <v>58</v>
      </c>
      <c r="D340" s="668">
        <f>Summary!I38</f>
        <v>60</v>
      </c>
      <c r="E340" s="668">
        <f t="shared" si="28"/>
        <v>2</v>
      </c>
      <c r="F340" s="679">
        <f t="shared" si="29"/>
        <v>3.4482758620689655E-2</v>
      </c>
      <c r="G340" s="671">
        <f>Summary!J38</f>
        <v>61</v>
      </c>
      <c r="H340" s="668">
        <f t="shared" si="20"/>
        <v>1</v>
      </c>
      <c r="I340" s="679">
        <f t="shared" si="21"/>
        <v>1.6666666666666666E-2</v>
      </c>
      <c r="J340" s="671">
        <f>Summary!K38</f>
        <v>61</v>
      </c>
      <c r="K340" s="668">
        <f t="shared" si="22"/>
        <v>0</v>
      </c>
      <c r="L340" s="679">
        <f t="shared" si="23"/>
        <v>0</v>
      </c>
      <c r="M340" s="671">
        <f>Summary!L38</f>
        <v>59</v>
      </c>
      <c r="N340" s="668">
        <f t="shared" si="24"/>
        <v>-2</v>
      </c>
      <c r="O340" s="679">
        <f t="shared" si="25"/>
        <v>-3.2786885245901641E-2</v>
      </c>
      <c r="P340" s="671">
        <f>Summary!M38</f>
        <v>58</v>
      </c>
      <c r="Q340" s="668">
        <f t="shared" si="26"/>
        <v>-1</v>
      </c>
      <c r="R340" s="679">
        <f t="shared" si="27"/>
        <v>-1.6949152542372881E-2</v>
      </c>
    </row>
    <row r="341" spans="2:18" s="665" customFormat="1" ht="12.75">
      <c r="B341" s="828" t="str">
        <f>Summary!A39</f>
        <v xml:space="preserve">  kWh</v>
      </c>
      <c r="C341" s="668">
        <v>429961</v>
      </c>
      <c r="D341" s="668">
        <f>Summary!I39</f>
        <v>499265</v>
      </c>
      <c r="E341" s="668">
        <f t="shared" si="28"/>
        <v>69304</v>
      </c>
      <c r="F341" s="679">
        <f t="shared" si="29"/>
        <v>0.16118671228320708</v>
      </c>
      <c r="G341" s="671">
        <f>Summary!J39</f>
        <v>531898</v>
      </c>
      <c r="H341" s="668">
        <f t="shared" si="20"/>
        <v>32633</v>
      </c>
      <c r="I341" s="679">
        <f t="shared" si="21"/>
        <v>6.5362082260923562E-2</v>
      </c>
      <c r="J341" s="671">
        <f>Summary!K39</f>
        <v>565759</v>
      </c>
      <c r="K341" s="668">
        <f t="shared" si="22"/>
        <v>33861</v>
      </c>
      <c r="L341" s="679">
        <f t="shared" si="23"/>
        <v>6.3660701863891195E-2</v>
      </c>
      <c r="M341" s="671">
        <f>Summary!L39</f>
        <v>543571</v>
      </c>
      <c r="N341" s="668">
        <f t="shared" si="24"/>
        <v>-22188</v>
      </c>
      <c r="O341" s="679">
        <f t="shared" si="25"/>
        <v>-3.921811230576977E-2</v>
      </c>
      <c r="P341" s="671">
        <f>Summary!M39</f>
        <v>546384</v>
      </c>
      <c r="Q341" s="668">
        <f t="shared" si="26"/>
        <v>2813</v>
      </c>
      <c r="R341" s="679">
        <f t="shared" si="27"/>
        <v>5.1750369316979749E-3</v>
      </c>
    </row>
    <row r="342" spans="2:18" s="1063" customFormat="1" ht="12.75">
      <c r="B342" s="829" t="s">
        <v>376</v>
      </c>
      <c r="C342" s="683">
        <v>10285</v>
      </c>
      <c r="D342" s="683">
        <v>17449.120000000003</v>
      </c>
      <c r="E342" s="683">
        <f t="shared" si="28"/>
        <v>7164.1200000000026</v>
      </c>
      <c r="F342" s="684">
        <f t="shared" si="29"/>
        <v>0.69656003889158991</v>
      </c>
      <c r="G342" s="685">
        <v>11305.98</v>
      </c>
      <c r="H342" s="683">
        <f t="shared" si="20"/>
        <v>-6143.1400000000031</v>
      </c>
      <c r="I342" s="684">
        <f t="shared" si="21"/>
        <v>-0.35206016120010647</v>
      </c>
      <c r="J342" s="685">
        <v>13043.37</v>
      </c>
      <c r="K342" s="683">
        <f t="shared" si="22"/>
        <v>1737.3900000000012</v>
      </c>
      <c r="L342" s="684">
        <f t="shared" si="23"/>
        <v>0.15367000472316431</v>
      </c>
      <c r="M342" s="685">
        <v>12576.75</v>
      </c>
      <c r="N342" s="683">
        <f t="shared" si="24"/>
        <v>-466.6200000000008</v>
      </c>
      <c r="O342" s="684">
        <f t="shared" si="25"/>
        <v>-3.5774496928324566E-2</v>
      </c>
      <c r="P342" s="685">
        <f>+'[18]2016 Test Yr On Existing Rates'!$J$27</f>
        <v>14535.533420578719</v>
      </c>
      <c r="Q342" s="683">
        <f t="shared" si="26"/>
        <v>1958.7834205787185</v>
      </c>
      <c r="R342" s="684">
        <f t="shared" si="27"/>
        <v>0.15574639080674407</v>
      </c>
    </row>
    <row r="343" spans="2:18" s="1063" customFormat="1" ht="12.75">
      <c r="B343" s="830" t="s">
        <v>381</v>
      </c>
      <c r="C343" s="678">
        <f>C341/C340/12</f>
        <v>617.7600574712643</v>
      </c>
      <c r="D343" s="678">
        <f>D341/D340/12</f>
        <v>693.4236111111112</v>
      </c>
      <c r="E343" s="678">
        <f t="shared" si="28"/>
        <v>75.663553639846896</v>
      </c>
      <c r="F343" s="680">
        <f t="shared" si="29"/>
        <v>0.12248048854043377</v>
      </c>
      <c r="G343" s="678">
        <f>G341/G340/12</f>
        <v>726.63661202185801</v>
      </c>
      <c r="H343" s="678">
        <f t="shared" si="20"/>
        <v>33.213000910746814</v>
      </c>
      <c r="I343" s="680">
        <f t="shared" si="21"/>
        <v>4.7897130092711696E-2</v>
      </c>
      <c r="J343" s="678">
        <f>J341/J340/12</f>
        <v>772.89480874316939</v>
      </c>
      <c r="K343" s="678">
        <f t="shared" si="22"/>
        <v>46.258196721311378</v>
      </c>
      <c r="L343" s="680">
        <f t="shared" si="23"/>
        <v>6.3660701863891056E-2</v>
      </c>
      <c r="M343" s="678">
        <f>M341/M340/12</f>
        <v>767.75564971751419</v>
      </c>
      <c r="N343" s="678">
        <f t="shared" si="24"/>
        <v>-5.1391590256552035</v>
      </c>
      <c r="O343" s="680">
        <f t="shared" si="25"/>
        <v>-6.6492347568127223E-3</v>
      </c>
      <c r="P343" s="678">
        <f>P341/P340/12</f>
        <v>785.03448275862058</v>
      </c>
      <c r="Q343" s="678">
        <f t="shared" si="26"/>
        <v>17.278833041106395</v>
      </c>
      <c r="R343" s="680">
        <f t="shared" si="27"/>
        <v>2.2505641016727026E-2</v>
      </c>
    </row>
    <row r="344" spans="2:18" s="665" customFormat="1" ht="12.75">
      <c r="B344" s="831" t="str">
        <f>Summary!A41</f>
        <v>Total</v>
      </c>
      <c r="C344" s="676"/>
      <c r="D344" s="676"/>
      <c r="E344" s="676"/>
      <c r="F344" s="681"/>
      <c r="G344" s="677"/>
      <c r="H344" s="676"/>
      <c r="I344" s="681"/>
      <c r="J344" s="677"/>
      <c r="K344" s="676"/>
      <c r="L344" s="681"/>
      <c r="M344" s="677"/>
      <c r="N344" s="676"/>
      <c r="O344" s="681"/>
      <c r="P344" s="677"/>
      <c r="Q344" s="676"/>
      <c r="R344" s="681"/>
    </row>
    <row r="345" spans="2:18" s="665" customFormat="1" ht="12.75">
      <c r="B345" s="828" t="str">
        <f>Summary!A42</f>
        <v xml:space="preserve">  Customer/Connections</v>
      </c>
      <c r="C345" s="983">
        <f>C312+C317+C322+C328+C334+C340</f>
        <v>7694</v>
      </c>
      <c r="D345" s="983">
        <f>D312+D317+D322+D328+D334+D340</f>
        <v>7700</v>
      </c>
      <c r="E345" s="668">
        <f t="shared" si="28"/>
        <v>6</v>
      </c>
      <c r="F345" s="679">
        <f t="shared" si="29"/>
        <v>7.7982843774369642E-4</v>
      </c>
      <c r="G345" s="1065">
        <f>G312+G317+G322+G328+G334+G340</f>
        <v>7702</v>
      </c>
      <c r="H345" s="668">
        <f>G345-D345</f>
        <v>2</v>
      </c>
      <c r="I345" s="679">
        <f>H345/D345</f>
        <v>2.5974025974025974E-4</v>
      </c>
      <c r="J345" s="1065">
        <f>J312+J317+J322+J328+J334+J340</f>
        <v>7701</v>
      </c>
      <c r="K345" s="668">
        <f>J345-G345</f>
        <v>-1</v>
      </c>
      <c r="L345" s="679">
        <f>K345/G345</f>
        <v>-1.2983640612827837E-4</v>
      </c>
      <c r="M345" s="1065">
        <f>M312+M317+M322+M328+M334+M340</f>
        <v>7705</v>
      </c>
      <c r="N345" s="668">
        <f>M345-J345</f>
        <v>4</v>
      </c>
      <c r="O345" s="679">
        <f>N345/J345</f>
        <v>5.1941306323854042E-4</v>
      </c>
      <c r="P345" s="1065">
        <f>P312+P317+P322+P328+P334+P340</f>
        <v>7717</v>
      </c>
      <c r="Q345" s="668">
        <f>P345-M345</f>
        <v>12</v>
      </c>
      <c r="R345" s="679">
        <f>Q345/M345</f>
        <v>1.5574302401038286E-3</v>
      </c>
    </row>
    <row r="346" spans="2:18" s="665" customFormat="1" ht="12.75">
      <c r="B346" s="828" t="str">
        <f>Summary!A43</f>
        <v xml:space="preserve">  kWh</v>
      </c>
      <c r="C346" s="983">
        <f>C313+C318+C323+C329+C335+C341</f>
        <v>104537303</v>
      </c>
      <c r="D346" s="983">
        <f>D313+D318+D323+D329+D335+D341</f>
        <v>106397501</v>
      </c>
      <c r="E346" s="668">
        <f t="shared" si="28"/>
        <v>1860198</v>
      </c>
      <c r="F346" s="679">
        <f t="shared" si="29"/>
        <v>1.7794585727929101E-2</v>
      </c>
      <c r="G346" s="1065">
        <f>G313+G318+G323+G329+G335+G341</f>
        <v>107193012</v>
      </c>
      <c r="H346" s="668">
        <f>G346-D346</f>
        <v>795511</v>
      </c>
      <c r="I346" s="679">
        <f>H346/D346</f>
        <v>7.4767827488730213E-3</v>
      </c>
      <c r="J346" s="1065">
        <f>J313+J318+J323+J329+J335+J341</f>
        <v>107593001</v>
      </c>
      <c r="K346" s="668">
        <f>J346-G346</f>
        <v>399989</v>
      </c>
      <c r="L346" s="679">
        <f>K346/G346</f>
        <v>3.7314839142685904E-3</v>
      </c>
      <c r="M346" s="1065">
        <f>M313+M318+M323+M329+M335+M341</f>
        <v>104215271.962</v>
      </c>
      <c r="N346" s="668">
        <f>M346-J346</f>
        <v>-3377729.0380000025</v>
      </c>
      <c r="O346" s="679">
        <f>N346/J346</f>
        <v>-3.1393575851648592E-2</v>
      </c>
      <c r="P346" s="1065">
        <f>P313+P318+P323+P329+P335+P341</f>
        <v>101711018.28400001</v>
      </c>
      <c r="Q346" s="668">
        <f>P346-M346</f>
        <v>-2504253.6779999882</v>
      </c>
      <c r="R346" s="679">
        <f>Q346/M346</f>
        <v>-2.4029622826423309E-2</v>
      </c>
    </row>
    <row r="347" spans="2:18" s="665" customFormat="1" ht="12.75">
      <c r="B347" s="828" t="str">
        <f>Summary!A44</f>
        <v xml:space="preserve">  kW from applicable classes</v>
      </c>
      <c r="C347" s="983">
        <f>C324+C330+C336</f>
        <v>130796</v>
      </c>
      <c r="D347" s="983">
        <f>D324+D330+D336</f>
        <v>129688</v>
      </c>
      <c r="E347" s="668">
        <f t="shared" si="28"/>
        <v>-1108</v>
      </c>
      <c r="F347" s="679">
        <f t="shared" si="29"/>
        <v>-8.4712070705526155E-3</v>
      </c>
      <c r="G347" s="1065">
        <f>G324+G330+G336</f>
        <v>137368</v>
      </c>
      <c r="H347" s="668">
        <f>G347-D347</f>
        <v>7680</v>
      </c>
      <c r="I347" s="679">
        <f>H347/D347</f>
        <v>5.9219048794028749E-2</v>
      </c>
      <c r="J347" s="1065">
        <f>J324+J330+J336</f>
        <v>135869</v>
      </c>
      <c r="K347" s="668">
        <f>J347-G347</f>
        <v>-1499</v>
      </c>
      <c r="L347" s="679">
        <f>K347/G347</f>
        <v>-1.0912293984042863E-2</v>
      </c>
      <c r="M347" s="1065">
        <f>M324+M330+M336</f>
        <v>128898.04000000001</v>
      </c>
      <c r="N347" s="668">
        <f>M347-J347</f>
        <v>-6970.9599999999919</v>
      </c>
      <c r="O347" s="679">
        <f>N347/J347</f>
        <v>-5.1306479034952723E-2</v>
      </c>
      <c r="P347" s="1065">
        <f>P324+P330+P336</f>
        <v>117849</v>
      </c>
      <c r="Q347" s="668">
        <f>P347-M347</f>
        <v>-11049.040000000008</v>
      </c>
      <c r="R347" s="679">
        <f>Q347/M347</f>
        <v>-8.5719224279903777E-2</v>
      </c>
    </row>
    <row r="348" spans="2:18" s="665" customFormat="1" ht="12.75">
      <c r="B348" s="833" t="s">
        <v>376</v>
      </c>
      <c r="C348" s="669">
        <f>SUM(C314,C319,C325,C331,C337,C342)</f>
        <v>2423306</v>
      </c>
      <c r="D348" s="669">
        <f>SUM(D314,D319,D325,D331,D337,D342)</f>
        <v>2423039.3299999991</v>
      </c>
      <c r="E348" s="669">
        <f t="shared" si="28"/>
        <v>-266.67000000085682</v>
      </c>
      <c r="F348" s="682">
        <f t="shared" si="29"/>
        <v>-1.1004388220095061E-4</v>
      </c>
      <c r="G348" s="672">
        <f>SUM(G314,G319,G325,G331,G337,G342)</f>
        <v>2524958.4099999997</v>
      </c>
      <c r="H348" s="669">
        <f>G348-D348</f>
        <v>101919.08000000054</v>
      </c>
      <c r="I348" s="682">
        <f>H348/D348</f>
        <v>4.2062495122603141E-2</v>
      </c>
      <c r="J348" s="672">
        <f>SUM(J314,J319,J325,J331,J337,J342)</f>
        <v>2422428.3500000006</v>
      </c>
      <c r="K348" s="669">
        <f>J348-G348</f>
        <v>-102530.05999999912</v>
      </c>
      <c r="L348" s="682">
        <f>K348/G348</f>
        <v>-4.0606633199950067E-2</v>
      </c>
      <c r="M348" s="672">
        <f>SUM(M314,M319,M325,M331,M337,M342)</f>
        <v>2476590.61</v>
      </c>
      <c r="N348" s="669">
        <f>M348-J348</f>
        <v>54162.259999999311</v>
      </c>
      <c r="O348" s="682">
        <f>N348/J348</f>
        <v>2.2358663363562147E-2</v>
      </c>
      <c r="P348" s="672">
        <f>SUM(P314,P319,P325,P331,P337,P342)</f>
        <v>2639551.7658296879</v>
      </c>
      <c r="Q348" s="669">
        <f>P348-M348</f>
        <v>162961.15582968807</v>
      </c>
      <c r="R348" s="682">
        <f>Q348/M348</f>
        <v>6.5800603124182913E-2</v>
      </c>
    </row>
    <row r="349" spans="2:18">
      <c r="B349" s="6"/>
      <c r="C349" s="664"/>
      <c r="D349" s="664"/>
      <c r="E349" s="664"/>
      <c r="F349" s="664"/>
      <c r="G349" s="664"/>
      <c r="H349" s="664"/>
      <c r="I349" s="664"/>
      <c r="J349" s="664"/>
      <c r="K349" s="664"/>
      <c r="L349" s="664"/>
      <c r="M349" s="664"/>
      <c r="N349" s="664"/>
      <c r="O349" s="664"/>
      <c r="P349" s="664"/>
    </row>
    <row r="350" spans="2:18">
      <c r="B350" s="52" t="s">
        <v>45</v>
      </c>
      <c r="C350" s="664">
        <f>'[20]2005-2014'!$J$86</f>
        <v>7694</v>
      </c>
      <c r="D350" s="664">
        <v>7700</v>
      </c>
      <c r="E350" s="664"/>
      <c r="F350" s="664"/>
      <c r="G350" s="664">
        <v>7702</v>
      </c>
      <c r="H350" s="664"/>
      <c r="I350" s="664"/>
      <c r="J350" s="664">
        <v>7701</v>
      </c>
      <c r="K350" s="664"/>
      <c r="L350" s="664"/>
      <c r="M350" s="664">
        <v>7705</v>
      </c>
      <c r="N350" s="664"/>
      <c r="O350" s="664"/>
      <c r="P350" s="664">
        <f>Summary!M42</f>
        <v>7717</v>
      </c>
    </row>
    <row r="351" spans="2:18">
      <c r="B351" s="52" t="s">
        <v>38</v>
      </c>
      <c r="C351" s="664">
        <f>'[20]2005-2014'!$K$86</f>
        <v>104537303</v>
      </c>
      <c r="D351" s="664">
        <v>106397501</v>
      </c>
      <c r="E351" s="664"/>
      <c r="F351" s="664"/>
      <c r="G351" s="664">
        <v>107193012</v>
      </c>
      <c r="H351" s="664"/>
      <c r="I351" s="664"/>
      <c r="J351" s="664">
        <v>107593001</v>
      </c>
      <c r="K351" s="664"/>
      <c r="L351" s="664"/>
      <c r="M351" s="664">
        <v>104215271.962</v>
      </c>
      <c r="N351" s="664"/>
      <c r="O351" s="664"/>
      <c r="P351" s="979">
        <f>Summary!M43</f>
        <v>101711018.28400001</v>
      </c>
    </row>
    <row r="352" spans="2:18">
      <c r="B352" s="665" t="s">
        <v>44</v>
      </c>
      <c r="C352" s="665">
        <f>'[20]2005-2014'!$L$86</f>
        <v>130796</v>
      </c>
      <c r="D352" s="665">
        <f>'[20]2005-2014'!$E$86</f>
        <v>129688</v>
      </c>
      <c r="E352" s="665"/>
      <c r="F352" s="665"/>
      <c r="G352" s="665">
        <v>137368</v>
      </c>
      <c r="H352" s="665"/>
      <c r="I352" s="665"/>
      <c r="J352" s="665">
        <v>135869</v>
      </c>
      <c r="K352" s="665"/>
      <c r="L352" s="665"/>
      <c r="M352" s="665">
        <v>128898.04000000001</v>
      </c>
      <c r="N352" s="665"/>
      <c r="O352" s="665"/>
      <c r="P352" s="742">
        <f>Summary!M44</f>
        <v>117849</v>
      </c>
    </row>
    <row r="353" spans="2:16">
      <c r="B353" s="607" t="s">
        <v>375</v>
      </c>
      <c r="C353" s="664">
        <f>'[20]2005-2014'!$M$86</f>
        <v>2423306</v>
      </c>
      <c r="D353" s="607">
        <f>'[20]2005-2014'!$F$86</f>
        <v>2423039.3299999991</v>
      </c>
      <c r="G353" s="665">
        <v>2524958.4099999997</v>
      </c>
      <c r="J353" s="607">
        <f>'[20]2005-2014'!$F$106</f>
        <v>2422428.3500000006</v>
      </c>
      <c r="M353" s="607">
        <f>'[20]2005-2014'!$F$116</f>
        <v>2476590.61</v>
      </c>
      <c r="P353" s="640">
        <f>'[18]2016 Test Yr On Existing Rates'!$J$29</f>
        <v>2639551.7658296879</v>
      </c>
    </row>
    <row r="354" spans="2:16" ht="15">
      <c r="B354" s="599" t="s">
        <v>11</v>
      </c>
    </row>
    <row r="355" spans="2:16">
      <c r="B355" s="607" t="s">
        <v>45</v>
      </c>
      <c r="C355" s="666">
        <f t="shared" ref="C355:D357" si="30">C345-C350</f>
        <v>0</v>
      </c>
      <c r="D355" s="666">
        <f t="shared" si="30"/>
        <v>0</v>
      </c>
      <c r="E355" s="666"/>
      <c r="F355" s="666"/>
      <c r="G355" s="666">
        <f>G345-G350</f>
        <v>0</v>
      </c>
      <c r="H355" s="666"/>
      <c r="I355" s="666"/>
      <c r="J355" s="666">
        <f>J345-J350</f>
        <v>0</v>
      </c>
      <c r="K355" s="666"/>
      <c r="L355" s="666"/>
      <c r="M355" s="666">
        <f>M345-M350</f>
        <v>0</v>
      </c>
      <c r="N355" s="666"/>
      <c r="O355" s="666"/>
      <c r="P355" s="666">
        <f>P345-P350</f>
        <v>0</v>
      </c>
    </row>
    <row r="356" spans="2:16">
      <c r="B356" s="607" t="s">
        <v>38</v>
      </c>
      <c r="C356" s="666">
        <f t="shared" si="30"/>
        <v>0</v>
      </c>
      <c r="D356" s="666">
        <f t="shared" si="30"/>
        <v>0</v>
      </c>
      <c r="E356" s="666"/>
      <c r="F356" s="666"/>
      <c r="G356" s="666">
        <f>G346-G351</f>
        <v>0</v>
      </c>
      <c r="H356" s="666"/>
      <c r="I356" s="666"/>
      <c r="J356" s="666">
        <f>J346-J351</f>
        <v>0</v>
      </c>
      <c r="K356" s="666"/>
      <c r="L356" s="666"/>
      <c r="M356" s="666">
        <f>M346-M351</f>
        <v>0</v>
      </c>
      <c r="N356" s="666"/>
      <c r="O356" s="666"/>
      <c r="P356" s="666">
        <f>P346-P351</f>
        <v>0</v>
      </c>
    </row>
    <row r="357" spans="2:16">
      <c r="B357" s="607" t="s">
        <v>44</v>
      </c>
      <c r="C357" s="666">
        <f t="shared" si="30"/>
        <v>0</v>
      </c>
      <c r="D357" s="666">
        <f t="shared" si="30"/>
        <v>0</v>
      </c>
      <c r="E357" s="666"/>
      <c r="F357" s="666"/>
      <c r="G357" s="666">
        <f>G347-G352</f>
        <v>0</v>
      </c>
      <c r="H357" s="666"/>
      <c r="I357" s="666"/>
      <c r="J357" s="666">
        <f>J347-J352</f>
        <v>0</v>
      </c>
      <c r="K357" s="666"/>
      <c r="L357" s="666"/>
      <c r="M357" s="666">
        <f>M347-M352</f>
        <v>0</v>
      </c>
      <c r="N357" s="666"/>
      <c r="O357" s="666"/>
      <c r="P357" s="666">
        <f>P347-P352</f>
        <v>0</v>
      </c>
    </row>
    <row r="358" spans="2:16">
      <c r="B358" s="607" t="s">
        <v>375</v>
      </c>
      <c r="C358" s="666">
        <f>C348-C353</f>
        <v>0</v>
      </c>
      <c r="D358" s="666">
        <f>D348-D353</f>
        <v>0</v>
      </c>
      <c r="E358" s="666"/>
      <c r="F358" s="666"/>
      <c r="G358" s="666">
        <f>G348-G353</f>
        <v>0</v>
      </c>
      <c r="H358" s="666"/>
      <c r="I358" s="666"/>
      <c r="J358" s="666">
        <f>J348-J353</f>
        <v>0</v>
      </c>
      <c r="K358" s="666"/>
      <c r="L358" s="666"/>
      <c r="M358" s="666">
        <f>M348-M353</f>
        <v>0</v>
      </c>
      <c r="N358" s="666"/>
      <c r="O358" s="666"/>
      <c r="P358" s="979">
        <f>P348-P353</f>
        <v>0</v>
      </c>
    </row>
    <row r="359" spans="2:16">
      <c r="C359" s="666"/>
      <c r="D359" s="666"/>
      <c r="E359" s="666"/>
      <c r="F359" s="666"/>
      <c r="G359" s="666"/>
      <c r="H359" s="666"/>
      <c r="I359" s="666"/>
      <c r="J359" s="666"/>
      <c r="K359" s="666"/>
      <c r="L359" s="666"/>
      <c r="M359" s="666"/>
      <c r="N359" s="666"/>
      <c r="O359" s="666"/>
      <c r="P359" s="666"/>
    </row>
    <row r="360" spans="2:16">
      <c r="C360" s="666"/>
      <c r="D360" s="666"/>
      <c r="E360" s="666"/>
      <c r="F360" s="666"/>
      <c r="G360" s="666"/>
      <c r="H360" s="666"/>
      <c r="I360" s="666"/>
      <c r="J360" s="666"/>
      <c r="K360" s="666"/>
      <c r="L360" s="666"/>
      <c r="M360" s="666"/>
      <c r="N360" s="666"/>
      <c r="O360" s="666"/>
      <c r="P360" s="666"/>
    </row>
    <row r="361" spans="2:16" ht="15">
      <c r="B361" s="599" t="s">
        <v>491</v>
      </c>
      <c r="C361" s="666"/>
      <c r="D361" s="666"/>
      <c r="E361" s="666"/>
      <c r="F361" s="666"/>
      <c r="G361" s="666"/>
      <c r="H361" s="666"/>
      <c r="I361" s="666"/>
      <c r="J361" s="666"/>
      <c r="K361" s="666"/>
      <c r="L361" s="666"/>
      <c r="M361" s="666"/>
      <c r="N361" s="666"/>
      <c r="O361" s="666"/>
      <c r="P361" s="666"/>
    </row>
    <row r="362" spans="2:16" ht="15" thickBot="1">
      <c r="C362" s="666"/>
      <c r="D362" s="666"/>
      <c r="E362" s="666"/>
      <c r="F362" s="666"/>
      <c r="G362" s="666"/>
      <c r="I362" s="666"/>
      <c r="K362" s="666"/>
      <c r="L362" s="666"/>
      <c r="M362" s="666"/>
      <c r="N362" s="666"/>
      <c r="O362" s="666"/>
      <c r="P362" s="666"/>
    </row>
    <row r="363" spans="2:16" ht="24" customHeight="1" thickTop="1">
      <c r="B363" s="980"/>
      <c r="C363" s="984" t="str">
        <f>C309</f>
        <v>2012 Board Approved</v>
      </c>
      <c r="D363" s="985" t="str">
        <f>D309</f>
        <v xml:space="preserve">2012 Actual </v>
      </c>
      <c r="E363" s="1208" t="str">
        <f>E309</f>
        <v>Variance</v>
      </c>
      <c r="F363" s="1209">
        <f>F309</f>
        <v>0</v>
      </c>
      <c r="G363" s="666"/>
      <c r="H363" s="692" t="s">
        <v>388</v>
      </c>
      <c r="I363" s="666"/>
      <c r="J363" s="666"/>
      <c r="K363" s="666"/>
      <c r="L363" s="666"/>
      <c r="M363" s="666"/>
      <c r="N363" s="666"/>
      <c r="O363" s="666"/>
      <c r="P363" s="666"/>
    </row>
    <row r="364" spans="2:16" ht="12.95" customHeight="1">
      <c r="B364" s="826"/>
      <c r="C364" s="981"/>
      <c r="D364" s="981"/>
      <c r="E364" s="981"/>
      <c r="F364" s="982" t="s">
        <v>159</v>
      </c>
      <c r="G364" s="666"/>
      <c r="H364" s="607" t="s">
        <v>385</v>
      </c>
      <c r="K364" s="693">
        <f>L364*M364*7</f>
        <v>-87234.000000000015</v>
      </c>
      <c r="L364" s="664">
        <v>5025</v>
      </c>
      <c r="M364" s="688">
        <f>10.28-12.76</f>
        <v>-2.4800000000000004</v>
      </c>
      <c r="N364" s="666"/>
      <c r="O364" s="666"/>
      <c r="P364" s="666"/>
    </row>
    <row r="365" spans="2:16" ht="12.95" customHeight="1">
      <c r="B365" s="827" t="str">
        <f t="shared" ref="B365:B401" si="31">B311</f>
        <v xml:space="preserve">Residential </v>
      </c>
      <c r="C365" s="667"/>
      <c r="D365" s="667"/>
      <c r="E365" s="667"/>
      <c r="F365" s="673"/>
      <c r="G365" s="666"/>
      <c r="H365" s="607" t="s">
        <v>386</v>
      </c>
      <c r="K365" s="693">
        <f>L365*M365</f>
        <v>-68791.070600000006</v>
      </c>
      <c r="L365" s="664">
        <f>D367*7/12</f>
        <v>24568239.5</v>
      </c>
      <c r="M365" s="689">
        <f>0.0117-0.0145</f>
        <v>-2.8000000000000004E-3</v>
      </c>
      <c r="N365" s="666"/>
      <c r="O365" s="666"/>
      <c r="P365" s="666"/>
    </row>
    <row r="366" spans="2:16" ht="12.95" customHeight="1">
      <c r="B366" s="828" t="str">
        <f t="shared" si="31"/>
        <v xml:space="preserve">  Customers</v>
      </c>
      <c r="C366" s="668">
        <f t="shared" ref="C366:D369" si="32">C312</f>
        <v>5016</v>
      </c>
      <c r="D366" s="668">
        <f t="shared" si="32"/>
        <v>5025</v>
      </c>
      <c r="E366" s="668">
        <f>D366-C366</f>
        <v>9</v>
      </c>
      <c r="F366" s="679">
        <f>E366/C366</f>
        <v>1.7942583732057417E-3</v>
      </c>
      <c r="G366" s="666">
        <f>F366-F312</f>
        <v>0</v>
      </c>
      <c r="H366" s="607" t="s">
        <v>387</v>
      </c>
      <c r="K366" s="693">
        <f>L366*M366</f>
        <v>-31748.036800000005</v>
      </c>
      <c r="L366" s="664">
        <f>E367</f>
        <v>-2467464</v>
      </c>
      <c r="M366" s="690">
        <f>0.0117*7/12+0.0145*5/12</f>
        <v>1.2866666666666669E-2</v>
      </c>
      <c r="N366" s="666"/>
      <c r="O366" s="666"/>
      <c r="P366" s="666"/>
    </row>
    <row r="367" spans="2:16" ht="12.95" customHeight="1">
      <c r="B367" s="828" t="str">
        <f t="shared" si="31"/>
        <v xml:space="preserve">  kWh</v>
      </c>
      <c r="C367" s="668">
        <f t="shared" si="32"/>
        <v>44584446</v>
      </c>
      <c r="D367" s="668">
        <f t="shared" si="32"/>
        <v>42116982</v>
      </c>
      <c r="E367" s="668">
        <f>D367-C367</f>
        <v>-2467464</v>
      </c>
      <c r="F367" s="679">
        <f>E367/C367</f>
        <v>-5.5343605705003039E-2</v>
      </c>
      <c r="G367" s="666">
        <f t="shared" ref="G367:G402" si="33">F367-F313</f>
        <v>0</v>
      </c>
      <c r="H367" s="607" t="s">
        <v>390</v>
      </c>
      <c r="K367" s="683">
        <f>L367*M367*8</f>
        <v>16079.999999999996</v>
      </c>
      <c r="L367" s="666">
        <f>L364</f>
        <v>5025</v>
      </c>
      <c r="M367" s="607">
        <f>2.5-2.1</f>
        <v>0.39999999999999991</v>
      </c>
      <c r="N367" s="666"/>
      <c r="O367" s="666"/>
      <c r="P367" s="666"/>
    </row>
    <row r="368" spans="2:16" ht="12.95" customHeight="1">
      <c r="B368" s="829" t="str">
        <f t="shared" si="31"/>
        <v xml:space="preserve">  Revenue</v>
      </c>
      <c r="C368" s="683">
        <f t="shared" si="32"/>
        <v>1415689</v>
      </c>
      <c r="D368" s="683">
        <f t="shared" si="32"/>
        <v>1471752.2499999995</v>
      </c>
      <c r="E368" s="668">
        <f>D368-C368</f>
        <v>56063.249999999534</v>
      </c>
      <c r="F368" s="679">
        <f>E368/C368</f>
        <v>3.9601388440539932E-2</v>
      </c>
      <c r="G368" s="666">
        <f t="shared" si="33"/>
        <v>0</v>
      </c>
      <c r="H368" s="666" t="s">
        <v>433</v>
      </c>
      <c r="I368" s="666"/>
      <c r="K368" s="693">
        <v>375000</v>
      </c>
      <c r="L368" s="665"/>
      <c r="M368" s="688"/>
      <c r="N368" s="666"/>
      <c r="O368" s="666"/>
      <c r="P368" s="666"/>
    </row>
    <row r="369" spans="2:16" ht="12.95" customHeight="1">
      <c r="B369" s="830" t="str">
        <f t="shared" si="31"/>
        <v xml:space="preserve">  Average Usage per Customer per Month </v>
      </c>
      <c r="C369" s="678">
        <f t="shared" si="32"/>
        <v>740.7038476874003</v>
      </c>
      <c r="D369" s="678">
        <f t="shared" si="32"/>
        <v>698.4574129353233</v>
      </c>
      <c r="E369" s="678">
        <f>D369-C369</f>
        <v>-42.246434752076993</v>
      </c>
      <c r="F369" s="680">
        <f>E369/C369</f>
        <v>-5.7035527605232963E-2</v>
      </c>
      <c r="G369" s="666">
        <f t="shared" si="33"/>
        <v>0</v>
      </c>
      <c r="H369" s="666" t="s">
        <v>383</v>
      </c>
      <c r="I369" s="666"/>
      <c r="K369" s="683">
        <v>-21000</v>
      </c>
      <c r="L369" s="665"/>
      <c r="M369" s="688"/>
      <c r="N369" s="666"/>
      <c r="O369" s="666"/>
      <c r="P369" s="666"/>
    </row>
    <row r="370" spans="2:16" ht="12.95" customHeight="1">
      <c r="B370" s="831" t="str">
        <f t="shared" si="31"/>
        <v>General Service &lt; 50 kW</v>
      </c>
      <c r="C370" s="676"/>
      <c r="D370" s="676"/>
      <c r="E370" s="676"/>
      <c r="F370" s="681"/>
      <c r="G370" s="666">
        <f t="shared" si="33"/>
        <v>0</v>
      </c>
      <c r="H370" s="687" t="s">
        <v>384</v>
      </c>
      <c r="I370" s="687"/>
      <c r="J370" s="687"/>
      <c r="K370" s="695">
        <v>-107000</v>
      </c>
      <c r="L370" s="688"/>
      <c r="M370" s="688"/>
      <c r="N370" s="666"/>
      <c r="O370" s="666"/>
      <c r="P370" s="666"/>
    </row>
    <row r="371" spans="2:16" ht="12.95" customHeight="1">
      <c r="B371" s="828" t="str">
        <f t="shared" si="31"/>
        <v xml:space="preserve">  Customers</v>
      </c>
      <c r="C371" s="668">
        <f t="shared" ref="C371:D374" si="34">C317</f>
        <v>770</v>
      </c>
      <c r="D371" s="668">
        <f t="shared" si="34"/>
        <v>770</v>
      </c>
      <c r="E371" s="668">
        <f>D371-C371</f>
        <v>0</v>
      </c>
      <c r="F371" s="679">
        <f>E371/C371</f>
        <v>0</v>
      </c>
      <c r="G371" s="666">
        <f t="shared" si="33"/>
        <v>0</v>
      </c>
      <c r="H371" s="666" t="s">
        <v>5</v>
      </c>
      <c r="I371" s="666"/>
      <c r="J371" s="666"/>
      <c r="K371" s="694">
        <f>SUM(K364:K370)</f>
        <v>75306.892599999963</v>
      </c>
      <c r="L371" s="688"/>
      <c r="M371" s="688"/>
      <c r="N371" s="666"/>
      <c r="O371" s="666"/>
      <c r="P371" s="666"/>
    </row>
    <row r="372" spans="2:16" ht="12.95" customHeight="1">
      <c r="B372" s="828" t="str">
        <f t="shared" si="31"/>
        <v xml:space="preserve">  kWh</v>
      </c>
      <c r="C372" s="668">
        <f t="shared" si="34"/>
        <v>19806496</v>
      </c>
      <c r="D372" s="668">
        <f t="shared" si="34"/>
        <v>19669183</v>
      </c>
      <c r="E372" s="668">
        <f>D372-C372</f>
        <v>-137313</v>
      </c>
      <c r="F372" s="679">
        <f>E372/C372</f>
        <v>-6.9327255058138498E-3</v>
      </c>
      <c r="G372" s="666">
        <f t="shared" si="33"/>
        <v>0</v>
      </c>
      <c r="H372" s="599" t="s">
        <v>236</v>
      </c>
      <c r="K372" s="683"/>
      <c r="L372" s="688"/>
      <c r="M372" s="688"/>
      <c r="N372" s="666"/>
      <c r="O372" s="666"/>
      <c r="P372" s="666"/>
    </row>
    <row r="373" spans="2:16" ht="12.95" customHeight="1">
      <c r="B373" s="829" t="str">
        <f t="shared" si="31"/>
        <v xml:space="preserve">  Revenue</v>
      </c>
      <c r="C373" s="683">
        <f t="shared" si="34"/>
        <v>450671</v>
      </c>
      <c r="D373" s="683">
        <f t="shared" si="34"/>
        <v>466848.19</v>
      </c>
      <c r="E373" s="668">
        <f>D373-C373</f>
        <v>16177.190000000002</v>
      </c>
      <c r="F373" s="679">
        <f>E373/C373</f>
        <v>3.5895786505011421E-2</v>
      </c>
      <c r="G373" s="666">
        <f t="shared" si="33"/>
        <v>0</v>
      </c>
      <c r="H373" s="607" t="s">
        <v>385</v>
      </c>
      <c r="K373" s="693">
        <f>L373*M373*7</f>
        <v>-27974.100000000006</v>
      </c>
      <c r="L373" s="664">
        <v>770</v>
      </c>
      <c r="M373" s="688">
        <f>24.34-29.53</f>
        <v>-5.1900000000000013</v>
      </c>
      <c r="N373" s="666"/>
      <c r="O373" s="666"/>
      <c r="P373" s="666"/>
    </row>
    <row r="374" spans="2:16" ht="12.95" customHeight="1">
      <c r="B374" s="830" t="str">
        <f t="shared" si="31"/>
        <v xml:space="preserve">  Average Usage per Customer per Month </v>
      </c>
      <c r="C374" s="678">
        <f t="shared" si="34"/>
        <v>2143.5601731601732</v>
      </c>
      <c r="D374" s="678">
        <f t="shared" si="34"/>
        <v>2128.6994588744587</v>
      </c>
      <c r="E374" s="678">
        <f>D374-C374</f>
        <v>-14.860714285714494</v>
      </c>
      <c r="F374" s="680">
        <f>E374/C374</f>
        <v>-6.932725505813947E-3</v>
      </c>
      <c r="G374" s="666">
        <f t="shared" si="33"/>
        <v>0</v>
      </c>
      <c r="H374" s="607" t="s">
        <v>386</v>
      </c>
      <c r="K374" s="693">
        <f>L374*M374</f>
        <v>-18357.904133333323</v>
      </c>
      <c r="L374" s="664">
        <f>D372*7/12</f>
        <v>11473690.083333334</v>
      </c>
      <c r="M374" s="689">
        <f>0.0074-0.009</f>
        <v>-1.599999999999999E-3</v>
      </c>
      <c r="N374" s="666"/>
      <c r="O374" s="666"/>
      <c r="P374" s="666"/>
    </row>
    <row r="375" spans="2:16" ht="12.95" customHeight="1">
      <c r="B375" s="831" t="str">
        <f t="shared" si="31"/>
        <v>General Service 50 to 4,999 kW</v>
      </c>
      <c r="C375" s="676"/>
      <c r="D375" s="676"/>
      <c r="E375" s="676"/>
      <c r="F375" s="681"/>
      <c r="G375" s="666">
        <f t="shared" si="33"/>
        <v>0</v>
      </c>
      <c r="H375" s="607" t="s">
        <v>387</v>
      </c>
      <c r="K375" s="683">
        <f>L375*M375</f>
        <v>-1107.6582000000001</v>
      </c>
      <c r="L375" s="664">
        <f>E372</f>
        <v>-137313</v>
      </c>
      <c r="M375" s="690">
        <f>0.0074*7/12+0.009*5/12</f>
        <v>8.0666666666666664E-3</v>
      </c>
      <c r="N375" s="666"/>
      <c r="O375" s="666"/>
      <c r="P375" s="666"/>
    </row>
    <row r="376" spans="2:16" ht="12.95" customHeight="1">
      <c r="B376" s="828" t="str">
        <f t="shared" si="31"/>
        <v xml:space="preserve">  Customers</v>
      </c>
      <c r="C376" s="668">
        <f t="shared" ref="C376:D380" si="35">C322</f>
        <v>66</v>
      </c>
      <c r="D376" s="668">
        <f t="shared" si="35"/>
        <v>67</v>
      </c>
      <c r="E376" s="668">
        <f>D376-C376</f>
        <v>1</v>
      </c>
      <c r="F376" s="679">
        <f>E376/C376</f>
        <v>1.5151515151515152E-2</v>
      </c>
      <c r="G376" s="666">
        <f t="shared" si="33"/>
        <v>0</v>
      </c>
      <c r="H376" s="666" t="s">
        <v>433</v>
      </c>
      <c r="I376" s="666"/>
      <c r="K376" s="693">
        <v>58000</v>
      </c>
      <c r="L376" s="665"/>
      <c r="M376" s="688"/>
      <c r="N376" s="666"/>
      <c r="O376" s="666"/>
      <c r="P376" s="666"/>
    </row>
    <row r="377" spans="2:16" ht="12.95" customHeight="1">
      <c r="B377" s="828" t="str">
        <f t="shared" si="31"/>
        <v xml:space="preserve">  kWh</v>
      </c>
      <c r="C377" s="668">
        <f t="shared" si="35"/>
        <v>38166401</v>
      </c>
      <c r="D377" s="668">
        <f t="shared" si="35"/>
        <v>42549997</v>
      </c>
      <c r="E377" s="668">
        <f>D377-C377</f>
        <v>4383596</v>
      </c>
      <c r="F377" s="679">
        <f>E377/C377</f>
        <v>0.11485484313807844</v>
      </c>
      <c r="G377" s="666">
        <f t="shared" si="33"/>
        <v>0</v>
      </c>
      <c r="H377" s="666" t="s">
        <v>383</v>
      </c>
      <c r="I377" s="666"/>
      <c r="K377" s="683">
        <v>-9421</v>
      </c>
      <c r="L377" s="665"/>
      <c r="M377" s="688"/>
      <c r="N377" s="666"/>
      <c r="O377" s="666"/>
      <c r="P377" s="666"/>
    </row>
    <row r="378" spans="2:16" ht="12.95" customHeight="1">
      <c r="B378" s="828" t="str">
        <f t="shared" si="31"/>
        <v xml:space="preserve">  kW</v>
      </c>
      <c r="C378" s="668">
        <f t="shared" si="35"/>
        <v>126652</v>
      </c>
      <c r="D378" s="668">
        <f t="shared" si="35"/>
        <v>125469</v>
      </c>
      <c r="E378" s="668">
        <f>D378-C378</f>
        <v>-1183</v>
      </c>
      <c r="F378" s="679">
        <f>E378/C378</f>
        <v>-9.3405552221836208E-3</v>
      </c>
      <c r="G378" s="666">
        <f t="shared" si="33"/>
        <v>0</v>
      </c>
      <c r="H378" s="687" t="s">
        <v>389</v>
      </c>
      <c r="I378" s="687"/>
      <c r="J378" s="687"/>
      <c r="K378" s="678">
        <v>1977</v>
      </c>
      <c r="L378" s="688"/>
      <c r="M378" s="688"/>
      <c r="N378" s="666"/>
      <c r="O378" s="666"/>
      <c r="P378" s="666"/>
    </row>
    <row r="379" spans="2:16" ht="12.95" customHeight="1">
      <c r="B379" s="829" t="str">
        <f t="shared" si="31"/>
        <v xml:space="preserve">  Revenue</v>
      </c>
      <c r="C379" s="683">
        <f t="shared" si="35"/>
        <v>423173</v>
      </c>
      <c r="D379" s="683">
        <f t="shared" si="35"/>
        <v>367847.63000000006</v>
      </c>
      <c r="E379" s="668">
        <f>D379-C379</f>
        <v>-55325.369999999937</v>
      </c>
      <c r="F379" s="679">
        <f>E379/C379</f>
        <v>-0.13073936664201152</v>
      </c>
      <c r="G379" s="666">
        <f t="shared" si="33"/>
        <v>0</v>
      </c>
      <c r="H379" s="666" t="s">
        <v>5</v>
      </c>
      <c r="I379" s="666"/>
      <c r="J379" s="666"/>
      <c r="K379" s="694">
        <f>SUM(K373:K378)</f>
        <v>3116.3376666666736</v>
      </c>
      <c r="L379" s="688"/>
      <c r="M379" s="688"/>
      <c r="N379" s="666"/>
      <c r="O379" s="666"/>
      <c r="P379" s="666"/>
    </row>
    <row r="380" spans="2:16" ht="12.95" customHeight="1">
      <c r="B380" s="830" t="str">
        <f t="shared" si="31"/>
        <v xml:space="preserve">  Average kW per Customer </v>
      </c>
      <c r="C380" s="678">
        <f t="shared" si="35"/>
        <v>1918.969696969697</v>
      </c>
      <c r="D380" s="678">
        <f t="shared" si="35"/>
        <v>1872.6716417910447</v>
      </c>
      <c r="E380" s="678">
        <f>D380-C380</f>
        <v>-46.298055178652248</v>
      </c>
      <c r="F380" s="680">
        <f>E380/C380</f>
        <v>-2.4126517084539119E-2</v>
      </c>
      <c r="G380" s="666">
        <f t="shared" si="33"/>
        <v>0</v>
      </c>
      <c r="H380" s="666"/>
      <c r="I380" s="666"/>
      <c r="J380" s="666"/>
      <c r="K380" s="683"/>
      <c r="L380" s="666"/>
      <c r="M380" s="666"/>
      <c r="N380" s="666"/>
      <c r="O380" s="666"/>
      <c r="P380" s="666"/>
    </row>
    <row r="381" spans="2:16" ht="12.95" customHeight="1">
      <c r="B381" s="831" t="str">
        <f t="shared" si="31"/>
        <v xml:space="preserve">Street Lights </v>
      </c>
      <c r="C381" s="676"/>
      <c r="D381" s="676"/>
      <c r="E381" s="676"/>
      <c r="F381" s="681"/>
      <c r="G381" s="666">
        <f t="shared" si="33"/>
        <v>0</v>
      </c>
      <c r="H381" s="599" t="s">
        <v>248</v>
      </c>
      <c r="K381" s="683"/>
      <c r="L381" s="688"/>
      <c r="M381" s="688"/>
      <c r="N381" s="666"/>
      <c r="O381" s="666"/>
      <c r="P381" s="666"/>
    </row>
    <row r="382" spans="2:16" ht="12.95" customHeight="1">
      <c r="B382" s="828" t="str">
        <f t="shared" si="31"/>
        <v xml:space="preserve">  Connections</v>
      </c>
      <c r="C382" s="668">
        <f t="shared" ref="C382:D386" si="36">C328</f>
        <v>1709</v>
      </c>
      <c r="D382" s="668">
        <f t="shared" si="36"/>
        <v>1703</v>
      </c>
      <c r="E382" s="668">
        <f>D382-C382</f>
        <v>-6</v>
      </c>
      <c r="F382" s="679">
        <f>E382/C382</f>
        <v>-3.5108250438853129E-3</v>
      </c>
      <c r="G382" s="666">
        <f t="shared" si="33"/>
        <v>0</v>
      </c>
      <c r="H382" s="607" t="s">
        <v>385</v>
      </c>
      <c r="K382" s="683">
        <f>L382*M382*7</f>
        <v>0</v>
      </c>
      <c r="L382" s="664">
        <v>67</v>
      </c>
      <c r="M382" s="688">
        <f>281.39-281.39</f>
        <v>0</v>
      </c>
      <c r="N382" s="666"/>
      <c r="O382" s="666"/>
      <c r="P382" s="666"/>
    </row>
    <row r="383" spans="2:16" ht="12.95" customHeight="1">
      <c r="B383" s="828" t="str">
        <f t="shared" si="31"/>
        <v xml:space="preserve">  kWh</v>
      </c>
      <c r="C383" s="668">
        <f t="shared" si="36"/>
        <v>1441722</v>
      </c>
      <c r="D383" s="668">
        <f t="shared" si="36"/>
        <v>1453808</v>
      </c>
      <c r="E383" s="668">
        <f>D383-C383</f>
        <v>12086</v>
      </c>
      <c r="F383" s="679">
        <f>E383/C383</f>
        <v>8.3830308478333553E-3</v>
      </c>
      <c r="G383" s="666">
        <f t="shared" si="33"/>
        <v>0</v>
      </c>
      <c r="H383" s="607" t="s">
        <v>386</v>
      </c>
      <c r="K383" s="693">
        <f>L383*M383</f>
        <v>-47054.011725000004</v>
      </c>
      <c r="L383" s="664">
        <f>D378*7/12</f>
        <v>73190.25</v>
      </c>
      <c r="M383" s="689">
        <f>1.2473-1.8902</f>
        <v>-0.64290000000000003</v>
      </c>
      <c r="N383" s="666"/>
      <c r="O383" s="666"/>
      <c r="P383" s="666"/>
    </row>
    <row r="384" spans="2:16" ht="12.95" customHeight="1">
      <c r="B384" s="828" t="str">
        <f t="shared" si="31"/>
        <v xml:space="preserve">  kW</v>
      </c>
      <c r="C384" s="668">
        <f t="shared" si="36"/>
        <v>3843</v>
      </c>
      <c r="D384" s="668">
        <f t="shared" si="36"/>
        <v>3919</v>
      </c>
      <c r="E384" s="668">
        <f>D384-C384</f>
        <v>76</v>
      </c>
      <c r="F384" s="679">
        <f>E384/C384</f>
        <v>1.9776216497527973E-2</v>
      </c>
      <c r="G384" s="666">
        <f t="shared" si="33"/>
        <v>0</v>
      </c>
      <c r="H384" s="607" t="s">
        <v>391</v>
      </c>
      <c r="K384" s="683">
        <f>L384*M384</f>
        <v>-1792.4520250000003</v>
      </c>
      <c r="L384" s="664">
        <f>E378</f>
        <v>-1183</v>
      </c>
      <c r="M384" s="690">
        <f>1.2473*7/12+1.8902*5/12</f>
        <v>1.5151750000000002</v>
      </c>
      <c r="N384" s="666"/>
      <c r="O384" s="666"/>
      <c r="P384" s="666"/>
    </row>
    <row r="385" spans="2:16" ht="12.95" customHeight="1">
      <c r="B385" s="829" t="str">
        <f t="shared" si="31"/>
        <v xml:space="preserve">  Revenue</v>
      </c>
      <c r="C385" s="683">
        <f t="shared" si="36"/>
        <v>117106</v>
      </c>
      <c r="D385" s="683">
        <f t="shared" si="36"/>
        <v>94392.629999999976</v>
      </c>
      <c r="E385" s="668">
        <f>D385-C385</f>
        <v>-22713.370000000024</v>
      </c>
      <c r="F385" s="679">
        <f>E385/C385</f>
        <v>-0.19395564702064816</v>
      </c>
      <c r="G385" s="666">
        <f t="shared" si="33"/>
        <v>0</v>
      </c>
      <c r="H385" s="666" t="s">
        <v>433</v>
      </c>
      <c r="I385" s="666"/>
      <c r="K385" s="683">
        <v>5000</v>
      </c>
      <c r="L385" s="665"/>
      <c r="M385" s="688"/>
      <c r="N385" s="666"/>
      <c r="O385" s="666"/>
      <c r="P385" s="666"/>
    </row>
    <row r="386" spans="2:16" ht="12.95" customHeight="1">
      <c r="B386" s="830" t="str">
        <f t="shared" si="31"/>
        <v xml:space="preserve">  Average kW per Connection</v>
      </c>
      <c r="C386" s="686">
        <f t="shared" si="36"/>
        <v>2.2486834406085432</v>
      </c>
      <c r="D386" s="686">
        <f t="shared" si="36"/>
        <v>2.3012331180270111</v>
      </c>
      <c r="E386" s="678">
        <f>D386-C386</f>
        <v>5.2549677418467944E-2</v>
      </c>
      <c r="F386" s="680">
        <f>E386/C386</f>
        <v>2.3369086314900263E-2</v>
      </c>
      <c r="G386" s="666">
        <f t="shared" si="33"/>
        <v>0</v>
      </c>
      <c r="H386" s="666" t="s">
        <v>383</v>
      </c>
      <c r="I386" s="666"/>
      <c r="K386" s="683">
        <v>-18000</v>
      </c>
      <c r="L386" s="665"/>
      <c r="M386" s="688"/>
      <c r="N386" s="666"/>
      <c r="O386" s="666"/>
      <c r="P386" s="666"/>
    </row>
    <row r="387" spans="2:16" ht="12.95" customHeight="1">
      <c r="B387" s="832" t="str">
        <f t="shared" si="31"/>
        <v>Sentinel Lights</v>
      </c>
      <c r="C387" s="676"/>
      <c r="D387" s="676"/>
      <c r="E387" s="676"/>
      <c r="F387" s="681"/>
      <c r="G387" s="666">
        <f t="shared" si="33"/>
        <v>0</v>
      </c>
      <c r="H387" s="687" t="s">
        <v>389</v>
      </c>
      <c r="I387" s="687"/>
      <c r="J387" s="687"/>
      <c r="K387" s="691"/>
      <c r="L387" s="688"/>
      <c r="M387" s="688"/>
      <c r="N387" s="666"/>
      <c r="O387" s="666"/>
      <c r="P387" s="666"/>
    </row>
    <row r="388" spans="2:16" ht="12.95" customHeight="1">
      <c r="B388" s="828" t="str">
        <f t="shared" si="31"/>
        <v xml:space="preserve">  Connections</v>
      </c>
      <c r="C388" s="668">
        <f t="shared" ref="C388:D392" si="37">C334</f>
        <v>75</v>
      </c>
      <c r="D388" s="668">
        <f t="shared" si="37"/>
        <v>75</v>
      </c>
      <c r="E388" s="668">
        <f>D388-C388</f>
        <v>0</v>
      </c>
      <c r="F388" s="679">
        <f>E388/C388</f>
        <v>0</v>
      </c>
      <c r="G388" s="666">
        <f t="shared" si="33"/>
        <v>0</v>
      </c>
      <c r="H388" s="666" t="s">
        <v>5</v>
      </c>
      <c r="I388" s="666"/>
      <c r="J388" s="666"/>
      <c r="K388" s="693">
        <f>SUM(K382:K387)</f>
        <v>-61846.463750000003</v>
      </c>
      <c r="L388" s="688"/>
      <c r="M388" s="688"/>
      <c r="N388" s="666"/>
      <c r="O388" s="666"/>
      <c r="P388" s="666"/>
    </row>
    <row r="389" spans="2:16" ht="12.95" customHeight="1">
      <c r="B389" s="828" t="str">
        <f t="shared" si="31"/>
        <v xml:space="preserve">  kWh</v>
      </c>
      <c r="C389" s="668">
        <f t="shared" si="37"/>
        <v>108277</v>
      </c>
      <c r="D389" s="668">
        <f t="shared" si="37"/>
        <v>108266</v>
      </c>
      <c r="E389" s="668">
        <f>D389-C389</f>
        <v>-11</v>
      </c>
      <c r="F389" s="679">
        <f>E389/C389</f>
        <v>-1.0159128900874609E-4</v>
      </c>
      <c r="G389" s="666">
        <f t="shared" si="33"/>
        <v>0</v>
      </c>
      <c r="H389" s="666"/>
      <c r="I389" s="666"/>
      <c r="J389" s="666"/>
      <c r="K389" s="666"/>
      <c r="L389" s="666"/>
      <c r="M389" s="666"/>
      <c r="N389" s="666"/>
      <c r="O389" s="666"/>
      <c r="P389" s="666"/>
    </row>
    <row r="390" spans="2:16" ht="12.95" customHeight="1">
      <c r="B390" s="828" t="str">
        <f t="shared" si="31"/>
        <v xml:space="preserve">  kW</v>
      </c>
      <c r="C390" s="668">
        <f t="shared" si="37"/>
        <v>301</v>
      </c>
      <c r="D390" s="668">
        <f t="shared" si="37"/>
        <v>300</v>
      </c>
      <c r="E390" s="668">
        <f>D390-C390</f>
        <v>-1</v>
      </c>
      <c r="F390" s="679">
        <f>E390/C390</f>
        <v>-3.3222591362126247E-3</v>
      </c>
      <c r="G390" s="666">
        <f t="shared" si="33"/>
        <v>0</v>
      </c>
      <c r="H390" s="599" t="s">
        <v>392</v>
      </c>
      <c r="K390" s="683"/>
      <c r="L390" s="688"/>
      <c r="M390" s="688"/>
      <c r="N390" s="666"/>
      <c r="O390" s="666"/>
      <c r="P390" s="666"/>
    </row>
    <row r="391" spans="2:16" ht="12.95" customHeight="1">
      <c r="B391" s="829" t="str">
        <f t="shared" si="31"/>
        <v xml:space="preserve">  Revenue</v>
      </c>
      <c r="C391" s="683">
        <f t="shared" si="37"/>
        <v>6382</v>
      </c>
      <c r="D391" s="683">
        <f t="shared" si="37"/>
        <v>4749.5100000000011</v>
      </c>
      <c r="E391" s="668">
        <f>D391-C391</f>
        <v>-1632.4899999999989</v>
      </c>
      <c r="F391" s="679">
        <f>E391/C391</f>
        <v>-0.25579598871826997</v>
      </c>
      <c r="G391" s="666">
        <f t="shared" si="33"/>
        <v>0</v>
      </c>
      <c r="H391" s="607" t="s">
        <v>385</v>
      </c>
      <c r="K391" s="693">
        <f>L391*M391*7</f>
        <v>-12397.84</v>
      </c>
      <c r="L391" s="664">
        <f>D382</f>
        <v>1703</v>
      </c>
      <c r="M391" s="688">
        <f>2.29-3.33</f>
        <v>-1.04</v>
      </c>
      <c r="N391" s="666"/>
      <c r="O391" s="666"/>
      <c r="P391" s="666"/>
    </row>
    <row r="392" spans="2:16" ht="12.95" customHeight="1">
      <c r="B392" s="830" t="str">
        <f t="shared" si="31"/>
        <v xml:space="preserve">  Average kW per Connection</v>
      </c>
      <c r="C392" s="686">
        <f t="shared" si="37"/>
        <v>4.0133333333333336</v>
      </c>
      <c r="D392" s="686">
        <f t="shared" si="37"/>
        <v>4</v>
      </c>
      <c r="E392" s="678">
        <f>D392-C392</f>
        <v>-1.3333333333333641E-2</v>
      </c>
      <c r="F392" s="680">
        <f>E392/C392</f>
        <v>-3.322259136212701E-3</v>
      </c>
      <c r="G392" s="666">
        <f t="shared" si="33"/>
        <v>0</v>
      </c>
      <c r="H392" s="607" t="s">
        <v>386</v>
      </c>
      <c r="K392" s="693">
        <f>L392*M392</f>
        <v>-9069.1211916666671</v>
      </c>
      <c r="L392" s="664">
        <f>D384*7/12</f>
        <v>2286.0833333333335</v>
      </c>
      <c r="M392" s="689">
        <f>8.7393-12.7064</f>
        <v>-3.9671000000000003</v>
      </c>
      <c r="N392" s="666"/>
      <c r="O392" s="666"/>
      <c r="P392" s="666"/>
    </row>
    <row r="393" spans="2:16" ht="12.95" customHeight="1">
      <c r="B393" s="831" t="str">
        <f t="shared" si="31"/>
        <v xml:space="preserve">Unmetered Loads </v>
      </c>
      <c r="C393" s="676"/>
      <c r="D393" s="676"/>
      <c r="E393" s="676"/>
      <c r="F393" s="681"/>
      <c r="G393" s="666">
        <f t="shared" si="33"/>
        <v>0</v>
      </c>
      <c r="H393" s="607" t="s">
        <v>391</v>
      </c>
      <c r="K393" s="683">
        <f>L393*M393</f>
        <v>760</v>
      </c>
      <c r="L393" s="664">
        <v>76</v>
      </c>
      <c r="M393" s="690">
        <v>10</v>
      </c>
      <c r="N393" s="666"/>
      <c r="O393" s="666"/>
      <c r="P393" s="666"/>
    </row>
    <row r="394" spans="2:16" ht="12.95" customHeight="1">
      <c r="B394" s="828" t="str">
        <f t="shared" si="31"/>
        <v xml:space="preserve">  Connections</v>
      </c>
      <c r="C394" s="668">
        <f t="shared" ref="C394:D397" si="38">C340</f>
        <v>58</v>
      </c>
      <c r="D394" s="668">
        <f t="shared" si="38"/>
        <v>60</v>
      </c>
      <c r="E394" s="668">
        <f>D394-C394</f>
        <v>2</v>
      </c>
      <c r="F394" s="679">
        <f>E394/C394</f>
        <v>3.4482758620689655E-2</v>
      </c>
      <c r="G394" s="666">
        <f t="shared" si="33"/>
        <v>0</v>
      </c>
      <c r="H394" s="666" t="s">
        <v>433</v>
      </c>
      <c r="I394" s="666"/>
      <c r="K394" s="683"/>
      <c r="L394" s="665"/>
      <c r="M394" s="688"/>
      <c r="N394" s="666"/>
      <c r="O394" s="666"/>
      <c r="P394" s="666"/>
    </row>
    <row r="395" spans="2:16" ht="12.95" customHeight="1">
      <c r="B395" s="828" t="str">
        <f t="shared" si="31"/>
        <v xml:space="preserve">  kWh</v>
      </c>
      <c r="C395" s="668">
        <f t="shared" si="38"/>
        <v>429961</v>
      </c>
      <c r="D395" s="668">
        <f t="shared" si="38"/>
        <v>499265</v>
      </c>
      <c r="E395" s="668">
        <f>D395-C395</f>
        <v>69304</v>
      </c>
      <c r="F395" s="679">
        <f>E395/C395</f>
        <v>0.16118671228320708</v>
      </c>
      <c r="G395" s="666">
        <f t="shared" si="33"/>
        <v>0</v>
      </c>
      <c r="H395" s="666" t="s">
        <v>383</v>
      </c>
      <c r="I395" s="666"/>
      <c r="K395" s="683"/>
      <c r="L395" s="665"/>
      <c r="M395" s="688"/>
      <c r="N395" s="666"/>
      <c r="O395" s="666"/>
      <c r="P395" s="666"/>
    </row>
    <row r="396" spans="2:16" ht="12.95" customHeight="1">
      <c r="B396" s="829" t="str">
        <f t="shared" si="31"/>
        <v xml:space="preserve">  Revenue</v>
      </c>
      <c r="C396" s="683">
        <f t="shared" si="38"/>
        <v>10285</v>
      </c>
      <c r="D396" s="683">
        <f t="shared" si="38"/>
        <v>17449.120000000003</v>
      </c>
      <c r="E396" s="668">
        <f>D396-C396</f>
        <v>7164.1200000000026</v>
      </c>
      <c r="F396" s="679">
        <f>E396/C396</f>
        <v>0.69656003889158991</v>
      </c>
      <c r="G396" s="666">
        <f t="shared" si="33"/>
        <v>0</v>
      </c>
      <c r="H396" s="687" t="s">
        <v>389</v>
      </c>
      <c r="I396" s="687"/>
      <c r="J396" s="687"/>
      <c r="K396" s="691"/>
      <c r="L396" s="688"/>
      <c r="M396" s="688"/>
      <c r="N396" s="666"/>
      <c r="O396" s="666"/>
      <c r="P396" s="666"/>
    </row>
    <row r="397" spans="2:16" ht="12.95" customHeight="1">
      <c r="B397" s="830" t="str">
        <f t="shared" si="31"/>
        <v xml:space="preserve">  Average Usage per Connection</v>
      </c>
      <c r="C397" s="678">
        <f t="shared" si="38"/>
        <v>617.7600574712643</v>
      </c>
      <c r="D397" s="678">
        <f t="shared" si="38"/>
        <v>693.4236111111112</v>
      </c>
      <c r="E397" s="678">
        <f>D397-C397</f>
        <v>75.663553639846896</v>
      </c>
      <c r="F397" s="680">
        <f>E397/C397</f>
        <v>0.12248048854043377</v>
      </c>
      <c r="G397" s="666">
        <f t="shared" si="33"/>
        <v>0</v>
      </c>
      <c r="H397" s="666" t="s">
        <v>5</v>
      </c>
      <c r="I397" s="666"/>
      <c r="J397" s="666"/>
      <c r="K397" s="693">
        <f>SUM(K391:K396)</f>
        <v>-20706.961191666669</v>
      </c>
      <c r="L397" s="688"/>
      <c r="M397" s="688"/>
      <c r="N397" s="666"/>
      <c r="O397" s="666"/>
      <c r="P397" s="666"/>
    </row>
    <row r="398" spans="2:16" ht="12.95" customHeight="1">
      <c r="B398" s="831" t="str">
        <f t="shared" si="31"/>
        <v>Total</v>
      </c>
      <c r="C398" s="676"/>
      <c r="D398" s="676"/>
      <c r="E398" s="676"/>
      <c r="F398" s="681"/>
      <c r="G398" s="666">
        <f t="shared" si="33"/>
        <v>0</v>
      </c>
      <c r="H398" s="666"/>
      <c r="I398" s="666"/>
      <c r="J398" s="666"/>
      <c r="K398" s="666"/>
      <c r="L398" s="666"/>
      <c r="M398" s="666"/>
      <c r="N398" s="666"/>
      <c r="O398" s="666"/>
      <c r="P398" s="666"/>
    </row>
    <row r="399" spans="2:16" ht="12.95" customHeight="1">
      <c r="B399" s="828" t="str">
        <f t="shared" si="31"/>
        <v xml:space="preserve">  Customer/Connections</v>
      </c>
      <c r="C399" s="983">
        <f t="shared" ref="C399:D401" si="39">C345</f>
        <v>7694</v>
      </c>
      <c r="D399" s="983">
        <f t="shared" si="39"/>
        <v>7700</v>
      </c>
      <c r="E399" s="668">
        <f>D399-C399</f>
        <v>6</v>
      </c>
      <c r="F399" s="679">
        <f>E399/C399</f>
        <v>7.7982843774369642E-4</v>
      </c>
      <c r="G399" s="666">
        <f t="shared" si="33"/>
        <v>0</v>
      </c>
      <c r="H399" s="599" t="s">
        <v>5</v>
      </c>
      <c r="K399" s="683"/>
      <c r="L399" s="666"/>
      <c r="M399" s="666"/>
      <c r="N399" s="666"/>
      <c r="O399" s="666"/>
      <c r="P399" s="666"/>
    </row>
    <row r="400" spans="2:16" ht="12.95" customHeight="1">
      <c r="B400" s="828" t="str">
        <f t="shared" si="31"/>
        <v xml:space="preserve">  kWh</v>
      </c>
      <c r="C400" s="983">
        <f t="shared" si="39"/>
        <v>104537303</v>
      </c>
      <c r="D400" s="983">
        <f t="shared" si="39"/>
        <v>106397501</v>
      </c>
      <c r="E400" s="668">
        <f>D400-C400</f>
        <v>1860198</v>
      </c>
      <c r="F400" s="679">
        <f>E400/C400</f>
        <v>1.7794585727929101E-2</v>
      </c>
      <c r="G400" s="666">
        <f t="shared" si="33"/>
        <v>0</v>
      </c>
      <c r="H400" s="607" t="s">
        <v>385</v>
      </c>
      <c r="K400" s="693">
        <f>SUM(K364,K373,K382,K391)</f>
        <v>-127605.94000000002</v>
      </c>
      <c r="L400" s="666"/>
      <c r="M400" s="666"/>
      <c r="N400" s="666"/>
      <c r="O400" s="666"/>
      <c r="P400" s="666"/>
    </row>
    <row r="401" spans="2:16" ht="12.95" customHeight="1">
      <c r="B401" s="828" t="str">
        <f t="shared" si="31"/>
        <v xml:space="preserve">  kW from applicable classes</v>
      </c>
      <c r="C401" s="983">
        <f t="shared" si="39"/>
        <v>130796</v>
      </c>
      <c r="D401" s="983">
        <f t="shared" si="39"/>
        <v>129688</v>
      </c>
      <c r="E401" s="668">
        <f>D401-C401</f>
        <v>-1108</v>
      </c>
      <c r="F401" s="679">
        <f>E401/C401</f>
        <v>-8.4712070705526155E-3</v>
      </c>
      <c r="G401" s="666">
        <f t="shared" si="33"/>
        <v>0</v>
      </c>
      <c r="H401" s="607" t="s">
        <v>386</v>
      </c>
      <c r="K401" s="693">
        <f>SUM(K365,K374,K383,K392)</f>
        <v>-143272.10764999999</v>
      </c>
      <c r="L401" s="666"/>
      <c r="M401" s="666"/>
      <c r="N401" s="666"/>
      <c r="O401" s="666"/>
      <c r="P401" s="666"/>
    </row>
    <row r="402" spans="2:16" ht="12.95" customHeight="1">
      <c r="B402" s="833" t="str">
        <f>B348</f>
        <v xml:space="preserve">  Revenue</v>
      </c>
      <c r="C402" s="669">
        <f>C348</f>
        <v>2423306</v>
      </c>
      <c r="D402" s="669">
        <f>D348</f>
        <v>2423039.3299999991</v>
      </c>
      <c r="E402" s="678">
        <f>D402-C402</f>
        <v>-266.67000000085682</v>
      </c>
      <c r="F402" s="680">
        <f>E402/C402</f>
        <v>-1.1004388220095061E-4</v>
      </c>
      <c r="G402" s="666">
        <f t="shared" si="33"/>
        <v>0</v>
      </c>
      <c r="H402" s="607" t="s">
        <v>393</v>
      </c>
      <c r="K402" s="683">
        <f>SUM(K366,K375,K384,K393)</f>
        <v>-33888.147025000006</v>
      </c>
      <c r="L402" s="666"/>
      <c r="M402" s="666"/>
      <c r="N402" s="666"/>
      <c r="O402" s="666"/>
      <c r="P402" s="666"/>
    </row>
    <row r="403" spans="2:16">
      <c r="C403" s="666"/>
      <c r="D403" s="666"/>
      <c r="E403" s="666"/>
      <c r="F403" s="666"/>
      <c r="G403" s="666"/>
      <c r="H403" s="666" t="s">
        <v>433</v>
      </c>
      <c r="I403" s="666"/>
      <c r="K403" s="693">
        <f>SUM(K368,K376,K385,K394)</f>
        <v>438000</v>
      </c>
      <c r="L403" s="666"/>
      <c r="M403" s="666"/>
      <c r="N403" s="666"/>
      <c r="O403" s="666"/>
      <c r="P403" s="666"/>
    </row>
    <row r="404" spans="2:16">
      <c r="C404" s="666"/>
      <c r="D404" s="666"/>
      <c r="E404" s="666"/>
      <c r="F404" s="666"/>
      <c r="G404" s="666"/>
      <c r="H404" s="666" t="s">
        <v>383</v>
      </c>
      <c r="I404" s="666"/>
      <c r="K404" s="683">
        <f>SUM(K369,K377,K386,K395)</f>
        <v>-48421</v>
      </c>
      <c r="L404" s="666"/>
      <c r="M404" s="666"/>
      <c r="N404" s="666"/>
      <c r="O404" s="666"/>
      <c r="P404" s="666"/>
    </row>
    <row r="405" spans="2:16">
      <c r="C405" s="666"/>
      <c r="D405" s="666"/>
      <c r="E405" s="666"/>
      <c r="F405" s="666"/>
      <c r="G405" s="666"/>
      <c r="H405" s="643" t="s">
        <v>389</v>
      </c>
      <c r="I405" s="643"/>
      <c r="J405" s="643"/>
      <c r="K405" s="696">
        <f>K378</f>
        <v>1977</v>
      </c>
      <c r="L405" s="666"/>
      <c r="M405" s="666"/>
      <c r="N405" s="666"/>
      <c r="O405" s="666"/>
      <c r="P405" s="666"/>
    </row>
    <row r="406" spans="2:16">
      <c r="C406" s="666"/>
      <c r="D406" s="666"/>
      <c r="E406" s="666"/>
      <c r="F406" s="666"/>
      <c r="G406" s="666"/>
      <c r="H406" s="687" t="s">
        <v>384</v>
      </c>
      <c r="I406" s="687"/>
      <c r="J406" s="687"/>
      <c r="K406" s="678">
        <f>K370</f>
        <v>-107000</v>
      </c>
      <c r="L406" s="666"/>
      <c r="M406" s="666"/>
      <c r="N406" s="666"/>
      <c r="O406" s="666"/>
      <c r="P406" s="666"/>
    </row>
    <row r="407" spans="2:16">
      <c r="C407" s="666"/>
      <c r="D407" s="666"/>
      <c r="E407" s="666"/>
      <c r="F407" s="666"/>
      <c r="G407" s="666"/>
      <c r="H407" s="666" t="s">
        <v>5</v>
      </c>
      <c r="I407" s="666"/>
      <c r="J407" s="666"/>
      <c r="K407" s="697">
        <f>SUM(K400:K406)</f>
        <v>-20210.194675000035</v>
      </c>
      <c r="L407" s="666"/>
      <c r="M407" s="666"/>
      <c r="N407" s="666"/>
      <c r="O407" s="666"/>
      <c r="P407" s="666"/>
    </row>
    <row r="408" spans="2:16">
      <c r="C408" s="666"/>
      <c r="D408" s="666"/>
      <c r="E408" s="666"/>
      <c r="F408" s="666"/>
      <c r="G408" s="666"/>
      <c r="H408" s="666"/>
      <c r="I408" s="666"/>
      <c r="J408" s="666"/>
      <c r="K408" s="666"/>
      <c r="L408" s="666"/>
      <c r="M408" s="666"/>
      <c r="N408" s="666"/>
      <c r="O408" s="666"/>
      <c r="P408" s="666"/>
    </row>
    <row r="409" spans="2:16">
      <c r="C409" s="666"/>
      <c r="D409" s="666"/>
      <c r="E409" s="666"/>
      <c r="F409" s="666"/>
      <c r="G409" s="666"/>
      <c r="H409" s="666"/>
      <c r="I409" s="666"/>
      <c r="J409" s="666"/>
      <c r="K409" s="666"/>
      <c r="L409" s="666"/>
      <c r="M409" s="666"/>
      <c r="N409" s="666"/>
      <c r="O409" s="666"/>
      <c r="P409" s="666"/>
    </row>
    <row r="410" spans="2:16" ht="15">
      <c r="B410" s="599" t="s">
        <v>492</v>
      </c>
      <c r="C410" s="666"/>
      <c r="D410" s="666"/>
      <c r="E410" s="666"/>
      <c r="F410" s="666"/>
      <c r="G410" s="666"/>
      <c r="H410" s="666"/>
      <c r="I410" s="666"/>
      <c r="J410" s="666"/>
      <c r="K410" s="666"/>
      <c r="L410" s="666"/>
      <c r="M410" s="666"/>
      <c r="N410" s="666"/>
      <c r="O410" s="666"/>
      <c r="P410" s="666"/>
    </row>
    <row r="411" spans="2:16" ht="17.25" customHeight="1" thickBot="1">
      <c r="C411" s="666"/>
      <c r="D411" s="666"/>
      <c r="E411" s="666"/>
      <c r="F411" s="666"/>
      <c r="G411" s="666"/>
      <c r="I411" s="666"/>
      <c r="K411" s="666"/>
      <c r="L411" s="666"/>
      <c r="M411" s="666"/>
      <c r="N411" s="666"/>
      <c r="O411" s="666"/>
      <c r="P411" s="666"/>
    </row>
    <row r="412" spans="2:16" ht="20.25" customHeight="1" thickTop="1">
      <c r="B412" s="980"/>
      <c r="C412" s="1045" t="str">
        <f>D309</f>
        <v xml:space="preserve">2012 Actual </v>
      </c>
      <c r="D412" s="1045" t="str">
        <f>G309</f>
        <v xml:space="preserve">2013 Actual </v>
      </c>
      <c r="E412" s="1045" t="str">
        <f t="shared" ref="E412:M412" si="40">E363</f>
        <v>Variance</v>
      </c>
      <c r="F412" s="1045"/>
      <c r="G412" s="666"/>
      <c r="H412" s="692" t="str">
        <f t="shared" si="40"/>
        <v>Residential revenue increase  driver</v>
      </c>
      <c r="I412" s="666"/>
      <c r="J412" s="666"/>
      <c r="K412" s="666"/>
      <c r="L412" s="666">
        <f t="shared" si="40"/>
        <v>0</v>
      </c>
      <c r="M412" s="666">
        <f t="shared" si="40"/>
        <v>0</v>
      </c>
      <c r="N412" s="666"/>
      <c r="O412" s="666"/>
      <c r="P412" s="666"/>
    </row>
    <row r="413" spans="2:16" ht="12.95" customHeight="1">
      <c r="B413" s="826"/>
      <c r="C413" s="981"/>
      <c r="D413" s="981"/>
      <c r="E413" s="981"/>
      <c r="F413" s="982" t="s">
        <v>159</v>
      </c>
      <c r="G413" s="666"/>
      <c r="K413" s="693"/>
      <c r="L413" s="664"/>
      <c r="M413" s="688"/>
      <c r="N413" s="666"/>
      <c r="O413" s="666"/>
      <c r="P413" s="666"/>
    </row>
    <row r="414" spans="2:16" ht="12.95" customHeight="1">
      <c r="B414" s="827" t="str">
        <f t="shared" ref="B414:B427" si="41">B365</f>
        <v xml:space="preserve">Residential </v>
      </c>
      <c r="C414" s="667"/>
      <c r="D414" s="667"/>
      <c r="E414" s="667"/>
      <c r="F414" s="673"/>
      <c r="G414" s="666"/>
      <c r="K414" s="693"/>
      <c r="L414" s="664"/>
      <c r="M414" s="689"/>
      <c r="N414" s="666"/>
      <c r="O414" s="666"/>
      <c r="P414" s="666"/>
    </row>
    <row r="415" spans="2:16" ht="12.95" customHeight="1">
      <c r="B415" s="828" t="str">
        <f t="shared" si="41"/>
        <v xml:space="preserve">  Customers</v>
      </c>
      <c r="C415" s="668">
        <f>D312</f>
        <v>5025</v>
      </c>
      <c r="D415" s="668">
        <f>G312</f>
        <v>5035</v>
      </c>
      <c r="E415" s="668">
        <f>D415-C415</f>
        <v>10</v>
      </c>
      <c r="F415" s="679">
        <f>E415/C415</f>
        <v>1.990049751243781E-3</v>
      </c>
      <c r="G415" s="986">
        <f>I312-F415</f>
        <v>0</v>
      </c>
      <c r="K415" s="693"/>
      <c r="L415" s="664"/>
      <c r="M415" s="690"/>
      <c r="N415" s="666"/>
      <c r="O415" s="666"/>
      <c r="P415" s="666"/>
    </row>
    <row r="416" spans="2:16" ht="12.95" customHeight="1">
      <c r="B416" s="828" t="str">
        <f t="shared" si="41"/>
        <v xml:space="preserve">  kWh</v>
      </c>
      <c r="C416" s="668">
        <f>D313</f>
        <v>42116982</v>
      </c>
      <c r="D416" s="668">
        <f>G313</f>
        <v>42764838</v>
      </c>
      <c r="E416" s="668">
        <f>D416-C416</f>
        <v>647856</v>
      </c>
      <c r="F416" s="679">
        <f>E416/C416</f>
        <v>1.5382298760153327E-2</v>
      </c>
      <c r="G416" s="986">
        <f t="shared" ref="G416:G451" si="42">I313-F416</f>
        <v>0</v>
      </c>
      <c r="K416" s="683"/>
      <c r="L416" s="666"/>
      <c r="N416" s="666"/>
      <c r="O416" s="666"/>
      <c r="P416" s="666"/>
    </row>
    <row r="417" spans="2:16" ht="12.95" customHeight="1">
      <c r="B417" s="829" t="str">
        <f t="shared" si="41"/>
        <v xml:space="preserve">  Revenue</v>
      </c>
      <c r="C417" s="683">
        <f>D314</f>
        <v>1471752.2499999995</v>
      </c>
      <c r="D417" s="683">
        <f>G314</f>
        <v>1440178.5199999996</v>
      </c>
      <c r="E417" s="668">
        <f>D417-C417</f>
        <v>-31573.729999999981</v>
      </c>
      <c r="F417" s="679">
        <f>E417/C417</f>
        <v>-2.1453155583760781E-2</v>
      </c>
      <c r="G417" s="986">
        <f t="shared" si="42"/>
        <v>0</v>
      </c>
      <c r="H417" s="666"/>
      <c r="I417" s="666"/>
      <c r="K417" s="693"/>
      <c r="L417" s="665"/>
      <c r="M417" s="688"/>
      <c r="N417" s="666"/>
      <c r="O417" s="666"/>
      <c r="P417" s="666"/>
    </row>
    <row r="418" spans="2:16" ht="12.95" customHeight="1">
      <c r="B418" s="830" t="str">
        <f t="shared" si="41"/>
        <v xml:space="preserve">  Average Usage per Customer per Month </v>
      </c>
      <c r="C418" s="678">
        <f>D315</f>
        <v>698.4574129353233</v>
      </c>
      <c r="D418" s="678">
        <f>G315</f>
        <v>707.79275074478653</v>
      </c>
      <c r="E418" s="678">
        <f>D418-C418</f>
        <v>9.3353378094632262</v>
      </c>
      <c r="F418" s="680">
        <f>E418/C418</f>
        <v>1.3365650699060835E-2</v>
      </c>
      <c r="G418" s="986">
        <f t="shared" si="42"/>
        <v>0</v>
      </c>
      <c r="H418" s="666"/>
      <c r="I418" s="666"/>
      <c r="K418" s="683"/>
      <c r="L418" s="665"/>
      <c r="M418" s="688"/>
      <c r="N418" s="666"/>
      <c r="O418" s="666"/>
      <c r="P418" s="666"/>
    </row>
    <row r="419" spans="2:16" ht="12.95" customHeight="1">
      <c r="B419" s="831" t="str">
        <f t="shared" si="41"/>
        <v>General Service &lt; 50 kW</v>
      </c>
      <c r="C419" s="676"/>
      <c r="D419" s="676"/>
      <c r="E419" s="676"/>
      <c r="F419" s="681"/>
      <c r="G419" s="986">
        <f t="shared" si="42"/>
        <v>0</v>
      </c>
      <c r="H419" s="687"/>
      <c r="I419" s="687"/>
      <c r="J419" s="687"/>
      <c r="K419" s="695"/>
      <c r="L419" s="688"/>
      <c r="M419" s="688"/>
      <c r="N419" s="666"/>
      <c r="O419" s="666"/>
      <c r="P419" s="666"/>
    </row>
    <row r="420" spans="2:16" ht="12.95" customHeight="1">
      <c r="B420" s="828" t="str">
        <f t="shared" si="41"/>
        <v xml:space="preserve">  Customers</v>
      </c>
      <c r="C420" s="668">
        <f>D317</f>
        <v>770</v>
      </c>
      <c r="D420" s="668">
        <f>G317</f>
        <v>759</v>
      </c>
      <c r="E420" s="668">
        <f>D420-C420</f>
        <v>-11</v>
      </c>
      <c r="F420" s="679">
        <f>E420/C420</f>
        <v>-1.4285714285714285E-2</v>
      </c>
      <c r="G420" s="986">
        <f t="shared" si="42"/>
        <v>0</v>
      </c>
      <c r="H420" s="666" t="str">
        <f>H371</f>
        <v>Total</v>
      </c>
      <c r="I420" s="666"/>
      <c r="J420" s="666"/>
      <c r="K420" s="694"/>
      <c r="L420" s="688"/>
      <c r="M420" s="688"/>
      <c r="N420" s="666"/>
      <c r="O420" s="666"/>
      <c r="P420" s="666"/>
    </row>
    <row r="421" spans="2:16" ht="12.95" customHeight="1">
      <c r="B421" s="828" t="str">
        <f t="shared" si="41"/>
        <v xml:space="preserve">  kWh</v>
      </c>
      <c r="C421" s="668">
        <f>D318</f>
        <v>19669183</v>
      </c>
      <c r="D421" s="668">
        <f>G318</f>
        <v>20094189</v>
      </c>
      <c r="E421" s="668">
        <f>D421-C421</f>
        <v>425006</v>
      </c>
      <c r="F421" s="679">
        <f>E421/C421</f>
        <v>2.1607709888102622E-2</v>
      </c>
      <c r="G421" s="986">
        <f t="shared" si="42"/>
        <v>0</v>
      </c>
      <c r="H421" s="599" t="str">
        <f>H372</f>
        <v>C</v>
      </c>
      <c r="K421" s="683"/>
      <c r="L421" s="688"/>
      <c r="M421" s="688"/>
      <c r="N421" s="666"/>
      <c r="O421" s="666"/>
      <c r="P421" s="666"/>
    </row>
    <row r="422" spans="2:16" ht="12.95" customHeight="1">
      <c r="B422" s="829" t="str">
        <f t="shared" si="41"/>
        <v xml:space="preserve">  Revenue</v>
      </c>
      <c r="C422" s="683">
        <f>D319</f>
        <v>466848.19</v>
      </c>
      <c r="D422" s="683">
        <f>G319</f>
        <v>496050.63999999996</v>
      </c>
      <c r="E422" s="668">
        <f>D422-C422</f>
        <v>29202.449999999953</v>
      </c>
      <c r="F422" s="679">
        <f>E422/C422</f>
        <v>6.2552347048833917E-2</v>
      </c>
      <c r="G422" s="986">
        <f t="shared" si="42"/>
        <v>0</v>
      </c>
      <c r="K422" s="693"/>
      <c r="L422" s="664"/>
      <c r="M422" s="688"/>
      <c r="N422" s="666"/>
      <c r="O422" s="666"/>
      <c r="P422" s="666"/>
    </row>
    <row r="423" spans="2:16" ht="12.95" customHeight="1">
      <c r="B423" s="830" t="str">
        <f t="shared" si="41"/>
        <v xml:space="preserve">  Average Usage per Customer per Month </v>
      </c>
      <c r="C423" s="678">
        <f>D320</f>
        <v>2128.6994588744587</v>
      </c>
      <c r="D423" s="678">
        <f>G320</f>
        <v>2206.2131093544135</v>
      </c>
      <c r="E423" s="678">
        <f>D423-C423</f>
        <v>77.513650479954777</v>
      </c>
      <c r="F423" s="680">
        <f>E423/C423</f>
        <v>3.6413618727060608E-2</v>
      </c>
      <c r="G423" s="986">
        <f t="shared" si="42"/>
        <v>0</v>
      </c>
      <c r="K423" s="693"/>
      <c r="L423" s="664"/>
      <c r="M423" s="689"/>
      <c r="N423" s="666"/>
      <c r="O423" s="666"/>
      <c r="P423" s="666"/>
    </row>
    <row r="424" spans="2:16" ht="12.95" customHeight="1">
      <c r="B424" s="831" t="str">
        <f t="shared" si="41"/>
        <v>General Service 50 to 4,999 kW</v>
      </c>
      <c r="C424" s="676"/>
      <c r="D424" s="676"/>
      <c r="E424" s="676"/>
      <c r="F424" s="681"/>
      <c r="G424" s="986">
        <f t="shared" si="42"/>
        <v>0</v>
      </c>
      <c r="K424" s="683"/>
      <c r="L424" s="664"/>
      <c r="M424" s="690"/>
      <c r="N424" s="666"/>
      <c r="O424" s="666"/>
      <c r="P424" s="666"/>
    </row>
    <row r="425" spans="2:16" ht="12.95" customHeight="1">
      <c r="B425" s="828" t="str">
        <f t="shared" si="41"/>
        <v xml:space="preserve">  Customers</v>
      </c>
      <c r="C425" s="668">
        <f>D322</f>
        <v>67</v>
      </c>
      <c r="D425" s="668">
        <f>G322</f>
        <v>65</v>
      </c>
      <c r="E425" s="668">
        <f>D425-C425</f>
        <v>-2</v>
      </c>
      <c r="F425" s="679">
        <f>E425/C425</f>
        <v>-2.9850746268656716E-2</v>
      </c>
      <c r="G425" s="986">
        <f t="shared" si="42"/>
        <v>0</v>
      </c>
      <c r="H425" s="666"/>
      <c r="I425" s="666"/>
      <c r="K425" s="693"/>
      <c r="L425" s="665"/>
      <c r="M425" s="688"/>
      <c r="N425" s="666"/>
      <c r="O425" s="666"/>
      <c r="P425" s="666"/>
    </row>
    <row r="426" spans="2:16" ht="12.95" customHeight="1">
      <c r="B426" s="828" t="str">
        <f t="shared" si="41"/>
        <v xml:space="preserve">  kWh</v>
      </c>
      <c r="C426" s="668">
        <f>D323</f>
        <v>42549997</v>
      </c>
      <c r="D426" s="668">
        <f>G323</f>
        <v>42246503</v>
      </c>
      <c r="E426" s="668">
        <f>D426-C426</f>
        <v>-303494</v>
      </c>
      <c r="F426" s="679">
        <f>E426/C426</f>
        <v>-7.1326444511852728E-3</v>
      </c>
      <c r="G426" s="986">
        <f t="shared" si="42"/>
        <v>0</v>
      </c>
      <c r="H426" s="666"/>
      <c r="I426" s="666"/>
      <c r="K426" s="683"/>
      <c r="L426" s="665"/>
      <c r="M426" s="688"/>
      <c r="N426" s="666"/>
      <c r="O426" s="666"/>
      <c r="P426" s="666"/>
    </row>
    <row r="427" spans="2:16" ht="12.95" customHeight="1">
      <c r="B427" s="828" t="str">
        <f t="shared" si="41"/>
        <v xml:space="preserve">  kW</v>
      </c>
      <c r="C427" s="668">
        <f>D324</f>
        <v>125469</v>
      </c>
      <c r="D427" s="668">
        <f>G324</f>
        <v>133148</v>
      </c>
      <c r="E427" s="668">
        <f>D427-C427</f>
        <v>7679</v>
      </c>
      <c r="F427" s="679">
        <f>E427/C427</f>
        <v>6.1202368712590362E-2</v>
      </c>
      <c r="G427" s="986">
        <f t="shared" si="42"/>
        <v>0</v>
      </c>
      <c r="H427" s="687"/>
      <c r="I427" s="687"/>
      <c r="J427" s="687"/>
      <c r="K427" s="678"/>
      <c r="L427" s="688"/>
      <c r="M427" s="688"/>
      <c r="N427" s="666"/>
      <c r="O427" s="666"/>
      <c r="P427" s="666"/>
    </row>
    <row r="428" spans="2:16" ht="12.95" customHeight="1">
      <c r="B428" s="829" t="str">
        <f t="shared" ref="B428:B445" si="43">B379</f>
        <v xml:space="preserve">  Revenue</v>
      </c>
      <c r="C428" s="683">
        <f>D325</f>
        <v>367847.63000000006</v>
      </c>
      <c r="D428" s="683">
        <f>G325</f>
        <v>449444.11</v>
      </c>
      <c r="E428" s="668">
        <f>D428-C428</f>
        <v>81596.479999999923</v>
      </c>
      <c r="F428" s="679">
        <f>E428/C428</f>
        <v>0.22182141013114562</v>
      </c>
      <c r="G428" s="986">
        <f t="shared" si="42"/>
        <v>0</v>
      </c>
      <c r="H428" s="666" t="str">
        <f>H379</f>
        <v>Total</v>
      </c>
      <c r="I428" s="666"/>
      <c r="J428" s="666"/>
      <c r="K428" s="694"/>
      <c r="L428" s="688"/>
      <c r="M428" s="688"/>
      <c r="N428" s="666"/>
      <c r="O428" s="666"/>
      <c r="P428" s="666"/>
    </row>
    <row r="429" spans="2:16" ht="12.95" customHeight="1">
      <c r="B429" s="830" t="str">
        <f t="shared" si="43"/>
        <v xml:space="preserve">  Average kW per Customer </v>
      </c>
      <c r="C429" s="678">
        <f>D326</f>
        <v>1872.6716417910447</v>
      </c>
      <c r="D429" s="678">
        <f>G326</f>
        <v>2048.4307692307693</v>
      </c>
      <c r="E429" s="678">
        <f>D429-C429</f>
        <v>175.75912743972458</v>
      </c>
      <c r="F429" s="680">
        <f>E429/C429</f>
        <v>9.3854749288362446E-2</v>
      </c>
      <c r="G429" s="986">
        <f t="shared" si="42"/>
        <v>0</v>
      </c>
      <c r="H429" s="666"/>
      <c r="I429" s="666"/>
      <c r="J429" s="666"/>
      <c r="K429" s="683"/>
      <c r="L429" s="666"/>
      <c r="M429" s="666"/>
      <c r="N429" s="666"/>
      <c r="O429" s="666"/>
      <c r="P429" s="666"/>
    </row>
    <row r="430" spans="2:16" ht="12.95" customHeight="1">
      <c r="B430" s="831" t="str">
        <f t="shared" si="43"/>
        <v xml:space="preserve">Street Lights </v>
      </c>
      <c r="C430" s="676"/>
      <c r="D430" s="676"/>
      <c r="E430" s="676"/>
      <c r="F430" s="681"/>
      <c r="G430" s="986">
        <f t="shared" si="42"/>
        <v>0</v>
      </c>
      <c r="H430" s="599" t="str">
        <f>H381</f>
        <v>I</v>
      </c>
      <c r="K430" s="683"/>
      <c r="L430" s="700">
        <v>2013</v>
      </c>
      <c r="M430" s="701">
        <v>2012</v>
      </c>
      <c r="N430" s="666"/>
      <c r="O430" s="666"/>
      <c r="P430" s="666"/>
    </row>
    <row r="431" spans="2:16" ht="12.95" customHeight="1">
      <c r="B431" s="828" t="str">
        <f t="shared" si="43"/>
        <v xml:space="preserve">  Connections</v>
      </c>
      <c r="C431" s="668">
        <f>D328</f>
        <v>1703</v>
      </c>
      <c r="D431" s="668">
        <f>G328</f>
        <v>1707</v>
      </c>
      <c r="E431" s="668">
        <f>D431-C431</f>
        <v>4</v>
      </c>
      <c r="F431" s="679">
        <f>E431/C431</f>
        <v>2.3487962419260129E-3</v>
      </c>
      <c r="G431" s="986">
        <f t="shared" si="42"/>
        <v>0</v>
      </c>
      <c r="H431" s="607" t="s">
        <v>395</v>
      </c>
      <c r="K431" s="683">
        <f>(L431-M431)*L434*8</f>
        <v>702.00000000001182</v>
      </c>
      <c r="L431" s="698">
        <v>282.74</v>
      </c>
      <c r="M431" s="698">
        <v>281.39</v>
      </c>
      <c r="N431" s="666"/>
      <c r="O431" s="666"/>
      <c r="P431" s="666"/>
    </row>
    <row r="432" spans="2:16" ht="12.95" customHeight="1">
      <c r="B432" s="828" t="str">
        <f t="shared" si="43"/>
        <v xml:space="preserve">  kWh</v>
      </c>
      <c r="C432" s="668">
        <f>D329</f>
        <v>1453808</v>
      </c>
      <c r="D432" s="668">
        <f>G329</f>
        <v>1447303</v>
      </c>
      <c r="E432" s="668">
        <f>D432-C432</f>
        <v>-6505</v>
      </c>
      <c r="F432" s="679">
        <f>E432/C432</f>
        <v>-4.4744560492169533E-3</v>
      </c>
      <c r="G432" s="986">
        <f t="shared" si="42"/>
        <v>0</v>
      </c>
      <c r="H432" s="607" t="s">
        <v>396</v>
      </c>
      <c r="K432" s="693">
        <f>(L432-M432)*L433*8/12</f>
        <v>57874.997333333326</v>
      </c>
      <c r="L432" s="699">
        <v>1.8993</v>
      </c>
      <c r="M432" s="699">
        <v>1.2473000000000001</v>
      </c>
      <c r="N432" s="666"/>
      <c r="O432" s="666"/>
      <c r="P432" s="666"/>
    </row>
    <row r="433" spans="2:16" ht="12.95" customHeight="1">
      <c r="B433" s="828" t="str">
        <f t="shared" si="43"/>
        <v xml:space="preserve">  kW</v>
      </c>
      <c r="C433" s="668">
        <f>D330</f>
        <v>3919</v>
      </c>
      <c r="D433" s="668">
        <f>G330</f>
        <v>3920</v>
      </c>
      <c r="E433" s="668">
        <f>D433-C433</f>
        <v>1</v>
      </c>
      <c r="F433" s="679">
        <f>E433/C433</f>
        <v>2.5516713447307985E-4</v>
      </c>
      <c r="G433" s="986">
        <f t="shared" si="42"/>
        <v>0</v>
      </c>
      <c r="H433" s="607" t="s">
        <v>65</v>
      </c>
      <c r="K433" s="683">
        <f>(L433-M433)*(1.8902*5/12+1.2473*7/12)</f>
        <v>11635.028825000001</v>
      </c>
      <c r="L433" s="664">
        <v>133148</v>
      </c>
      <c r="M433" s="664">
        <v>125469</v>
      </c>
      <c r="N433" s="666"/>
      <c r="O433" s="666"/>
      <c r="P433" s="666"/>
    </row>
    <row r="434" spans="2:16" ht="12.95" customHeight="1">
      <c r="B434" s="829" t="str">
        <f t="shared" si="43"/>
        <v xml:space="preserve">  Revenue</v>
      </c>
      <c r="C434" s="683">
        <f>D331</f>
        <v>94392.629999999976</v>
      </c>
      <c r="D434" s="683">
        <f>G331</f>
        <v>121371.07999999999</v>
      </c>
      <c r="E434" s="668">
        <f>D434-C434</f>
        <v>26978.450000000012</v>
      </c>
      <c r="F434" s="679">
        <f>E434/C434</f>
        <v>0.28581097909868619</v>
      </c>
      <c r="G434" s="986">
        <f t="shared" si="42"/>
        <v>0</v>
      </c>
      <c r="H434" s="666" t="s">
        <v>394</v>
      </c>
      <c r="I434" s="666"/>
      <c r="K434" s="683">
        <f>(L434-M434)*12*M431</f>
        <v>-6753.36</v>
      </c>
      <c r="L434" s="665">
        <v>65</v>
      </c>
      <c r="M434" s="688">
        <v>67</v>
      </c>
      <c r="N434" s="666"/>
      <c r="O434" s="666"/>
      <c r="P434" s="666"/>
    </row>
    <row r="435" spans="2:16" ht="12.95" customHeight="1">
      <c r="B435" s="830" t="str">
        <f t="shared" si="43"/>
        <v xml:space="preserve">  Average kW per Connection</v>
      </c>
      <c r="C435" s="686">
        <f>D332</f>
        <v>2.3012331180270111</v>
      </c>
      <c r="D435" s="686">
        <f>G332</f>
        <v>2.2964264792032805</v>
      </c>
      <c r="E435" s="678">
        <f>D435-C435</f>
        <v>-4.806638823730669E-3</v>
      </c>
      <c r="F435" s="680">
        <f>E435/C435</f>
        <v>-2.0887231224325925E-3</v>
      </c>
      <c r="G435" s="986">
        <f t="shared" si="42"/>
        <v>0</v>
      </c>
      <c r="H435" s="666" t="str">
        <f>H386</f>
        <v>1562, 1563</v>
      </c>
      <c r="I435" s="666"/>
      <c r="K435" s="683"/>
      <c r="L435" s="665">
        <f>L386</f>
        <v>0</v>
      </c>
      <c r="M435" s="688">
        <f>M386</f>
        <v>0</v>
      </c>
      <c r="N435" s="666"/>
      <c r="O435" s="666"/>
      <c r="P435" s="666"/>
    </row>
    <row r="436" spans="2:16" ht="12.95" customHeight="1">
      <c r="B436" s="832" t="str">
        <f t="shared" si="43"/>
        <v>Sentinel Lights</v>
      </c>
      <c r="C436" s="676"/>
      <c r="D436" s="676"/>
      <c r="E436" s="676"/>
      <c r="F436" s="681"/>
      <c r="G436" s="986">
        <f t="shared" si="42"/>
        <v>0</v>
      </c>
      <c r="H436" s="687" t="str">
        <f>H387</f>
        <v>LRAM</v>
      </c>
      <c r="I436" s="687"/>
      <c r="J436" s="687"/>
      <c r="K436" s="691">
        <f>L436-M436</f>
        <v>19212</v>
      </c>
      <c r="L436" s="688">
        <v>1251</v>
      </c>
      <c r="M436" s="688">
        <v>-17961</v>
      </c>
      <c r="N436" s="666"/>
      <c r="O436" s="666"/>
      <c r="P436" s="666"/>
    </row>
    <row r="437" spans="2:16" ht="12.95" customHeight="1">
      <c r="B437" s="828" t="str">
        <f t="shared" si="43"/>
        <v xml:space="preserve">  Connections</v>
      </c>
      <c r="C437" s="668">
        <f>D334</f>
        <v>75</v>
      </c>
      <c r="D437" s="668">
        <f>G334</f>
        <v>75</v>
      </c>
      <c r="E437" s="668">
        <f>D437-C437</f>
        <v>0</v>
      </c>
      <c r="F437" s="679">
        <f>E437/C437</f>
        <v>0</v>
      </c>
      <c r="G437" s="986">
        <f t="shared" si="42"/>
        <v>0</v>
      </c>
      <c r="H437" s="666" t="str">
        <f>H388</f>
        <v>Total</v>
      </c>
      <c r="I437" s="666"/>
      <c r="J437" s="666"/>
      <c r="K437" s="693">
        <f>SUM(K431:K436)</f>
        <v>82670.666158333348</v>
      </c>
      <c r="L437" s="688">
        <f t="shared" ref="L437:M445" si="44">L388</f>
        <v>0</v>
      </c>
      <c r="M437" s="688">
        <f t="shared" si="44"/>
        <v>0</v>
      </c>
      <c r="N437" s="666"/>
      <c r="O437" s="666"/>
      <c r="P437" s="666"/>
    </row>
    <row r="438" spans="2:16" ht="12.95" customHeight="1">
      <c r="B438" s="828" t="str">
        <f t="shared" si="43"/>
        <v xml:space="preserve">  kWh</v>
      </c>
      <c r="C438" s="668">
        <f>D335</f>
        <v>108266</v>
      </c>
      <c r="D438" s="668">
        <f>G335</f>
        <v>108281</v>
      </c>
      <c r="E438" s="668">
        <f>D438-C438</f>
        <v>15</v>
      </c>
      <c r="F438" s="679">
        <f>E438/C438</f>
        <v>1.385476511554874E-4</v>
      </c>
      <c r="G438" s="986">
        <f t="shared" si="42"/>
        <v>0</v>
      </c>
      <c r="H438" s="666"/>
      <c r="I438" s="666"/>
      <c r="J438" s="666"/>
      <c r="K438" s="666">
        <f t="shared" ref="K438:K445" si="45">K389</f>
        <v>0</v>
      </c>
      <c r="L438" s="666">
        <f t="shared" si="44"/>
        <v>0</v>
      </c>
      <c r="M438" s="666">
        <f t="shared" si="44"/>
        <v>0</v>
      </c>
      <c r="N438" s="666"/>
      <c r="O438" s="666"/>
      <c r="P438" s="666"/>
    </row>
    <row r="439" spans="2:16" ht="12.95" customHeight="1">
      <c r="B439" s="828" t="str">
        <f t="shared" si="43"/>
        <v xml:space="preserve">  kW</v>
      </c>
      <c r="C439" s="668">
        <f>D336</f>
        <v>300</v>
      </c>
      <c r="D439" s="668">
        <f>G336</f>
        <v>300</v>
      </c>
      <c r="E439" s="668">
        <f>D439-C439</f>
        <v>0</v>
      </c>
      <c r="F439" s="679">
        <f>E439/C439</f>
        <v>0</v>
      </c>
      <c r="G439" s="986">
        <f t="shared" si="42"/>
        <v>0</v>
      </c>
      <c r="H439" s="599" t="str">
        <f>H390</f>
        <v>ST</v>
      </c>
      <c r="K439" s="683">
        <f t="shared" si="45"/>
        <v>0</v>
      </c>
      <c r="L439" s="688">
        <f t="shared" si="44"/>
        <v>0</v>
      </c>
      <c r="M439" s="688">
        <f t="shared" si="44"/>
        <v>0</v>
      </c>
      <c r="N439" s="666"/>
      <c r="O439" s="666"/>
      <c r="P439" s="666"/>
    </row>
    <row r="440" spans="2:16" ht="12.95" customHeight="1">
      <c r="B440" s="829" t="str">
        <f t="shared" si="43"/>
        <v xml:space="preserve">  Revenue</v>
      </c>
      <c r="C440" s="683">
        <f>D337</f>
        <v>4749.5100000000011</v>
      </c>
      <c r="D440" s="683">
        <f>G337</f>
        <v>6608.08</v>
      </c>
      <c r="E440" s="668">
        <f>D440-C440</f>
        <v>1858.5699999999988</v>
      </c>
      <c r="F440" s="679">
        <f>E440/C440</f>
        <v>0.3913182623049532</v>
      </c>
      <c r="G440" s="986">
        <f t="shared" si="42"/>
        <v>0</v>
      </c>
      <c r="K440" s="693">
        <f t="shared" si="45"/>
        <v>-12397.84</v>
      </c>
      <c r="L440" s="664">
        <f t="shared" si="44"/>
        <v>1703</v>
      </c>
      <c r="M440" s="688">
        <f t="shared" si="44"/>
        <v>-1.04</v>
      </c>
      <c r="N440" s="666"/>
      <c r="O440" s="666"/>
      <c r="P440" s="666"/>
    </row>
    <row r="441" spans="2:16" ht="12.95" customHeight="1">
      <c r="B441" s="830" t="str">
        <f t="shared" si="43"/>
        <v xml:space="preserve">  Average kW per Connection</v>
      </c>
      <c r="C441" s="686">
        <f>D338</f>
        <v>4</v>
      </c>
      <c r="D441" s="686">
        <f>G338</f>
        <v>4</v>
      </c>
      <c r="E441" s="678">
        <f>D441-C441</f>
        <v>0</v>
      </c>
      <c r="F441" s="680">
        <f>E441/C441</f>
        <v>0</v>
      </c>
      <c r="G441" s="986">
        <f t="shared" si="42"/>
        <v>0</v>
      </c>
      <c r="K441" s="693">
        <f t="shared" si="45"/>
        <v>-9069.1211916666671</v>
      </c>
      <c r="L441" s="664">
        <f t="shared" si="44"/>
        <v>2286.0833333333335</v>
      </c>
      <c r="M441" s="689">
        <f t="shared" si="44"/>
        <v>-3.9671000000000003</v>
      </c>
      <c r="N441" s="666"/>
      <c r="O441" s="666"/>
      <c r="P441" s="666"/>
    </row>
    <row r="442" spans="2:16" ht="12.95" customHeight="1">
      <c r="B442" s="831" t="str">
        <f t="shared" si="43"/>
        <v xml:space="preserve">Unmetered Loads </v>
      </c>
      <c r="C442" s="676"/>
      <c r="D442" s="676"/>
      <c r="E442" s="676"/>
      <c r="F442" s="681"/>
      <c r="G442" s="986">
        <f t="shared" si="42"/>
        <v>0</v>
      </c>
      <c r="K442" s="683">
        <f t="shared" si="45"/>
        <v>760</v>
      </c>
      <c r="L442" s="664">
        <f t="shared" si="44"/>
        <v>76</v>
      </c>
      <c r="M442" s="690">
        <f t="shared" si="44"/>
        <v>10</v>
      </c>
      <c r="N442" s="666"/>
      <c r="O442" s="666"/>
      <c r="P442" s="666"/>
    </row>
    <row r="443" spans="2:16" ht="12.95" customHeight="1">
      <c r="B443" s="828" t="str">
        <f t="shared" si="43"/>
        <v xml:space="preserve">  Connections</v>
      </c>
      <c r="C443" s="668">
        <f>D340</f>
        <v>60</v>
      </c>
      <c r="D443" s="668">
        <f>G340</f>
        <v>61</v>
      </c>
      <c r="E443" s="668">
        <f>D443-C443</f>
        <v>1</v>
      </c>
      <c r="F443" s="679">
        <f>E443/C443</f>
        <v>1.6666666666666666E-2</v>
      </c>
      <c r="G443" s="986">
        <f t="shared" si="42"/>
        <v>0</v>
      </c>
      <c r="H443" s="666"/>
      <c r="I443" s="666"/>
      <c r="K443" s="683">
        <f t="shared" si="45"/>
        <v>0</v>
      </c>
      <c r="L443" s="665">
        <f t="shared" si="44"/>
        <v>0</v>
      </c>
      <c r="M443" s="688">
        <f t="shared" si="44"/>
        <v>0</v>
      </c>
      <c r="N443" s="666"/>
      <c r="O443" s="666"/>
      <c r="P443" s="666"/>
    </row>
    <row r="444" spans="2:16" ht="12.95" customHeight="1">
      <c r="B444" s="828" t="str">
        <f t="shared" si="43"/>
        <v xml:space="preserve">  kWh</v>
      </c>
      <c r="C444" s="668">
        <f>D341</f>
        <v>499265</v>
      </c>
      <c r="D444" s="668">
        <f>G341</f>
        <v>531898</v>
      </c>
      <c r="E444" s="668">
        <f>D444-C444</f>
        <v>32633</v>
      </c>
      <c r="F444" s="679">
        <f>E444/C444</f>
        <v>6.5362082260923562E-2</v>
      </c>
      <c r="G444" s="986">
        <f t="shared" si="42"/>
        <v>0</v>
      </c>
      <c r="H444" s="666"/>
      <c r="I444" s="666"/>
      <c r="K444" s="683">
        <f t="shared" si="45"/>
        <v>0</v>
      </c>
      <c r="L444" s="665">
        <f t="shared" si="44"/>
        <v>0</v>
      </c>
      <c r="M444" s="688">
        <f t="shared" si="44"/>
        <v>0</v>
      </c>
      <c r="N444" s="666"/>
      <c r="O444" s="666"/>
      <c r="P444" s="666"/>
    </row>
    <row r="445" spans="2:16" ht="12.95" customHeight="1">
      <c r="B445" s="829" t="str">
        <f t="shared" si="43"/>
        <v xml:space="preserve">  Revenue</v>
      </c>
      <c r="C445" s="683">
        <f>D342</f>
        <v>17449.120000000003</v>
      </c>
      <c r="D445" s="683">
        <f>G342</f>
        <v>11305.98</v>
      </c>
      <c r="E445" s="668">
        <f>D445-C445</f>
        <v>-6143.1400000000031</v>
      </c>
      <c r="F445" s="679">
        <f>E445/C445</f>
        <v>-0.35206016120010647</v>
      </c>
      <c r="G445" s="986">
        <f t="shared" si="42"/>
        <v>0</v>
      </c>
      <c r="H445" s="687"/>
      <c r="I445" s="687"/>
      <c r="J445" s="687"/>
      <c r="K445" s="691">
        <f t="shared" si="45"/>
        <v>0</v>
      </c>
      <c r="L445" s="688">
        <f t="shared" si="44"/>
        <v>0</v>
      </c>
      <c r="M445" s="688">
        <f t="shared" si="44"/>
        <v>0</v>
      </c>
      <c r="N445" s="666"/>
      <c r="O445" s="666"/>
      <c r="P445" s="666"/>
    </row>
    <row r="446" spans="2:16" ht="12.95" customHeight="1">
      <c r="B446" s="830" t="str">
        <f t="shared" ref="B446:M446" si="46">B397</f>
        <v xml:space="preserve">  Average Usage per Connection</v>
      </c>
      <c r="C446" s="678">
        <f>D343</f>
        <v>693.4236111111112</v>
      </c>
      <c r="D446" s="678">
        <f>G343</f>
        <v>726.63661202185801</v>
      </c>
      <c r="E446" s="678">
        <f>D446-C446</f>
        <v>33.213000910746814</v>
      </c>
      <c r="F446" s="680">
        <f>E446/C446</f>
        <v>4.7897130092711696E-2</v>
      </c>
      <c r="G446" s="986">
        <f t="shared" si="42"/>
        <v>0</v>
      </c>
      <c r="H446" s="666" t="str">
        <f t="shared" si="46"/>
        <v>Total</v>
      </c>
      <c r="I446" s="666">
        <f t="shared" si="46"/>
        <v>0</v>
      </c>
      <c r="J446" s="666">
        <f t="shared" si="46"/>
        <v>0</v>
      </c>
      <c r="K446" s="693">
        <f t="shared" si="46"/>
        <v>-20706.961191666669</v>
      </c>
      <c r="L446" s="688">
        <f t="shared" si="46"/>
        <v>0</v>
      </c>
      <c r="M446" s="688">
        <f t="shared" si="46"/>
        <v>0</v>
      </c>
      <c r="N446" s="666"/>
      <c r="O446" s="666"/>
      <c r="P446" s="666"/>
    </row>
    <row r="447" spans="2:16" ht="12.95" customHeight="1">
      <c r="B447" s="831" t="str">
        <f t="shared" ref="B447:M447" si="47">B398</f>
        <v>Total</v>
      </c>
      <c r="C447" s="676"/>
      <c r="D447" s="676"/>
      <c r="E447" s="676"/>
      <c r="F447" s="681"/>
      <c r="G447" s="986">
        <f t="shared" si="42"/>
        <v>0</v>
      </c>
      <c r="H447" s="666">
        <f t="shared" si="47"/>
        <v>0</v>
      </c>
      <c r="I447" s="666">
        <f t="shared" si="47"/>
        <v>0</v>
      </c>
      <c r="J447" s="666">
        <f t="shared" si="47"/>
        <v>0</v>
      </c>
      <c r="K447" s="666">
        <f t="shared" si="47"/>
        <v>0</v>
      </c>
      <c r="L447" s="666">
        <f t="shared" si="47"/>
        <v>0</v>
      </c>
      <c r="M447" s="666">
        <f t="shared" si="47"/>
        <v>0</v>
      </c>
      <c r="N447" s="666"/>
      <c r="O447" s="666"/>
      <c r="P447" s="666"/>
    </row>
    <row r="448" spans="2:16" ht="12.95" customHeight="1">
      <c r="B448" s="828" t="str">
        <f t="shared" ref="B448:M448" si="48">B399</f>
        <v xml:space="preserve">  Customer/Connections</v>
      </c>
      <c r="C448" s="983">
        <f>D345</f>
        <v>7700</v>
      </c>
      <c r="D448" s="983">
        <f>G345</f>
        <v>7702</v>
      </c>
      <c r="E448" s="668">
        <f>D448-C448</f>
        <v>2</v>
      </c>
      <c r="F448" s="679">
        <f>E448/C448</f>
        <v>2.5974025974025974E-4</v>
      </c>
      <c r="G448" s="986">
        <f t="shared" si="42"/>
        <v>0</v>
      </c>
      <c r="H448" s="599" t="str">
        <f t="shared" si="48"/>
        <v>Total</v>
      </c>
      <c r="I448" s="607">
        <f t="shared" si="48"/>
        <v>0</v>
      </c>
      <c r="J448" s="607">
        <f t="shared" si="48"/>
        <v>0</v>
      </c>
      <c r="K448" s="683">
        <f t="shared" si="48"/>
        <v>0</v>
      </c>
      <c r="L448" s="666">
        <f t="shared" si="48"/>
        <v>0</v>
      </c>
      <c r="M448" s="666">
        <f t="shared" si="48"/>
        <v>0</v>
      </c>
      <c r="N448" s="666"/>
      <c r="O448" s="666"/>
      <c r="P448" s="666"/>
    </row>
    <row r="449" spans="2:16" ht="12.95" customHeight="1">
      <c r="B449" s="828" t="str">
        <f t="shared" ref="B449:M449" si="49">B400</f>
        <v xml:space="preserve">  kWh</v>
      </c>
      <c r="C449" s="983">
        <f>D346</f>
        <v>106397501</v>
      </c>
      <c r="D449" s="983">
        <f>G346</f>
        <v>107193012</v>
      </c>
      <c r="E449" s="668">
        <f>D449-C449</f>
        <v>795511</v>
      </c>
      <c r="F449" s="679">
        <f>E449/C449</f>
        <v>7.4767827488730213E-3</v>
      </c>
      <c r="G449" s="986">
        <f t="shared" si="42"/>
        <v>0</v>
      </c>
      <c r="I449" s="607">
        <f t="shared" si="49"/>
        <v>0</v>
      </c>
      <c r="J449" s="607">
        <f t="shared" si="49"/>
        <v>0</v>
      </c>
      <c r="K449" s="693">
        <f t="shared" si="49"/>
        <v>-127605.94000000002</v>
      </c>
      <c r="L449" s="666">
        <f t="shared" si="49"/>
        <v>0</v>
      </c>
      <c r="M449" s="666">
        <f t="shared" si="49"/>
        <v>0</v>
      </c>
      <c r="N449" s="666"/>
      <c r="O449" s="666"/>
      <c r="P449" s="666"/>
    </row>
    <row r="450" spans="2:16" ht="12.95" customHeight="1">
      <c r="B450" s="828" t="str">
        <f t="shared" ref="B450:M450" si="50">B401</f>
        <v xml:space="preserve">  kW from applicable classes</v>
      </c>
      <c r="C450" s="983">
        <f>D347</f>
        <v>129688</v>
      </c>
      <c r="D450" s="983">
        <f>G347</f>
        <v>137368</v>
      </c>
      <c r="E450" s="668">
        <f>D450-C450</f>
        <v>7680</v>
      </c>
      <c r="F450" s="679">
        <f>E450/C450</f>
        <v>5.9219048794028749E-2</v>
      </c>
      <c r="G450" s="986">
        <f t="shared" si="42"/>
        <v>0</v>
      </c>
      <c r="I450" s="607">
        <f t="shared" si="50"/>
        <v>0</v>
      </c>
      <c r="J450" s="607">
        <f t="shared" si="50"/>
        <v>0</v>
      </c>
      <c r="K450" s="693">
        <f t="shared" si="50"/>
        <v>-143272.10764999999</v>
      </c>
      <c r="L450" s="666">
        <f t="shared" si="50"/>
        <v>0</v>
      </c>
      <c r="M450" s="666">
        <f t="shared" si="50"/>
        <v>0</v>
      </c>
      <c r="N450" s="666"/>
      <c r="O450" s="666"/>
      <c r="P450" s="666"/>
    </row>
    <row r="451" spans="2:16" ht="12.95" customHeight="1">
      <c r="B451" s="833" t="str">
        <f t="shared" ref="B451:M451" si="51">B402</f>
        <v xml:space="preserve">  Revenue</v>
      </c>
      <c r="C451" s="669">
        <f>D348</f>
        <v>2423039.3299999991</v>
      </c>
      <c r="D451" s="669">
        <f>G348</f>
        <v>2524958.4099999997</v>
      </c>
      <c r="E451" s="678">
        <f>D451-C451</f>
        <v>101919.08000000054</v>
      </c>
      <c r="F451" s="680">
        <f>E451/C451</f>
        <v>4.2062495122603141E-2</v>
      </c>
      <c r="G451" s="986">
        <f t="shared" si="42"/>
        <v>0</v>
      </c>
      <c r="I451" s="607">
        <f t="shared" si="51"/>
        <v>0</v>
      </c>
      <c r="J451" s="607">
        <f t="shared" si="51"/>
        <v>0</v>
      </c>
      <c r="K451" s="683">
        <f t="shared" si="51"/>
        <v>-33888.147025000006</v>
      </c>
      <c r="L451" s="666">
        <f t="shared" si="51"/>
        <v>0</v>
      </c>
      <c r="M451" s="666">
        <f t="shared" si="51"/>
        <v>0</v>
      </c>
      <c r="N451" s="666"/>
      <c r="O451" s="666"/>
      <c r="P451" s="666"/>
    </row>
    <row r="452" spans="2:16">
      <c r="C452" s="666"/>
      <c r="D452" s="666"/>
      <c r="E452" s="666"/>
      <c r="F452" s="666"/>
      <c r="G452" s="666"/>
      <c r="H452" s="666"/>
      <c r="I452" s="666">
        <f t="shared" ref="I452:M455" si="52">I403</f>
        <v>0</v>
      </c>
      <c r="J452" s="607">
        <f t="shared" si="52"/>
        <v>0</v>
      </c>
      <c r="K452" s="693">
        <f t="shared" si="52"/>
        <v>438000</v>
      </c>
      <c r="L452" s="666">
        <f t="shared" si="52"/>
        <v>0</v>
      </c>
      <c r="M452" s="666">
        <f t="shared" si="52"/>
        <v>0</v>
      </c>
      <c r="N452" s="666"/>
      <c r="O452" s="666"/>
      <c r="P452" s="666"/>
    </row>
    <row r="453" spans="2:16">
      <c r="C453" s="666"/>
      <c r="D453" s="666"/>
      <c r="E453" s="666"/>
      <c r="F453" s="666"/>
      <c r="G453" s="666"/>
      <c r="H453" s="666"/>
      <c r="I453" s="666">
        <f t="shared" si="52"/>
        <v>0</v>
      </c>
      <c r="J453" s="607">
        <f t="shared" si="52"/>
        <v>0</v>
      </c>
      <c r="K453" s="683">
        <f t="shared" si="52"/>
        <v>-48421</v>
      </c>
      <c r="L453" s="666">
        <f t="shared" si="52"/>
        <v>0</v>
      </c>
      <c r="M453" s="666">
        <f t="shared" si="52"/>
        <v>0</v>
      </c>
      <c r="N453" s="666"/>
      <c r="O453" s="666"/>
      <c r="P453" s="666"/>
    </row>
    <row r="454" spans="2:16">
      <c r="C454" s="666"/>
      <c r="D454" s="666"/>
      <c r="E454" s="666"/>
      <c r="F454" s="666"/>
      <c r="G454" s="666"/>
      <c r="H454" s="643"/>
      <c r="I454" s="643">
        <f t="shared" si="52"/>
        <v>0</v>
      </c>
      <c r="J454" s="643">
        <f t="shared" si="52"/>
        <v>0</v>
      </c>
      <c r="K454" s="696">
        <f t="shared" si="52"/>
        <v>1977</v>
      </c>
      <c r="L454" s="666">
        <f t="shared" si="52"/>
        <v>0</v>
      </c>
      <c r="M454" s="666">
        <f t="shared" si="52"/>
        <v>0</v>
      </c>
      <c r="N454" s="666"/>
      <c r="O454" s="666"/>
      <c r="P454" s="666"/>
    </row>
    <row r="455" spans="2:16">
      <c r="C455" s="666"/>
      <c r="D455" s="666"/>
      <c r="E455" s="666"/>
      <c r="F455" s="666"/>
      <c r="G455" s="666"/>
      <c r="H455" s="687"/>
      <c r="I455" s="687">
        <f t="shared" si="52"/>
        <v>0</v>
      </c>
      <c r="J455" s="687">
        <f t="shared" si="52"/>
        <v>0</v>
      </c>
      <c r="K455" s="678">
        <f t="shared" si="52"/>
        <v>-107000</v>
      </c>
      <c r="L455" s="666">
        <f t="shared" si="52"/>
        <v>0</v>
      </c>
      <c r="M455" s="666">
        <f t="shared" si="52"/>
        <v>0</v>
      </c>
      <c r="N455" s="666"/>
      <c r="O455" s="666"/>
      <c r="P455" s="666"/>
    </row>
    <row r="456" spans="2:16">
      <c r="C456" s="666"/>
      <c r="D456" s="666"/>
      <c r="E456" s="666"/>
      <c r="F456" s="666"/>
      <c r="G456" s="666"/>
      <c r="H456" s="643"/>
      <c r="I456" s="643"/>
      <c r="J456" s="643"/>
      <c r="K456" s="694"/>
      <c r="L456" s="666"/>
      <c r="M456" s="666"/>
      <c r="N456" s="666"/>
      <c r="O456" s="666"/>
      <c r="P456" s="666"/>
    </row>
    <row r="457" spans="2:16">
      <c r="C457" s="666"/>
      <c r="D457" s="666"/>
      <c r="E457" s="666"/>
      <c r="F457" s="666"/>
      <c r="G457" s="666"/>
      <c r="H457" s="643"/>
      <c r="I457" s="643"/>
      <c r="J457" s="643"/>
      <c r="K457" s="694"/>
      <c r="L457" s="666"/>
      <c r="M457" s="666"/>
      <c r="N457" s="666"/>
      <c r="O457" s="666"/>
      <c r="P457" s="666"/>
    </row>
    <row r="458" spans="2:16" ht="15">
      <c r="B458" s="599" t="s">
        <v>493</v>
      </c>
      <c r="C458" s="666"/>
      <c r="D458" s="666"/>
      <c r="E458" s="666"/>
      <c r="F458" s="666"/>
      <c r="G458" s="666"/>
      <c r="H458" s="666"/>
      <c r="I458" s="666"/>
      <c r="J458" s="666"/>
      <c r="K458" s="666"/>
      <c r="L458" s="666"/>
      <c r="M458" s="666"/>
      <c r="N458" s="666"/>
      <c r="O458" s="666"/>
      <c r="P458" s="666"/>
    </row>
    <row r="459" spans="2:16" ht="15" thickBot="1">
      <c r="C459" s="666"/>
      <c r="D459" s="666"/>
      <c r="E459" s="666"/>
      <c r="F459" s="666"/>
      <c r="G459" s="666"/>
      <c r="I459" s="666"/>
      <c r="K459" s="666"/>
      <c r="L459" s="666"/>
      <c r="M459" s="666"/>
      <c r="N459" s="666"/>
      <c r="O459" s="666"/>
      <c r="P459" s="666"/>
    </row>
    <row r="460" spans="2:16" ht="15.75" thickTop="1">
      <c r="B460" s="980"/>
      <c r="C460" s="1045" t="str">
        <f>G309</f>
        <v xml:space="preserve">2013 Actual </v>
      </c>
      <c r="D460" s="1045" t="str">
        <f>J309</f>
        <v xml:space="preserve">2014 Actual </v>
      </c>
      <c r="E460" s="1045" t="s">
        <v>162</v>
      </c>
      <c r="F460" s="1046"/>
      <c r="G460" s="666"/>
      <c r="H460" s="692" t="s">
        <v>403</v>
      </c>
      <c r="I460" s="666"/>
      <c r="J460" s="666"/>
      <c r="K460" s="666"/>
      <c r="L460" s="706">
        <v>2014</v>
      </c>
      <c r="M460" s="706">
        <v>2013</v>
      </c>
      <c r="N460" s="666"/>
      <c r="O460" s="666"/>
      <c r="P460" s="666"/>
    </row>
    <row r="461" spans="2:16" ht="12.95" customHeight="1">
      <c r="B461" s="826"/>
      <c r="C461" s="981"/>
      <c r="D461" s="981"/>
      <c r="E461" s="981"/>
      <c r="F461" s="982" t="s">
        <v>159</v>
      </c>
      <c r="G461" s="666"/>
      <c r="H461" s="607" t="s">
        <v>387</v>
      </c>
      <c r="K461" s="693">
        <f>(L461-M461)*M465</f>
        <v>-7175.6856666666672</v>
      </c>
      <c r="L461" s="668">
        <f>$D$464</f>
        <v>42272228</v>
      </c>
      <c r="M461" s="834">
        <f>C464</f>
        <v>42764838</v>
      </c>
      <c r="N461" s="666"/>
      <c r="O461" s="666"/>
      <c r="P461" s="666"/>
    </row>
    <row r="462" spans="2:16" ht="12.95" customHeight="1">
      <c r="B462" s="827" t="s">
        <v>1</v>
      </c>
      <c r="C462" s="667"/>
      <c r="D462" s="667"/>
      <c r="E462" s="667"/>
      <c r="F462" s="673"/>
      <c r="G462" s="666"/>
      <c r="H462" s="607" t="s">
        <v>397</v>
      </c>
      <c r="K462" s="693">
        <f>(L462-M462)*C463*4</f>
        <v>-12486.8</v>
      </c>
      <c r="L462" s="664">
        <v>0</v>
      </c>
      <c r="M462" s="702">
        <v>0.62</v>
      </c>
      <c r="N462" s="666"/>
      <c r="O462" s="666"/>
      <c r="P462" s="666"/>
    </row>
    <row r="463" spans="2:16" ht="12.95" customHeight="1">
      <c r="B463" s="828" t="s">
        <v>37</v>
      </c>
      <c r="C463" s="668">
        <f t="shared" ref="C463:C498" si="53">G312</f>
        <v>5035</v>
      </c>
      <c r="D463" s="668">
        <f t="shared" ref="D463:D498" si="54">J312</f>
        <v>5040</v>
      </c>
      <c r="E463" s="668">
        <f>D463-C463</f>
        <v>5</v>
      </c>
      <c r="F463" s="679">
        <f>E463/C463</f>
        <v>9.930486593843098E-4</v>
      </c>
      <c r="G463" s="666">
        <f>F463-L312</f>
        <v>0</v>
      </c>
      <c r="H463" s="607" t="s">
        <v>398</v>
      </c>
      <c r="K463" s="693">
        <f>(L463-M463)*M461/12*4</f>
        <v>-9978.4621999999999</v>
      </c>
      <c r="L463" s="664">
        <v>0</v>
      </c>
      <c r="M463" s="703">
        <v>6.9999999999999999E-4</v>
      </c>
      <c r="N463" s="666"/>
      <c r="O463" s="666"/>
      <c r="P463" s="666"/>
    </row>
    <row r="464" spans="2:16" ht="12.95" customHeight="1">
      <c r="B464" s="828" t="s">
        <v>38</v>
      </c>
      <c r="C464" s="668">
        <f t="shared" si="53"/>
        <v>42764838</v>
      </c>
      <c r="D464" s="668">
        <f t="shared" si="54"/>
        <v>42272228</v>
      </c>
      <c r="E464" s="668">
        <f>D464-C464</f>
        <v>-492610</v>
      </c>
      <c r="F464" s="679">
        <f>E464/C464</f>
        <v>-1.1519042817372534E-2</v>
      </c>
      <c r="G464" s="666">
        <f t="shared" ref="G464:G499" si="55">F464-L313</f>
        <v>0</v>
      </c>
      <c r="H464" s="607" t="s">
        <v>399</v>
      </c>
      <c r="K464" s="693">
        <f>(L464-M464)*C463*8</f>
        <v>-44710.799999999996</v>
      </c>
      <c r="L464" s="666">
        <v>0</v>
      </c>
      <c r="M464" s="702">
        <f>0.83+0.28</f>
        <v>1.1099999999999999</v>
      </c>
      <c r="N464" s="666"/>
      <c r="O464" s="666"/>
      <c r="P464" s="666"/>
    </row>
    <row r="465" spans="2:16" ht="12.95" customHeight="1">
      <c r="B465" s="829" t="s">
        <v>376</v>
      </c>
      <c r="C465" s="683">
        <f t="shared" si="53"/>
        <v>1440178.5199999996</v>
      </c>
      <c r="D465" s="683">
        <f t="shared" si="54"/>
        <v>1394352.4100000001</v>
      </c>
      <c r="E465" s="668">
        <f>D465-C465</f>
        <v>-45826.109999999404</v>
      </c>
      <c r="F465" s="679">
        <f>E465/C465</f>
        <v>-3.18197427357821E-2</v>
      </c>
      <c r="G465" s="666">
        <f t="shared" si="55"/>
        <v>0</v>
      </c>
      <c r="H465" s="666" t="s">
        <v>400</v>
      </c>
      <c r="I465" s="666"/>
      <c r="K465" s="693">
        <f>(L465-M465)*L461</f>
        <v>7045.3713333333644</v>
      </c>
      <c r="L465" s="704">
        <f>0.0146*4/12+0.0148*8/12</f>
        <v>1.4733333333333334E-2</v>
      </c>
      <c r="M465" s="704">
        <f>0.0145*4/12+0.0146*8/12</f>
        <v>1.4566666666666667E-2</v>
      </c>
      <c r="N465" s="666"/>
      <c r="O465" s="666"/>
      <c r="P465" s="666"/>
    </row>
    <row r="466" spans="2:16" ht="12.95" customHeight="1">
      <c r="B466" s="830" t="s">
        <v>378</v>
      </c>
      <c r="C466" s="678">
        <f t="shared" si="53"/>
        <v>707.79275074478653</v>
      </c>
      <c r="D466" s="678">
        <f t="shared" si="54"/>
        <v>698.94556878306878</v>
      </c>
      <c r="E466" s="678">
        <f>D466-C466</f>
        <v>-8.8471819617177516</v>
      </c>
      <c r="F466" s="680">
        <f>E466/C466</f>
        <v>-1.2499678687593451E-2</v>
      </c>
      <c r="G466" s="666">
        <f t="shared" si="55"/>
        <v>0</v>
      </c>
      <c r="H466" s="666" t="s">
        <v>401</v>
      </c>
      <c r="I466" s="666"/>
      <c r="K466" s="693">
        <f>(L466-M466)*D463*12</f>
        <v>8870.3999999999905</v>
      </c>
      <c r="L466" s="705">
        <f>12.82*4/12+13.02*8/12</f>
        <v>12.953333333333333</v>
      </c>
      <c r="M466" s="705">
        <f>12.78*4/12+12.82*8/12</f>
        <v>12.806666666666667</v>
      </c>
      <c r="N466" s="666"/>
      <c r="O466" s="666"/>
      <c r="P466" s="666"/>
    </row>
    <row r="467" spans="2:16" ht="12.95" customHeight="1">
      <c r="B467" s="831" t="s">
        <v>116</v>
      </c>
      <c r="C467" s="676"/>
      <c r="D467" s="676"/>
      <c r="E467" s="676"/>
      <c r="F467" s="681"/>
      <c r="G467" s="666">
        <f t="shared" si="55"/>
        <v>0</v>
      </c>
      <c r="H467" s="643" t="s">
        <v>402</v>
      </c>
      <c r="I467" s="643"/>
      <c r="J467" s="707"/>
      <c r="K467" s="695">
        <f>L467-M467</f>
        <v>-19415.93</v>
      </c>
      <c r="L467" s="688">
        <v>-6631.93</v>
      </c>
      <c r="M467" s="666">
        <v>12784</v>
      </c>
      <c r="N467" s="666"/>
      <c r="O467" s="666"/>
      <c r="P467" s="666"/>
    </row>
    <row r="468" spans="2:16" ht="12.95" customHeight="1">
      <c r="B468" s="828" t="s">
        <v>37</v>
      </c>
      <c r="C468" s="668">
        <f t="shared" si="53"/>
        <v>759</v>
      </c>
      <c r="D468" s="668">
        <f t="shared" si="54"/>
        <v>754</v>
      </c>
      <c r="E468" s="668">
        <f>D468-C468</f>
        <v>-5</v>
      </c>
      <c r="F468" s="679">
        <f>E468/C468</f>
        <v>-6.587615283267457E-3</v>
      </c>
      <c r="G468" s="666">
        <f t="shared" si="55"/>
        <v>0</v>
      </c>
      <c r="H468" s="708"/>
      <c r="I468" s="709"/>
      <c r="J468" s="709"/>
      <c r="K468" s="710">
        <f>SUM(K461:K467)</f>
        <v>-77851.906533333327</v>
      </c>
      <c r="L468" s="691"/>
      <c r="M468" s="709"/>
      <c r="N468" s="666"/>
      <c r="O468" s="666"/>
      <c r="P468" s="666"/>
    </row>
    <row r="469" spans="2:16" ht="12.95" customHeight="1">
      <c r="B469" s="828" t="s">
        <v>38</v>
      </c>
      <c r="C469" s="668">
        <f t="shared" si="53"/>
        <v>20094189</v>
      </c>
      <c r="D469" s="668">
        <f t="shared" si="54"/>
        <v>20739791</v>
      </c>
      <c r="E469" s="668">
        <f>D469-C469</f>
        <v>645602</v>
      </c>
      <c r="F469" s="679">
        <f>E469/C469</f>
        <v>3.2128791064919317E-2</v>
      </c>
      <c r="G469" s="666">
        <f t="shared" si="55"/>
        <v>0</v>
      </c>
      <c r="H469" s="607" t="s">
        <v>404</v>
      </c>
      <c r="J469" s="692" t="s">
        <v>236</v>
      </c>
      <c r="K469" s="697">
        <f>(L469-M469)*L473</f>
        <v>5853.4581333333335</v>
      </c>
      <c r="L469" s="676">
        <f>D469</f>
        <v>20739791</v>
      </c>
      <c r="M469" s="834">
        <f>C469</f>
        <v>20094189</v>
      </c>
      <c r="N469" s="666"/>
      <c r="O469" s="666"/>
      <c r="P469" s="666"/>
    </row>
    <row r="470" spans="2:16" ht="12.95" customHeight="1">
      <c r="B470" s="829" t="s">
        <v>376</v>
      </c>
      <c r="C470" s="683">
        <f t="shared" si="53"/>
        <v>496050.63999999996</v>
      </c>
      <c r="D470" s="683">
        <f t="shared" si="54"/>
        <v>456057.91000000003</v>
      </c>
      <c r="E470" s="668">
        <f>D470-C470</f>
        <v>-39992.729999999923</v>
      </c>
      <c r="F470" s="679">
        <f>E470/C470</f>
        <v>-8.0622272758281141E-2</v>
      </c>
      <c r="G470" s="666">
        <f t="shared" si="55"/>
        <v>0</v>
      </c>
      <c r="H470" s="607" t="s">
        <v>397</v>
      </c>
      <c r="K470" s="693">
        <f>(L470-M470)*C468*4</f>
        <v>-3946.8</v>
      </c>
      <c r="L470" s="664">
        <v>0</v>
      </c>
      <c r="M470" s="702">
        <v>1.3</v>
      </c>
      <c r="N470" s="666"/>
      <c r="O470" s="666"/>
      <c r="P470" s="666"/>
    </row>
    <row r="471" spans="2:16" ht="12.95" customHeight="1">
      <c r="B471" s="830" t="s">
        <v>378</v>
      </c>
      <c r="C471" s="678">
        <f t="shared" si="53"/>
        <v>2206.2131093544135</v>
      </c>
      <c r="D471" s="678">
        <f t="shared" si="54"/>
        <v>2292.1961759504861</v>
      </c>
      <c r="E471" s="678">
        <f>D471-C471</f>
        <v>85.983066596072604</v>
      </c>
      <c r="F471" s="680">
        <f>E471/C471</f>
        <v>3.8973146443333911E-2</v>
      </c>
      <c r="G471" s="666">
        <f t="shared" si="55"/>
        <v>0</v>
      </c>
      <c r="H471" s="607" t="s">
        <v>398</v>
      </c>
      <c r="K471" s="693">
        <f>(L471-M471)*M469/12*4</f>
        <v>-2679.2252000000003</v>
      </c>
      <c r="L471" s="664">
        <v>0</v>
      </c>
      <c r="M471" s="703">
        <v>4.0000000000000002E-4</v>
      </c>
      <c r="N471" s="666"/>
      <c r="O471" s="666"/>
      <c r="P471" s="666"/>
    </row>
    <row r="472" spans="2:16" ht="12.95" customHeight="1">
      <c r="B472" s="831" t="s">
        <v>299</v>
      </c>
      <c r="C472" s="676"/>
      <c r="D472" s="676"/>
      <c r="E472" s="676"/>
      <c r="F472" s="681"/>
      <c r="G472" s="666">
        <f t="shared" si="55"/>
        <v>0</v>
      </c>
      <c r="H472" s="607" t="s">
        <v>399</v>
      </c>
      <c r="K472" s="693">
        <f>(L472-M472)*C468*8</f>
        <v>-65820.479999999996</v>
      </c>
      <c r="L472" s="666">
        <v>0</v>
      </c>
      <c r="M472" s="702">
        <f>5.24+5.6</f>
        <v>10.84</v>
      </c>
      <c r="N472" s="666"/>
      <c r="O472" s="666"/>
      <c r="P472" s="666"/>
    </row>
    <row r="473" spans="2:16" ht="12.95" customHeight="1">
      <c r="B473" s="828" t="s">
        <v>37</v>
      </c>
      <c r="C473" s="668">
        <f t="shared" si="53"/>
        <v>65</v>
      </c>
      <c r="D473" s="668">
        <f t="shared" si="54"/>
        <v>64</v>
      </c>
      <c r="E473" s="668">
        <f>D473-C473</f>
        <v>-1</v>
      </c>
      <c r="F473" s="679">
        <f>E473/C473</f>
        <v>-1.5384615384615385E-2</v>
      </c>
      <c r="G473" s="666">
        <f t="shared" si="55"/>
        <v>0</v>
      </c>
      <c r="H473" s="666" t="s">
        <v>400</v>
      </c>
      <c r="I473" s="666"/>
      <c r="K473" s="693">
        <f>(L473-M473)*L469</f>
        <v>1382.6527333333609</v>
      </c>
      <c r="L473" s="704">
        <f>0.009*4/12+0.0091*8/12</f>
        <v>9.0666666666666673E-3</v>
      </c>
      <c r="M473" s="705">
        <v>8.9999999999999993E-3</v>
      </c>
      <c r="N473" s="666"/>
      <c r="O473" s="666"/>
      <c r="P473" s="666"/>
    </row>
    <row r="474" spans="2:16" ht="12.95" customHeight="1">
      <c r="B474" s="828" t="s">
        <v>38</v>
      </c>
      <c r="C474" s="668">
        <f t="shared" si="53"/>
        <v>42246503</v>
      </c>
      <c r="D474" s="668">
        <f t="shared" si="54"/>
        <v>42584416</v>
      </c>
      <c r="E474" s="668">
        <f>D474-C474</f>
        <v>337913</v>
      </c>
      <c r="F474" s="679">
        <f>E474/C474</f>
        <v>7.998602866608865E-3</v>
      </c>
      <c r="G474" s="666">
        <f t="shared" si="55"/>
        <v>0</v>
      </c>
      <c r="H474" s="666" t="s">
        <v>401</v>
      </c>
      <c r="I474" s="666"/>
      <c r="K474" s="693">
        <f>(L474-M474)*D468*12</f>
        <v>3196.9599999999855</v>
      </c>
      <c r="L474" s="705">
        <f>29.67*4/12+30.13*8/12</f>
        <v>29.976666666666667</v>
      </c>
      <c r="M474" s="705">
        <f>29.53*4/12+29.67*8/12</f>
        <v>29.623333333333335</v>
      </c>
      <c r="N474" s="666"/>
      <c r="O474" s="666"/>
      <c r="P474" s="666"/>
    </row>
    <row r="475" spans="2:16" ht="12.95" customHeight="1">
      <c r="B475" s="828" t="s">
        <v>39</v>
      </c>
      <c r="C475" s="668">
        <f t="shared" si="53"/>
        <v>133148</v>
      </c>
      <c r="D475" s="668">
        <f t="shared" si="54"/>
        <v>131947</v>
      </c>
      <c r="E475" s="668">
        <f>D475-C475</f>
        <v>-1201</v>
      </c>
      <c r="F475" s="679">
        <f>E475/C475</f>
        <v>-9.0200378526151346E-3</v>
      </c>
      <c r="G475" s="666">
        <f t="shared" si="55"/>
        <v>0</v>
      </c>
      <c r="H475" s="643" t="s">
        <v>402</v>
      </c>
      <c r="I475" s="643"/>
      <c r="J475" s="643"/>
      <c r="K475" s="693">
        <f>L475-M475</f>
        <v>-9021</v>
      </c>
      <c r="L475" s="688">
        <v>-2000</v>
      </c>
      <c r="M475" s="666">
        <v>7021</v>
      </c>
      <c r="N475" s="666"/>
      <c r="O475" s="666"/>
      <c r="P475" s="666"/>
    </row>
    <row r="476" spans="2:16" ht="12.95" customHeight="1">
      <c r="B476" s="829" t="s">
        <v>376</v>
      </c>
      <c r="C476" s="683">
        <f t="shared" si="53"/>
        <v>449444.11</v>
      </c>
      <c r="D476" s="683">
        <f t="shared" si="54"/>
        <v>436506.12</v>
      </c>
      <c r="E476" s="668">
        <f>D476-C476</f>
        <v>-12937.989999999991</v>
      </c>
      <c r="F476" s="679">
        <f>E476/C476</f>
        <v>-2.8786649356690848E-2</v>
      </c>
      <c r="G476" s="666">
        <f t="shared" si="55"/>
        <v>0</v>
      </c>
      <c r="H476" s="708"/>
      <c r="I476" s="709"/>
      <c r="J476" s="709"/>
      <c r="K476" s="710">
        <f>SUM(K469:K475)</f>
        <v>-71034.434333333324</v>
      </c>
      <c r="L476" s="691"/>
      <c r="M476" s="709"/>
      <c r="N476" s="666"/>
      <c r="O476" s="666"/>
      <c r="P476" s="666"/>
    </row>
    <row r="477" spans="2:16" ht="12.95" customHeight="1">
      <c r="B477" s="830" t="s">
        <v>379</v>
      </c>
      <c r="C477" s="678">
        <f t="shared" si="53"/>
        <v>2048.4307692307693</v>
      </c>
      <c r="D477" s="678">
        <f t="shared" si="54"/>
        <v>2061.671875</v>
      </c>
      <c r="E477" s="678">
        <f>D477-C477</f>
        <v>13.241105769230671</v>
      </c>
      <c r="F477" s="680">
        <f>E477/C477</f>
        <v>6.4640240559377055E-3</v>
      </c>
      <c r="G477" s="666">
        <f t="shared" si="55"/>
        <v>0</v>
      </c>
      <c r="H477" s="666"/>
      <c r="I477" s="666"/>
      <c r="J477" s="666"/>
      <c r="K477" s="694"/>
      <c r="L477" s="666"/>
      <c r="M477" s="666"/>
      <c r="N477" s="666"/>
      <c r="O477" s="666"/>
      <c r="P477" s="666"/>
    </row>
    <row r="478" spans="2:16" ht="12.95" customHeight="1">
      <c r="B478" s="831" t="s">
        <v>215</v>
      </c>
      <c r="C478" s="676"/>
      <c r="D478" s="676"/>
      <c r="E478" s="676"/>
      <c r="F478" s="681"/>
      <c r="G478" s="666">
        <f t="shared" si="55"/>
        <v>0</v>
      </c>
      <c r="H478" s="599"/>
      <c r="K478" s="683"/>
      <c r="L478" s="711"/>
      <c r="M478" s="666"/>
      <c r="N478" s="666"/>
      <c r="O478" s="666"/>
      <c r="P478" s="666"/>
    </row>
    <row r="479" spans="2:16" ht="12.95" customHeight="1">
      <c r="B479" s="828" t="s">
        <v>43</v>
      </c>
      <c r="C479" s="668">
        <f t="shared" si="53"/>
        <v>1707</v>
      </c>
      <c r="D479" s="668">
        <f t="shared" si="54"/>
        <v>1707</v>
      </c>
      <c r="E479" s="668">
        <f>D479-C479</f>
        <v>0</v>
      </c>
      <c r="F479" s="679">
        <f>E479/C479</f>
        <v>0</v>
      </c>
      <c r="G479" s="666">
        <f t="shared" si="55"/>
        <v>0</v>
      </c>
      <c r="H479" s="607" t="s">
        <v>399</v>
      </c>
      <c r="K479" s="683">
        <f>K464+K472</f>
        <v>-110531.28</v>
      </c>
      <c r="L479" s="698"/>
      <c r="M479" s="666"/>
      <c r="N479" s="666"/>
      <c r="O479" s="666"/>
      <c r="P479" s="666"/>
    </row>
    <row r="480" spans="2:16" ht="12.95" customHeight="1">
      <c r="B480" s="828" t="s">
        <v>38</v>
      </c>
      <c r="C480" s="668">
        <f t="shared" si="53"/>
        <v>1447303</v>
      </c>
      <c r="D480" s="668">
        <f t="shared" si="54"/>
        <v>1321505</v>
      </c>
      <c r="E480" s="668">
        <f>D480-C480</f>
        <v>-125798</v>
      </c>
      <c r="F480" s="679">
        <f>E480/C480</f>
        <v>-8.6918910552938808E-2</v>
      </c>
      <c r="G480" s="666">
        <f t="shared" si="55"/>
        <v>0</v>
      </c>
      <c r="H480" s="666" t="s">
        <v>5</v>
      </c>
      <c r="K480" s="693"/>
      <c r="L480" s="699"/>
      <c r="M480" s="666"/>
      <c r="N480" s="666"/>
      <c r="O480" s="666"/>
      <c r="P480" s="666"/>
    </row>
    <row r="481" spans="2:16" ht="12.95" customHeight="1">
      <c r="B481" s="828" t="s">
        <v>39</v>
      </c>
      <c r="C481" s="668">
        <f t="shared" si="53"/>
        <v>3920</v>
      </c>
      <c r="D481" s="668">
        <f t="shared" si="54"/>
        <v>3620</v>
      </c>
      <c r="E481" s="668">
        <f>D481-C481</f>
        <v>-300</v>
      </c>
      <c r="F481" s="679">
        <f>E481/C481</f>
        <v>-7.6530612244897961E-2</v>
      </c>
      <c r="G481" s="666">
        <f t="shared" si="55"/>
        <v>0</v>
      </c>
      <c r="K481" s="683"/>
      <c r="L481" s="664"/>
      <c r="M481" s="666"/>
      <c r="N481" s="666"/>
      <c r="O481" s="666"/>
      <c r="P481" s="666"/>
    </row>
    <row r="482" spans="2:16" ht="12.95" customHeight="1">
      <c r="B482" s="829" t="s">
        <v>376</v>
      </c>
      <c r="C482" s="683">
        <f t="shared" si="53"/>
        <v>121371.07999999999</v>
      </c>
      <c r="D482" s="683">
        <f t="shared" si="54"/>
        <v>115976.8</v>
      </c>
      <c r="E482" s="668">
        <f>D482-C482</f>
        <v>-5394.2799999999843</v>
      </c>
      <c r="F482" s="679">
        <f>E482/C482</f>
        <v>-4.4444525005462462E-2</v>
      </c>
      <c r="G482" s="666">
        <f t="shared" si="55"/>
        <v>0</v>
      </c>
      <c r="H482" s="666"/>
      <c r="I482" s="666"/>
      <c r="K482" s="683"/>
      <c r="L482" s="665"/>
      <c r="M482" s="666"/>
      <c r="N482" s="666"/>
      <c r="O482" s="666"/>
      <c r="P482" s="666"/>
    </row>
    <row r="483" spans="2:16" ht="12.95" customHeight="1">
      <c r="B483" s="830" t="s">
        <v>380</v>
      </c>
      <c r="C483" s="686">
        <f t="shared" si="53"/>
        <v>2.2964264792032805</v>
      </c>
      <c r="D483" s="686">
        <f t="shared" si="54"/>
        <v>2.1206795547744579</v>
      </c>
      <c r="E483" s="678">
        <f>D483-C483</f>
        <v>-0.17574692442882256</v>
      </c>
      <c r="F483" s="680">
        <f>E483/C483</f>
        <v>-7.6530612244897989E-2</v>
      </c>
      <c r="G483" s="666">
        <f t="shared" si="55"/>
        <v>0</v>
      </c>
      <c r="H483" s="666"/>
      <c r="I483" s="666"/>
      <c r="K483" s="683"/>
      <c r="L483" s="665"/>
      <c r="M483" s="666"/>
      <c r="N483" s="666"/>
      <c r="O483" s="666"/>
      <c r="P483" s="666"/>
    </row>
    <row r="484" spans="2:16" ht="12.95" customHeight="1">
      <c r="B484" s="832" t="s">
        <v>181</v>
      </c>
      <c r="C484" s="676"/>
      <c r="D484" s="676"/>
      <c r="E484" s="676"/>
      <c r="F484" s="681"/>
      <c r="G484" s="666">
        <f t="shared" si="55"/>
        <v>0</v>
      </c>
      <c r="H484" s="643"/>
      <c r="I484" s="643"/>
      <c r="J484" s="643"/>
      <c r="K484" s="696"/>
      <c r="L484" s="688"/>
      <c r="M484" s="666"/>
      <c r="N484" s="666"/>
      <c r="O484" s="666"/>
      <c r="P484" s="666"/>
    </row>
    <row r="485" spans="2:16" ht="12.95" customHeight="1">
      <c r="B485" s="828" t="s">
        <v>43</v>
      </c>
      <c r="C485" s="668">
        <f t="shared" si="53"/>
        <v>75</v>
      </c>
      <c r="D485" s="668">
        <f t="shared" si="54"/>
        <v>75</v>
      </c>
      <c r="E485" s="668">
        <f>D485-C485</f>
        <v>0</v>
      </c>
      <c r="F485" s="679">
        <f>E485/C485</f>
        <v>0</v>
      </c>
      <c r="G485" s="666">
        <f t="shared" si="55"/>
        <v>0</v>
      </c>
      <c r="H485" s="712"/>
      <c r="I485" s="712"/>
      <c r="J485" s="712"/>
      <c r="K485" s="713"/>
      <c r="L485" s="696"/>
      <c r="M485" s="712"/>
      <c r="N485" s="712"/>
      <c r="O485" s="712"/>
      <c r="P485" s="666"/>
    </row>
    <row r="486" spans="2:16" ht="12.95" customHeight="1">
      <c r="B486" s="828" t="s">
        <v>38</v>
      </c>
      <c r="C486" s="668">
        <f t="shared" si="53"/>
        <v>108281</v>
      </c>
      <c r="D486" s="668">
        <f t="shared" si="54"/>
        <v>109302</v>
      </c>
      <c r="E486" s="668">
        <f>D486-C486</f>
        <v>1021</v>
      </c>
      <c r="F486" s="679">
        <f>E486/C486</f>
        <v>9.4291703992390175E-3</v>
      </c>
      <c r="G486" s="666">
        <f t="shared" si="55"/>
        <v>0</v>
      </c>
      <c r="H486" s="712"/>
      <c r="I486" s="712"/>
      <c r="J486" s="712"/>
      <c r="K486" s="712"/>
      <c r="L486" s="712"/>
      <c r="M486" s="712"/>
      <c r="N486" s="712"/>
      <c r="O486" s="712"/>
      <c r="P486" s="666"/>
    </row>
    <row r="487" spans="2:16" ht="12.95" customHeight="1">
      <c r="B487" s="828" t="s">
        <v>39</v>
      </c>
      <c r="C487" s="668">
        <f t="shared" si="53"/>
        <v>300</v>
      </c>
      <c r="D487" s="668">
        <f t="shared" si="54"/>
        <v>302</v>
      </c>
      <c r="E487" s="668">
        <f>D487-C487</f>
        <v>2</v>
      </c>
      <c r="F487" s="679">
        <f>E487/C487</f>
        <v>6.6666666666666671E-3</v>
      </c>
      <c r="G487" s="666">
        <f t="shared" si="55"/>
        <v>0</v>
      </c>
      <c r="H487" s="714"/>
      <c r="I487" s="643"/>
      <c r="J487" s="643"/>
      <c r="K487" s="715"/>
      <c r="L487" s="696"/>
      <c r="M487" s="712"/>
      <c r="N487" s="712"/>
      <c r="O487" s="712"/>
      <c r="P487" s="666"/>
    </row>
    <row r="488" spans="2:16" ht="12.95" customHeight="1">
      <c r="B488" s="829" t="s">
        <v>376</v>
      </c>
      <c r="C488" s="683">
        <f t="shared" si="53"/>
        <v>6608.08</v>
      </c>
      <c r="D488" s="683">
        <f t="shared" si="54"/>
        <v>6491.74</v>
      </c>
      <c r="E488" s="668">
        <f>D488-C488</f>
        <v>-116.34000000000015</v>
      </c>
      <c r="F488" s="679">
        <f>E488/C488</f>
        <v>-1.7605719059091317E-2</v>
      </c>
      <c r="G488" s="666">
        <f t="shared" si="55"/>
        <v>0</v>
      </c>
      <c r="H488" s="643"/>
      <c r="I488" s="643"/>
      <c r="J488" s="643"/>
      <c r="K488" s="713"/>
      <c r="L488" s="716"/>
      <c r="M488" s="712"/>
      <c r="N488" s="712"/>
      <c r="O488" s="712"/>
      <c r="P488" s="666"/>
    </row>
    <row r="489" spans="2:16" ht="12.95" customHeight="1">
      <c r="B489" s="830" t="s">
        <v>380</v>
      </c>
      <c r="C489" s="686">
        <f t="shared" si="53"/>
        <v>4</v>
      </c>
      <c r="D489" s="686">
        <f t="shared" si="54"/>
        <v>4.0266666666666664</v>
      </c>
      <c r="E489" s="678">
        <f>D489-C489</f>
        <v>2.6666666666666394E-2</v>
      </c>
      <c r="F489" s="680">
        <f>E489/C489</f>
        <v>6.6666666666665986E-3</v>
      </c>
      <c r="G489" s="666">
        <f t="shared" si="55"/>
        <v>0</v>
      </c>
      <c r="H489" s="643"/>
      <c r="I489" s="643"/>
      <c r="J489" s="643"/>
      <c r="K489" s="713"/>
      <c r="L489" s="716"/>
      <c r="M489" s="712"/>
      <c r="N489" s="712"/>
      <c r="O489" s="712"/>
      <c r="P489" s="666"/>
    </row>
    <row r="490" spans="2:16" ht="12.95" customHeight="1">
      <c r="B490" s="831" t="s">
        <v>2</v>
      </c>
      <c r="C490" s="676"/>
      <c r="D490" s="676"/>
      <c r="E490" s="676"/>
      <c r="F490" s="681"/>
      <c r="G490" s="666">
        <f t="shared" si="55"/>
        <v>0</v>
      </c>
      <c r="H490" s="643"/>
      <c r="I490" s="643"/>
      <c r="J490" s="643"/>
      <c r="K490" s="715"/>
      <c r="L490" s="716"/>
      <c r="M490" s="712"/>
      <c r="N490" s="712"/>
      <c r="O490" s="712"/>
      <c r="P490" s="666"/>
    </row>
    <row r="491" spans="2:16" ht="12.95" customHeight="1">
      <c r="B491" s="828" t="s">
        <v>43</v>
      </c>
      <c r="C491" s="668">
        <f t="shared" si="53"/>
        <v>61</v>
      </c>
      <c r="D491" s="668">
        <f t="shared" si="54"/>
        <v>61</v>
      </c>
      <c r="E491" s="668">
        <f>D491-C491</f>
        <v>0</v>
      </c>
      <c r="F491" s="679">
        <f>E491/C491</f>
        <v>0</v>
      </c>
      <c r="G491" s="666">
        <f t="shared" si="55"/>
        <v>0</v>
      </c>
      <c r="H491" s="712"/>
      <c r="I491" s="712"/>
      <c r="J491" s="643"/>
      <c r="K491" s="715"/>
      <c r="L491" s="717"/>
      <c r="M491" s="712"/>
      <c r="N491" s="712"/>
      <c r="O491" s="712"/>
      <c r="P491" s="666"/>
    </row>
    <row r="492" spans="2:16" ht="12.95" customHeight="1">
      <c r="B492" s="828" t="s">
        <v>38</v>
      </c>
      <c r="C492" s="668">
        <f t="shared" si="53"/>
        <v>531898</v>
      </c>
      <c r="D492" s="668">
        <f t="shared" si="54"/>
        <v>565759</v>
      </c>
      <c r="E492" s="668">
        <f>D492-C492</f>
        <v>33861</v>
      </c>
      <c r="F492" s="679">
        <f>E492/C492</f>
        <v>6.3660701863891195E-2</v>
      </c>
      <c r="G492" s="666">
        <f t="shared" si="55"/>
        <v>0</v>
      </c>
      <c r="H492" s="712"/>
      <c r="I492" s="712"/>
      <c r="J492" s="643"/>
      <c r="K492" s="715"/>
      <c r="L492" s="717"/>
      <c r="M492" s="712"/>
      <c r="N492" s="712"/>
      <c r="O492" s="712"/>
      <c r="P492" s="666"/>
    </row>
    <row r="493" spans="2:16" ht="12.95" customHeight="1">
      <c r="B493" s="829" t="s">
        <v>376</v>
      </c>
      <c r="C493" s="683">
        <f t="shared" si="53"/>
        <v>11305.98</v>
      </c>
      <c r="D493" s="683">
        <f t="shared" si="54"/>
        <v>13043.37</v>
      </c>
      <c r="E493" s="668">
        <f>D493-C493</f>
        <v>1737.3900000000012</v>
      </c>
      <c r="F493" s="679">
        <f>E493/C493</f>
        <v>0.15367000472316431</v>
      </c>
      <c r="G493" s="666">
        <f t="shared" si="55"/>
        <v>0</v>
      </c>
      <c r="H493" s="643"/>
      <c r="I493" s="643"/>
      <c r="J493" s="643"/>
      <c r="K493" s="696"/>
      <c r="L493" s="696"/>
      <c r="M493" s="712"/>
      <c r="N493" s="712"/>
      <c r="O493" s="712"/>
      <c r="P493" s="666"/>
    </row>
    <row r="494" spans="2:16" ht="12.95" customHeight="1">
      <c r="B494" s="830" t="s">
        <v>381</v>
      </c>
      <c r="C494" s="678">
        <f t="shared" si="53"/>
        <v>726.63661202185801</v>
      </c>
      <c r="D494" s="678">
        <f t="shared" si="54"/>
        <v>772.89480874316939</v>
      </c>
      <c r="E494" s="678">
        <f>D494-C494</f>
        <v>46.258196721311378</v>
      </c>
      <c r="F494" s="680">
        <f>E494/C494</f>
        <v>6.3660701863891056E-2</v>
      </c>
      <c r="G494" s="666">
        <f t="shared" si="55"/>
        <v>0</v>
      </c>
      <c r="H494" s="712"/>
      <c r="I494" s="712"/>
      <c r="J494" s="712"/>
      <c r="K494" s="713"/>
      <c r="L494" s="696"/>
      <c r="M494" s="712"/>
      <c r="N494" s="712"/>
      <c r="O494" s="712"/>
      <c r="P494" s="666"/>
    </row>
    <row r="495" spans="2:16" ht="12.95" customHeight="1">
      <c r="B495" s="831" t="s">
        <v>5</v>
      </c>
      <c r="C495" s="676"/>
      <c r="D495" s="676"/>
      <c r="E495" s="676"/>
      <c r="F495" s="681"/>
      <c r="G495" s="666">
        <f t="shared" si="55"/>
        <v>0</v>
      </c>
      <c r="H495" s="712"/>
      <c r="I495" s="712"/>
      <c r="J495" s="712"/>
      <c r="K495" s="712"/>
      <c r="L495" s="712"/>
      <c r="M495" s="712"/>
      <c r="N495" s="712"/>
      <c r="O495" s="712"/>
      <c r="P495" s="666"/>
    </row>
    <row r="496" spans="2:16" ht="12.95" customHeight="1">
      <c r="B496" s="828" t="s">
        <v>45</v>
      </c>
      <c r="C496" s="983">
        <f t="shared" si="53"/>
        <v>7702</v>
      </c>
      <c r="D496" s="983">
        <f t="shared" si="54"/>
        <v>7701</v>
      </c>
      <c r="E496" s="668">
        <f>D496-C496</f>
        <v>-1</v>
      </c>
      <c r="F496" s="679">
        <f>E496/C496</f>
        <v>-1.2983640612827837E-4</v>
      </c>
      <c r="G496" s="666">
        <f t="shared" si="55"/>
        <v>0</v>
      </c>
      <c r="H496" s="714"/>
      <c r="I496" s="643"/>
      <c r="J496" s="643"/>
      <c r="K496" s="715"/>
      <c r="L496" s="712"/>
      <c r="M496" s="712"/>
      <c r="N496" s="712"/>
      <c r="O496" s="712"/>
      <c r="P496" s="666"/>
    </row>
    <row r="497" spans="2:16" ht="12.95" customHeight="1">
      <c r="B497" s="828" t="s">
        <v>38</v>
      </c>
      <c r="C497" s="983">
        <f t="shared" si="53"/>
        <v>107193012</v>
      </c>
      <c r="D497" s="983">
        <f t="shared" si="54"/>
        <v>107593001</v>
      </c>
      <c r="E497" s="668">
        <f>D497-C497</f>
        <v>399989</v>
      </c>
      <c r="F497" s="679">
        <f>E497/C497</f>
        <v>3.7314839142685904E-3</v>
      </c>
      <c r="G497" s="666">
        <f t="shared" si="55"/>
        <v>0</v>
      </c>
      <c r="H497" s="643"/>
      <c r="I497" s="643"/>
      <c r="J497" s="643"/>
      <c r="K497" s="713"/>
      <c r="L497" s="712"/>
      <c r="M497" s="712"/>
      <c r="N497" s="712"/>
      <c r="O497" s="712"/>
      <c r="P497" s="666"/>
    </row>
    <row r="498" spans="2:16" ht="12.95" customHeight="1">
      <c r="B498" s="828" t="s">
        <v>44</v>
      </c>
      <c r="C498" s="983">
        <f t="shared" si="53"/>
        <v>137368</v>
      </c>
      <c r="D498" s="983">
        <f t="shared" si="54"/>
        <v>135869</v>
      </c>
      <c r="E498" s="668">
        <f>D498-C498</f>
        <v>-1499</v>
      </c>
      <c r="F498" s="679">
        <f>E498/C498</f>
        <v>-1.0912293984042863E-2</v>
      </c>
      <c r="G498" s="666">
        <f t="shared" si="55"/>
        <v>0</v>
      </c>
      <c r="H498" s="643"/>
      <c r="I498" s="643"/>
      <c r="J498" s="643"/>
      <c r="K498" s="713"/>
      <c r="L498" s="712"/>
      <c r="M498" s="712"/>
      <c r="N498" s="712"/>
      <c r="O498" s="712"/>
      <c r="P498" s="666"/>
    </row>
    <row r="499" spans="2:16" ht="12.95" customHeight="1">
      <c r="B499" s="833" t="s">
        <v>376</v>
      </c>
      <c r="C499" s="669">
        <f>G348</f>
        <v>2524958.4099999997</v>
      </c>
      <c r="D499" s="669">
        <f>J348</f>
        <v>2422428.3500000006</v>
      </c>
      <c r="E499" s="678">
        <f>D499-C499</f>
        <v>-102530.05999999912</v>
      </c>
      <c r="F499" s="680">
        <f>E499/C499</f>
        <v>-4.0606633199950067E-2</v>
      </c>
      <c r="G499" s="666">
        <f t="shared" si="55"/>
        <v>0</v>
      </c>
      <c r="H499" s="643"/>
      <c r="I499" s="643"/>
      <c r="J499" s="643"/>
      <c r="K499" s="715"/>
      <c r="L499" s="712"/>
      <c r="M499" s="643"/>
      <c r="N499" s="643"/>
      <c r="O499" s="643"/>
    </row>
    <row r="500" spans="2:16">
      <c r="C500" s="666"/>
      <c r="D500" s="666"/>
      <c r="E500" s="666"/>
      <c r="F500" s="666"/>
      <c r="G500" s="666"/>
      <c r="H500" s="712"/>
      <c r="I500" s="712"/>
      <c r="J500" s="643"/>
      <c r="K500" s="713"/>
      <c r="L500" s="712"/>
      <c r="M500" s="718"/>
      <c r="N500" s="718"/>
      <c r="O500" s="718"/>
    </row>
    <row r="501" spans="2:16">
      <c r="C501" s="666"/>
      <c r="D501" s="666"/>
      <c r="E501" s="666"/>
      <c r="F501" s="666"/>
      <c r="G501" s="666"/>
      <c r="H501" s="712"/>
      <c r="I501" s="712"/>
      <c r="J501" s="643"/>
      <c r="K501" s="715"/>
      <c r="L501" s="712"/>
      <c r="M501" s="718"/>
      <c r="N501" s="718"/>
      <c r="O501" s="718"/>
    </row>
    <row r="502" spans="2:16" ht="15">
      <c r="B502" s="599" t="s">
        <v>494</v>
      </c>
      <c r="C502" s="666"/>
      <c r="D502" s="666"/>
      <c r="E502" s="666"/>
      <c r="F502" s="666"/>
      <c r="G502" s="666"/>
      <c r="H502" s="666"/>
      <c r="I502" s="666"/>
      <c r="J502" s="666"/>
      <c r="K502" s="666"/>
      <c r="L502" s="666"/>
      <c r="M502" s="666"/>
      <c r="N502" s="666"/>
      <c r="O502" s="666"/>
      <c r="P502" s="666"/>
    </row>
    <row r="503" spans="2:16" ht="15" thickBot="1">
      <c r="C503" s="666"/>
      <c r="D503" s="666"/>
      <c r="E503" s="666"/>
      <c r="F503" s="666"/>
      <c r="G503" s="666"/>
      <c r="I503" s="666"/>
      <c r="K503" s="666"/>
      <c r="L503" s="666"/>
      <c r="M503" s="666"/>
      <c r="N503" s="666"/>
      <c r="O503" s="666"/>
      <c r="P503" s="666"/>
    </row>
    <row r="504" spans="2:16" ht="15.75" thickTop="1">
      <c r="B504" s="980"/>
      <c r="C504" s="1045" t="s">
        <v>122</v>
      </c>
      <c r="D504" s="1045" t="s">
        <v>377</v>
      </c>
      <c r="E504" s="1045" t="s">
        <v>162</v>
      </c>
      <c r="F504" s="1046"/>
      <c r="G504" s="666"/>
      <c r="H504" s="692" t="s">
        <v>403</v>
      </c>
      <c r="I504" s="666"/>
      <c r="J504" s="666"/>
      <c r="K504" s="666"/>
      <c r="L504" s="706">
        <v>2015</v>
      </c>
      <c r="M504" s="706">
        <v>2014</v>
      </c>
      <c r="N504" s="666"/>
      <c r="O504" s="666"/>
      <c r="P504" s="666"/>
    </row>
    <row r="505" spans="2:16" ht="12.95" customHeight="1">
      <c r="B505" s="826"/>
      <c r="C505" s="981"/>
      <c r="D505" s="981"/>
      <c r="E505" s="981"/>
      <c r="F505" s="982" t="s">
        <v>159</v>
      </c>
      <c r="G505" s="666"/>
      <c r="H505" s="607" t="s">
        <v>387</v>
      </c>
      <c r="K505" s="693">
        <f>(L505-M505)*M509</f>
        <v>-19653.044389333321</v>
      </c>
      <c r="L505" s="668">
        <f>D508</f>
        <v>40938310.960000001</v>
      </c>
      <c r="M505" s="666">
        <f>C508</f>
        <v>42272228</v>
      </c>
      <c r="N505" s="666"/>
      <c r="O505" s="666"/>
      <c r="P505" s="666"/>
    </row>
    <row r="506" spans="2:16" ht="12.95" customHeight="1">
      <c r="B506" s="827" t="s">
        <v>1</v>
      </c>
      <c r="C506" s="667"/>
      <c r="D506" s="667"/>
      <c r="E506" s="667"/>
      <c r="F506" s="673"/>
      <c r="G506" s="666"/>
      <c r="K506" s="693">
        <f>(L506-M506)*C507*4</f>
        <v>0</v>
      </c>
      <c r="L506" s="664">
        <v>0</v>
      </c>
      <c r="M506" s="702"/>
      <c r="N506" s="666"/>
      <c r="O506" s="666"/>
      <c r="P506" s="666"/>
    </row>
    <row r="507" spans="2:16" ht="12.95" customHeight="1">
      <c r="B507" s="828" t="s">
        <v>37</v>
      </c>
      <c r="C507" s="668">
        <f t="shared" ref="C507:C542" si="56">J312</f>
        <v>5040</v>
      </c>
      <c r="D507" s="668">
        <f t="shared" ref="D507:D542" si="57">M312</f>
        <v>5054</v>
      </c>
      <c r="E507" s="668">
        <f>D507-C507</f>
        <v>14</v>
      </c>
      <c r="F507" s="679">
        <f>E507/C507</f>
        <v>2.7777777777777779E-3</v>
      </c>
      <c r="G507" s="666"/>
      <c r="K507" s="693">
        <f>(L507-M507)*M505/12*4</f>
        <v>0</v>
      </c>
      <c r="L507" s="664">
        <v>0</v>
      </c>
      <c r="M507" s="703"/>
      <c r="N507" s="666"/>
      <c r="O507" s="666"/>
      <c r="P507" s="666"/>
    </row>
    <row r="508" spans="2:16" ht="12.95" customHeight="1">
      <c r="B508" s="828" t="s">
        <v>38</v>
      </c>
      <c r="C508" s="668">
        <f t="shared" si="56"/>
        <v>42272228</v>
      </c>
      <c r="D508" s="668">
        <f t="shared" si="57"/>
        <v>40938310.960000001</v>
      </c>
      <c r="E508" s="668">
        <f>D508-C508</f>
        <v>-1333917.0399999991</v>
      </c>
      <c r="F508" s="679">
        <f>E508/C508</f>
        <v>-3.1555399445706983E-2</v>
      </c>
      <c r="G508" s="666"/>
      <c r="K508" s="693">
        <f>(L508-M508)*C507*8</f>
        <v>0</v>
      </c>
      <c r="L508" s="666">
        <v>0</v>
      </c>
      <c r="M508" s="702"/>
      <c r="N508" s="666"/>
      <c r="O508" s="666"/>
      <c r="P508" s="666"/>
    </row>
    <row r="509" spans="2:16" ht="12.95" customHeight="1">
      <c r="B509" s="829" t="s">
        <v>376</v>
      </c>
      <c r="C509" s="683">
        <f t="shared" si="56"/>
        <v>1394352.4100000001</v>
      </c>
      <c r="D509" s="683">
        <f t="shared" si="57"/>
        <v>1418450.81</v>
      </c>
      <c r="E509" s="668">
        <f>D509-C509</f>
        <v>24098.399999999907</v>
      </c>
      <c r="F509" s="679">
        <f>E509/C509</f>
        <v>1.7282861798187665E-2</v>
      </c>
      <c r="G509" s="666"/>
      <c r="H509" s="666" t="s">
        <v>400</v>
      </c>
      <c r="I509" s="666"/>
      <c r="K509" s="693">
        <f>(L509-M509)*L505</f>
        <v>8187.6621919999507</v>
      </c>
      <c r="L509" s="704">
        <f>0.0148*4/12+0.015*8/12</f>
        <v>1.4933333333333333E-2</v>
      </c>
      <c r="M509" s="704">
        <f>0.0146*4/12+0.0148*8/12</f>
        <v>1.4733333333333334E-2</v>
      </c>
      <c r="N509" s="666"/>
      <c r="O509" s="666"/>
      <c r="P509" s="666"/>
    </row>
    <row r="510" spans="2:16" ht="12.95" customHeight="1">
      <c r="B510" s="830" t="s">
        <v>378</v>
      </c>
      <c r="C510" s="678">
        <f t="shared" si="56"/>
        <v>698.94556878306878</v>
      </c>
      <c r="D510" s="678">
        <f t="shared" si="57"/>
        <v>675.01502044585152</v>
      </c>
      <c r="E510" s="678">
        <f>D510-C510</f>
        <v>-23.93054833721726</v>
      </c>
      <c r="F510" s="680">
        <f>E510/C510</f>
        <v>-3.4238071469403032E-2</v>
      </c>
      <c r="G510" s="666"/>
      <c r="H510" s="666" t="s">
        <v>401</v>
      </c>
      <c r="I510" s="666"/>
      <c r="K510" s="693">
        <f>(L510-M510)*D507*12</f>
        <v>10916.639999999983</v>
      </c>
      <c r="L510" s="705">
        <f>13.02*4/12+13.19*8/12</f>
        <v>13.133333333333333</v>
      </c>
      <c r="M510" s="705">
        <f>12.82*4/12+13.02*8/12</f>
        <v>12.953333333333333</v>
      </c>
      <c r="N510" s="666"/>
      <c r="O510" s="666"/>
      <c r="P510" s="666"/>
    </row>
    <row r="511" spans="2:16" ht="12.95" customHeight="1">
      <c r="B511" s="831" t="s">
        <v>116</v>
      </c>
      <c r="C511" s="676"/>
      <c r="D511" s="676"/>
      <c r="E511" s="676"/>
      <c r="F511" s="681"/>
      <c r="G511" s="666"/>
      <c r="H511" s="643" t="s">
        <v>405</v>
      </c>
      <c r="I511" s="643"/>
      <c r="J511" s="707"/>
      <c r="K511" s="695">
        <f>L511-M511</f>
        <v>10600.43</v>
      </c>
      <c r="L511" s="688">
        <v>3968.5</v>
      </c>
      <c r="M511" s="666">
        <v>-6631.93</v>
      </c>
      <c r="N511" s="666"/>
      <c r="O511" s="666"/>
      <c r="P511" s="666"/>
    </row>
    <row r="512" spans="2:16" ht="12.95" customHeight="1">
      <c r="B512" s="828" t="s">
        <v>37</v>
      </c>
      <c r="C512" s="668">
        <f t="shared" si="56"/>
        <v>754</v>
      </c>
      <c r="D512" s="668">
        <f t="shared" si="57"/>
        <v>742</v>
      </c>
      <c r="E512" s="668">
        <f>D512-C512</f>
        <v>-12</v>
      </c>
      <c r="F512" s="679">
        <f>E512/C512</f>
        <v>-1.5915119363395226E-2</v>
      </c>
      <c r="G512" s="666"/>
      <c r="H512" s="708"/>
      <c r="I512" s="709"/>
      <c r="J512" s="709"/>
      <c r="K512" s="710">
        <f>SUM(K505:K511)</f>
        <v>10051.687802666613</v>
      </c>
      <c r="L512" s="691"/>
      <c r="M512" s="709"/>
      <c r="N512" s="666"/>
      <c r="O512" s="666"/>
      <c r="P512" s="666"/>
    </row>
    <row r="513" spans="2:16" ht="12.95" customHeight="1">
      <c r="B513" s="828" t="s">
        <v>38</v>
      </c>
      <c r="C513" s="668">
        <f t="shared" si="56"/>
        <v>20739791</v>
      </c>
      <c r="D513" s="668">
        <f t="shared" si="57"/>
        <v>20653133.002</v>
      </c>
      <c r="E513" s="668">
        <f>D513-C513</f>
        <v>-86657.997999999672</v>
      </c>
      <c r="F513" s="679">
        <f>E513/C513</f>
        <v>-4.1783448058854439E-3</v>
      </c>
      <c r="G513" s="692" t="s">
        <v>236</v>
      </c>
      <c r="H513" s="607" t="s">
        <v>387</v>
      </c>
      <c r="K513" s="693">
        <f>(L513-M513)*M517</f>
        <v>297293.41373333335</v>
      </c>
      <c r="L513" s="668">
        <f>D518</f>
        <v>40918077</v>
      </c>
      <c r="M513" s="666">
        <f>C513</f>
        <v>20739791</v>
      </c>
      <c r="N513" s="666"/>
      <c r="O513" s="666"/>
      <c r="P513" s="666"/>
    </row>
    <row r="514" spans="2:16" ht="12.95" customHeight="1">
      <c r="B514" s="829" t="s">
        <v>376</v>
      </c>
      <c r="C514" s="683">
        <f t="shared" si="56"/>
        <v>456057.91000000003</v>
      </c>
      <c r="D514" s="683">
        <f t="shared" si="57"/>
        <v>482663.68999999994</v>
      </c>
      <c r="E514" s="668">
        <f>D514-C514</f>
        <v>26605.779999999912</v>
      </c>
      <c r="F514" s="679">
        <f>E514/C514</f>
        <v>5.8338600025597431E-2</v>
      </c>
      <c r="G514" s="666"/>
      <c r="K514" s="693">
        <f>(L514-M514)*C515*4</f>
        <v>0</v>
      </c>
      <c r="L514" s="664">
        <v>0</v>
      </c>
      <c r="M514" s="702"/>
      <c r="N514" s="666"/>
      <c r="O514" s="666"/>
      <c r="P514" s="666"/>
    </row>
    <row r="515" spans="2:16" ht="12.95" customHeight="1">
      <c r="B515" s="830" t="s">
        <v>378</v>
      </c>
      <c r="C515" s="678">
        <f t="shared" si="56"/>
        <v>2292.1961759504861</v>
      </c>
      <c r="D515" s="678">
        <f t="shared" si="57"/>
        <v>2319.5342544923628</v>
      </c>
      <c r="E515" s="678">
        <f>D515-C515</f>
        <v>27.338078541876712</v>
      </c>
      <c r="F515" s="680">
        <f>E515/C515</f>
        <v>1.1926587623129882E-2</v>
      </c>
      <c r="G515" s="666"/>
      <c r="K515" s="693">
        <f>(L515-M515)*M513/12*4</f>
        <v>0</v>
      </c>
      <c r="L515" s="664">
        <v>0</v>
      </c>
      <c r="M515" s="703"/>
      <c r="N515" s="666"/>
      <c r="O515" s="666"/>
      <c r="P515" s="666"/>
    </row>
    <row r="516" spans="2:16" ht="12.95" customHeight="1">
      <c r="B516" s="831" t="s">
        <v>299</v>
      </c>
      <c r="C516" s="676"/>
      <c r="D516" s="676"/>
      <c r="E516" s="676"/>
      <c r="F516" s="681"/>
      <c r="G516" s="666"/>
      <c r="K516" s="693">
        <f>(L516-M516)*C515*8</f>
        <v>0</v>
      </c>
      <c r="L516" s="666">
        <v>0</v>
      </c>
      <c r="M516" s="702"/>
      <c r="N516" s="666"/>
      <c r="O516" s="666"/>
      <c r="P516" s="666"/>
    </row>
    <row r="517" spans="2:16" ht="12.95" customHeight="1">
      <c r="B517" s="828" t="s">
        <v>37</v>
      </c>
      <c r="C517" s="668">
        <f t="shared" si="56"/>
        <v>64</v>
      </c>
      <c r="D517" s="668">
        <f t="shared" si="57"/>
        <v>64</v>
      </c>
      <c r="E517" s="668">
        <f>D517-C517</f>
        <v>0</v>
      </c>
      <c r="F517" s="679">
        <f>E517/C517</f>
        <v>0</v>
      </c>
      <c r="G517" s="666"/>
      <c r="H517" s="666" t="s">
        <v>400</v>
      </c>
      <c r="I517" s="666"/>
      <c r="K517" s="693">
        <f>(L517-M517)*L513</f>
        <v>8183.6153999999506</v>
      </c>
      <c r="L517" s="704">
        <f>0.0148*4/12+0.015*8/12</f>
        <v>1.4933333333333333E-2</v>
      </c>
      <c r="M517" s="704">
        <f>0.0146*4/12+0.0148*8/12</f>
        <v>1.4733333333333334E-2</v>
      </c>
      <c r="N517" s="666"/>
      <c r="O517" s="666"/>
      <c r="P517" s="666"/>
    </row>
    <row r="518" spans="2:16" ht="12.95" customHeight="1">
      <c r="B518" s="828" t="s">
        <v>38</v>
      </c>
      <c r="C518" s="668">
        <f t="shared" si="56"/>
        <v>42584416</v>
      </c>
      <c r="D518" s="668">
        <f t="shared" si="57"/>
        <v>40918077</v>
      </c>
      <c r="E518" s="668">
        <f>D518-C518</f>
        <v>-1666339</v>
      </c>
      <c r="F518" s="679">
        <f>E518/C518</f>
        <v>-3.9130253658991122E-2</v>
      </c>
      <c r="G518" s="666"/>
      <c r="H518" s="666" t="s">
        <v>401</v>
      </c>
      <c r="I518" s="666"/>
      <c r="K518" s="693">
        <f>(L518-M518)*D515*12</f>
        <v>5010.1939897034954</v>
      </c>
      <c r="L518" s="705">
        <f>13.02*4/12+13.19*8/12</f>
        <v>13.133333333333333</v>
      </c>
      <c r="M518" s="705">
        <f>12.82*4/12+13.02*8/12</f>
        <v>12.953333333333333</v>
      </c>
      <c r="N518" s="666"/>
      <c r="O518" s="666"/>
      <c r="P518" s="666"/>
    </row>
    <row r="519" spans="2:16" ht="12.95" customHeight="1">
      <c r="B519" s="828" t="s">
        <v>39</v>
      </c>
      <c r="C519" s="668">
        <f t="shared" si="56"/>
        <v>131947</v>
      </c>
      <c r="D519" s="668">
        <f t="shared" si="57"/>
        <v>125734.44</v>
      </c>
      <c r="E519" s="668">
        <f>D519-C519</f>
        <v>-6212.5599999999977</v>
      </c>
      <c r="F519" s="679">
        <f>E519/C519</f>
        <v>-4.7083753325198735E-2</v>
      </c>
      <c r="G519" s="666"/>
      <c r="H519" s="643" t="s">
        <v>405</v>
      </c>
      <c r="I519" s="643"/>
      <c r="J519" s="707"/>
      <c r="K519" s="695">
        <f>L519-M519</f>
        <v>10600.43</v>
      </c>
      <c r="L519" s="688">
        <v>3968.5</v>
      </c>
      <c r="M519" s="666">
        <v>-6631.93</v>
      </c>
      <c r="N519" s="666"/>
      <c r="O519" s="666"/>
      <c r="P519" s="666"/>
    </row>
    <row r="520" spans="2:16" ht="12.95" customHeight="1">
      <c r="B520" s="829" t="s">
        <v>376</v>
      </c>
      <c r="C520" s="683">
        <f t="shared" si="56"/>
        <v>436506.12</v>
      </c>
      <c r="D520" s="683">
        <f t="shared" si="57"/>
        <v>448662.22</v>
      </c>
      <c r="E520" s="668">
        <f>D520-C520</f>
        <v>12156.099999999977</v>
      </c>
      <c r="F520" s="679">
        <f>E520/C520</f>
        <v>2.7848635890832359E-2</v>
      </c>
      <c r="G520" s="666"/>
      <c r="H520" s="708"/>
      <c r="I520" s="709"/>
      <c r="J520" s="709"/>
      <c r="K520" s="710">
        <f>SUM(K513:K519)</f>
        <v>321087.65312303678</v>
      </c>
      <c r="L520" s="691"/>
      <c r="M520" s="709"/>
      <c r="N520" s="666"/>
      <c r="O520" s="666"/>
      <c r="P520" s="666"/>
    </row>
    <row r="521" spans="2:16" ht="12.95" customHeight="1">
      <c r="B521" s="830" t="s">
        <v>379</v>
      </c>
      <c r="C521" s="678">
        <f t="shared" si="56"/>
        <v>2061.671875</v>
      </c>
      <c r="D521" s="678">
        <f t="shared" si="57"/>
        <v>1964.600625</v>
      </c>
      <c r="E521" s="678">
        <f>D521-C521</f>
        <v>-97.071249999999964</v>
      </c>
      <c r="F521" s="680">
        <f>E521/C521</f>
        <v>-4.7083753325198735E-2</v>
      </c>
      <c r="G521" s="666"/>
      <c r="H521" s="666"/>
      <c r="I521" s="666"/>
      <c r="J521" s="666"/>
      <c r="K521" s="694"/>
      <c r="L521" s="666"/>
      <c r="M521" s="666"/>
      <c r="N521" s="666"/>
      <c r="O521" s="666"/>
      <c r="P521" s="666"/>
    </row>
    <row r="522" spans="2:16" ht="12.95" customHeight="1">
      <c r="B522" s="831" t="s">
        <v>215</v>
      </c>
      <c r="C522" s="676"/>
      <c r="D522" s="676"/>
      <c r="E522" s="676"/>
      <c r="F522" s="681"/>
      <c r="G522" s="666"/>
      <c r="H522" s="599"/>
      <c r="K522" s="683"/>
      <c r="L522" s="711"/>
      <c r="M522" s="666"/>
      <c r="N522" s="666"/>
      <c r="O522" s="666"/>
      <c r="P522" s="666"/>
    </row>
    <row r="523" spans="2:16" ht="12.95" customHeight="1">
      <c r="B523" s="828" t="s">
        <v>43</v>
      </c>
      <c r="C523" s="668">
        <f t="shared" si="56"/>
        <v>1707</v>
      </c>
      <c r="D523" s="668">
        <f t="shared" si="57"/>
        <v>1711</v>
      </c>
      <c r="E523" s="668">
        <f>D523-C523</f>
        <v>4</v>
      </c>
      <c r="F523" s="679">
        <f>E523/C523</f>
        <v>2.3432923257176333E-3</v>
      </c>
      <c r="G523" s="666" t="s">
        <v>5</v>
      </c>
      <c r="H523" s="607" t="s">
        <v>399</v>
      </c>
      <c r="K523" s="683">
        <f>K508+K516</f>
        <v>0</v>
      </c>
      <c r="L523" s="698"/>
      <c r="M523" s="666"/>
      <c r="N523" s="666"/>
      <c r="O523" s="666"/>
      <c r="P523" s="666"/>
    </row>
    <row r="524" spans="2:16" ht="12.95" customHeight="1">
      <c r="B524" s="828" t="s">
        <v>38</v>
      </c>
      <c r="C524" s="668">
        <f t="shared" si="56"/>
        <v>1321505</v>
      </c>
      <c r="D524" s="668">
        <f t="shared" si="57"/>
        <v>1052678</v>
      </c>
      <c r="E524" s="668">
        <f>D524-C524</f>
        <v>-268827</v>
      </c>
      <c r="F524" s="679">
        <f>E524/C524</f>
        <v>-0.2034248829932539</v>
      </c>
      <c r="G524" s="666"/>
      <c r="K524" s="693"/>
      <c r="L524" s="699"/>
      <c r="M524" s="666"/>
      <c r="N524" s="666"/>
      <c r="O524" s="666"/>
      <c r="P524" s="666"/>
    </row>
    <row r="525" spans="2:16" ht="12.95" customHeight="1">
      <c r="B525" s="828" t="s">
        <v>39</v>
      </c>
      <c r="C525" s="668">
        <f t="shared" si="56"/>
        <v>3620</v>
      </c>
      <c r="D525" s="668">
        <f t="shared" si="57"/>
        <v>2861.6</v>
      </c>
      <c r="E525" s="668">
        <f>D525-C525</f>
        <v>-758.40000000000009</v>
      </c>
      <c r="F525" s="679">
        <f>E525/C525</f>
        <v>-0.20950276243093924</v>
      </c>
      <c r="G525" s="666"/>
      <c r="H525" s="665" t="s">
        <v>504</v>
      </c>
      <c r="I525" s="665" t="s">
        <v>505</v>
      </c>
      <c r="J525" s="665"/>
      <c r="K525" s="683"/>
      <c r="L525" s="664"/>
      <c r="M525" s="666"/>
      <c r="N525" s="666"/>
      <c r="O525" s="666"/>
      <c r="P525" s="666"/>
    </row>
    <row r="526" spans="2:16" ht="12.95" customHeight="1">
      <c r="B526" s="829" t="s">
        <v>376</v>
      </c>
      <c r="C526" s="683">
        <f t="shared" si="56"/>
        <v>115976.8</v>
      </c>
      <c r="D526" s="683">
        <f t="shared" si="57"/>
        <v>107656.33</v>
      </c>
      <c r="E526" s="668">
        <f>D526-C526</f>
        <v>-8320.4700000000012</v>
      </c>
      <c r="F526" s="679">
        <f>E526/C526</f>
        <v>-7.1742538162804986E-2</v>
      </c>
      <c r="G526" s="666"/>
      <c r="H526" s="665">
        <v>12522131</v>
      </c>
      <c r="I526" s="665">
        <v>12180927.15</v>
      </c>
      <c r="J526" s="664">
        <f>I526-H526</f>
        <v>-341203.84999999963</v>
      </c>
      <c r="K526" s="683"/>
      <c r="L526" s="665"/>
      <c r="M526" s="666"/>
      <c r="N526" s="666"/>
      <c r="O526" s="666"/>
      <c r="P526" s="666"/>
    </row>
    <row r="527" spans="2:16" ht="12.95" customHeight="1">
      <c r="B527" s="830" t="s">
        <v>380</v>
      </c>
      <c r="C527" s="686">
        <f t="shared" si="56"/>
        <v>2.1206795547744579</v>
      </c>
      <c r="D527" s="686">
        <f t="shared" si="57"/>
        <v>1.6724722384570425</v>
      </c>
      <c r="E527" s="678">
        <f>D527-C527</f>
        <v>-0.44820731631741539</v>
      </c>
      <c r="F527" s="680">
        <f>E527/C527</f>
        <v>-0.21135079805354368</v>
      </c>
      <c r="G527" s="666"/>
      <c r="H527" s="665">
        <v>10695468</v>
      </c>
      <c r="I527" s="665">
        <v>11448305.18</v>
      </c>
      <c r="J527" s="664">
        <f t="shared" ref="J527:J537" si="58">I527-H527</f>
        <v>752837.1799999997</v>
      </c>
      <c r="K527" s="683"/>
      <c r="L527" s="665"/>
      <c r="M527" s="666"/>
      <c r="N527" s="666"/>
      <c r="O527" s="666"/>
      <c r="P527" s="666"/>
    </row>
    <row r="528" spans="2:16" ht="12.95" customHeight="1">
      <c r="B528" s="832" t="s">
        <v>181</v>
      </c>
      <c r="C528" s="676"/>
      <c r="D528" s="676"/>
      <c r="E528" s="676"/>
      <c r="F528" s="681"/>
      <c r="G528" s="666"/>
      <c r="H528" s="665">
        <v>11273530</v>
      </c>
      <c r="I528" s="665">
        <v>10924977.359999999</v>
      </c>
      <c r="J528" s="664">
        <f t="shared" si="58"/>
        <v>-348552.6400000006</v>
      </c>
      <c r="K528" s="696">
        <f>SUM(J526:J528)</f>
        <v>63080.689999999478</v>
      </c>
      <c r="L528" s="688"/>
      <c r="M528" s="666"/>
      <c r="N528" s="666"/>
      <c r="O528" s="666"/>
      <c r="P528" s="666"/>
    </row>
    <row r="529" spans="2:16" ht="12.95" customHeight="1">
      <c r="B529" s="828" t="s">
        <v>43</v>
      </c>
      <c r="C529" s="668">
        <f t="shared" si="56"/>
        <v>75</v>
      </c>
      <c r="D529" s="668">
        <f t="shared" si="57"/>
        <v>75</v>
      </c>
      <c r="E529" s="668">
        <f>D529-C529</f>
        <v>0</v>
      </c>
      <c r="F529" s="679">
        <f>E529/C529</f>
        <v>0</v>
      </c>
      <c r="G529" s="666"/>
      <c r="H529" s="665">
        <v>9031993</v>
      </c>
      <c r="I529" s="665">
        <v>8731936</v>
      </c>
      <c r="J529" s="664">
        <f t="shared" si="58"/>
        <v>-300057</v>
      </c>
      <c r="K529" s="713"/>
      <c r="L529" s="696"/>
      <c r="M529" s="712"/>
      <c r="N529" s="712"/>
      <c r="O529" s="712"/>
      <c r="P529" s="666"/>
    </row>
    <row r="530" spans="2:16" ht="12.95" customHeight="1">
      <c r="B530" s="828" t="s">
        <v>38</v>
      </c>
      <c r="C530" s="668">
        <f t="shared" si="56"/>
        <v>109302</v>
      </c>
      <c r="D530" s="668">
        <f t="shared" si="57"/>
        <v>109502</v>
      </c>
      <c r="E530" s="668">
        <f>D530-C530</f>
        <v>200</v>
      </c>
      <c r="F530" s="679">
        <f>E530/C530</f>
        <v>1.8297926844888473E-3</v>
      </c>
      <c r="G530" s="666"/>
      <c r="H530" s="665">
        <v>8286920</v>
      </c>
      <c r="I530" s="665">
        <v>8223122.5700000003</v>
      </c>
      <c r="J530" s="664">
        <f t="shared" si="58"/>
        <v>-63797.429999999702</v>
      </c>
      <c r="K530" s="712"/>
      <c r="L530" s="712"/>
      <c r="M530" s="712"/>
      <c r="N530" s="712"/>
      <c r="O530" s="712"/>
      <c r="P530" s="666"/>
    </row>
    <row r="531" spans="2:16" ht="12.95" customHeight="1">
      <c r="B531" s="828" t="s">
        <v>39</v>
      </c>
      <c r="C531" s="668">
        <f t="shared" si="56"/>
        <v>302</v>
      </c>
      <c r="D531" s="668">
        <f t="shared" si="57"/>
        <v>302</v>
      </c>
      <c r="E531" s="668">
        <f>D531-C531</f>
        <v>0</v>
      </c>
      <c r="F531" s="679">
        <f>E531/C531</f>
        <v>0</v>
      </c>
      <c r="G531" s="666"/>
      <c r="H531" s="665">
        <v>8579731</v>
      </c>
      <c r="I531" s="665">
        <v>8092658.46</v>
      </c>
      <c r="J531" s="664">
        <f t="shared" si="58"/>
        <v>-487072.54000000004</v>
      </c>
      <c r="K531" s="715"/>
      <c r="L531" s="696"/>
      <c r="M531" s="712"/>
      <c r="N531" s="712"/>
      <c r="O531" s="712"/>
      <c r="P531" s="666"/>
    </row>
    <row r="532" spans="2:16" ht="12.95" customHeight="1">
      <c r="B532" s="829" t="s">
        <v>376</v>
      </c>
      <c r="C532" s="683">
        <f t="shared" si="56"/>
        <v>6491.74</v>
      </c>
      <c r="D532" s="683">
        <f t="shared" si="57"/>
        <v>6580.8099999999995</v>
      </c>
      <c r="E532" s="668">
        <f>D532-C532</f>
        <v>89.069999999999709</v>
      </c>
      <c r="F532" s="679">
        <f>E532/C532</f>
        <v>1.3720512528228136E-2</v>
      </c>
      <c r="G532" s="666"/>
      <c r="H532" s="665">
        <v>9080121</v>
      </c>
      <c r="I532" s="665">
        <v>8978804.4600000009</v>
      </c>
      <c r="J532" s="664">
        <f t="shared" si="58"/>
        <v>-101316.53999999911</v>
      </c>
      <c r="K532" s="713"/>
      <c r="L532" s="716"/>
      <c r="M532" s="712"/>
      <c r="N532" s="712"/>
      <c r="O532" s="712"/>
      <c r="P532" s="666"/>
    </row>
    <row r="533" spans="2:16" ht="12.95" customHeight="1">
      <c r="B533" s="830" t="s">
        <v>380</v>
      </c>
      <c r="C533" s="686">
        <f t="shared" si="56"/>
        <v>4.0266666666666664</v>
      </c>
      <c r="D533" s="686">
        <f t="shared" si="57"/>
        <v>4.0266666666666664</v>
      </c>
      <c r="E533" s="678">
        <f>D533-C533</f>
        <v>0</v>
      </c>
      <c r="F533" s="680">
        <f>E533/C533</f>
        <v>0</v>
      </c>
      <c r="G533" s="666"/>
      <c r="H533" s="665">
        <v>8989250</v>
      </c>
      <c r="I533" s="665">
        <v>8939421.9100000001</v>
      </c>
      <c r="J533" s="664">
        <f t="shared" si="58"/>
        <v>-49828.089999999851</v>
      </c>
      <c r="K533" s="713"/>
      <c r="L533" s="716"/>
      <c r="M533" s="712"/>
      <c r="N533" s="712"/>
      <c r="O533" s="712"/>
      <c r="P533" s="666"/>
    </row>
    <row r="534" spans="2:16" ht="12.95" customHeight="1">
      <c r="B534" s="831" t="s">
        <v>2</v>
      </c>
      <c r="C534" s="676"/>
      <c r="D534" s="676"/>
      <c r="E534" s="676"/>
      <c r="F534" s="681"/>
      <c r="G534" s="666"/>
      <c r="H534" s="665">
        <v>8464550</v>
      </c>
      <c r="I534" s="665">
        <v>8496700.6799999997</v>
      </c>
      <c r="J534" s="664">
        <f t="shared" si="58"/>
        <v>32150.679999999702</v>
      </c>
      <c r="K534" s="1073">
        <f>SUM(J529:J534)</f>
        <v>-969920.91999999899</v>
      </c>
      <c r="L534" s="716"/>
      <c r="M534" s="712"/>
      <c r="N534" s="712"/>
      <c r="O534" s="712"/>
      <c r="P534" s="666"/>
    </row>
    <row r="535" spans="2:16" ht="12.95" customHeight="1">
      <c r="B535" s="828" t="s">
        <v>43</v>
      </c>
      <c r="C535" s="668">
        <f t="shared" si="56"/>
        <v>61</v>
      </c>
      <c r="D535" s="668">
        <f t="shared" si="57"/>
        <v>59</v>
      </c>
      <c r="E535" s="668">
        <f>D535-C535</f>
        <v>-2</v>
      </c>
      <c r="F535" s="679">
        <f>E535/C535</f>
        <v>-3.2786885245901641E-2</v>
      </c>
      <c r="G535" s="666"/>
      <c r="H535" s="665">
        <v>8670762</v>
      </c>
      <c r="I535" s="665">
        <v>8450501.8100000005</v>
      </c>
      <c r="J535" s="664">
        <f t="shared" si="58"/>
        <v>-220260.18999999948</v>
      </c>
      <c r="K535" s="715"/>
      <c r="L535" s="717"/>
      <c r="M535" s="712"/>
      <c r="N535" s="712"/>
      <c r="O535" s="712"/>
      <c r="P535" s="666"/>
    </row>
    <row r="536" spans="2:16" ht="12.95" customHeight="1">
      <c r="B536" s="828" t="s">
        <v>38</v>
      </c>
      <c r="C536" s="668">
        <f t="shared" si="56"/>
        <v>565759</v>
      </c>
      <c r="D536" s="668">
        <f t="shared" si="57"/>
        <v>543571</v>
      </c>
      <c r="E536" s="668">
        <f>D536-C536</f>
        <v>-22188</v>
      </c>
      <c r="F536" s="679">
        <f>E536/C536</f>
        <v>-3.921811230576977E-2</v>
      </c>
      <c r="G536" s="666"/>
      <c r="H536" s="665">
        <v>9598673</v>
      </c>
      <c r="I536" s="665">
        <v>8794018.0199999996</v>
      </c>
      <c r="J536" s="664">
        <f t="shared" si="58"/>
        <v>-804654.98000000045</v>
      </c>
      <c r="K536" s="715"/>
      <c r="L536" s="717"/>
      <c r="M536" s="712"/>
      <c r="N536" s="712"/>
      <c r="O536" s="712"/>
      <c r="P536" s="666"/>
    </row>
    <row r="537" spans="2:16" ht="12.95" customHeight="1">
      <c r="B537" s="829" t="s">
        <v>376</v>
      </c>
      <c r="C537" s="683">
        <f t="shared" si="56"/>
        <v>13043.37</v>
      </c>
      <c r="D537" s="683">
        <f t="shared" si="57"/>
        <v>12576.75</v>
      </c>
      <c r="E537" s="668">
        <f>D537-C537</f>
        <v>-466.6200000000008</v>
      </c>
      <c r="F537" s="679">
        <f>E537/C537</f>
        <v>-3.5774496928324566E-2</v>
      </c>
      <c r="G537" s="666"/>
      <c r="H537" s="665">
        <v>10755419</v>
      </c>
      <c r="I537" s="665">
        <v>9423404.3499999996</v>
      </c>
      <c r="J537" s="664">
        <f t="shared" si="58"/>
        <v>-1332014.6500000004</v>
      </c>
      <c r="K537" s="1073">
        <f>SUM(J535:J537)</f>
        <v>-2356929.8200000003</v>
      </c>
      <c r="L537" s="696"/>
      <c r="M537" s="712"/>
      <c r="N537" s="712"/>
      <c r="O537" s="712"/>
      <c r="P537" s="666"/>
    </row>
    <row r="538" spans="2:16" ht="12.95" customHeight="1">
      <c r="B538" s="830" t="s">
        <v>381</v>
      </c>
      <c r="C538" s="678">
        <f t="shared" si="56"/>
        <v>772.89480874316939</v>
      </c>
      <c r="D538" s="678">
        <f t="shared" si="57"/>
        <v>767.75564971751419</v>
      </c>
      <c r="E538" s="678">
        <f>D538-C538</f>
        <v>-5.1391590256552035</v>
      </c>
      <c r="F538" s="680">
        <f>E538/C538</f>
        <v>-6.6492347568127223E-3</v>
      </c>
      <c r="G538" s="666"/>
      <c r="K538" s="713"/>
      <c r="L538" s="696"/>
      <c r="M538" s="712"/>
      <c r="N538" s="712"/>
      <c r="O538" s="712"/>
      <c r="P538" s="666"/>
    </row>
    <row r="539" spans="2:16" ht="12.95" customHeight="1">
      <c r="B539" s="831" t="s">
        <v>5</v>
      </c>
      <c r="C539" s="676"/>
      <c r="D539" s="676"/>
      <c r="E539" s="676"/>
      <c r="F539" s="681"/>
      <c r="G539" s="666"/>
      <c r="H539" s="712"/>
      <c r="I539" s="712"/>
      <c r="J539" s="712"/>
      <c r="K539" s="712"/>
      <c r="L539" s="712"/>
      <c r="M539" s="712"/>
      <c r="N539" s="712"/>
      <c r="O539" s="712"/>
      <c r="P539" s="666"/>
    </row>
    <row r="540" spans="2:16" ht="12.95" customHeight="1">
      <c r="B540" s="828" t="s">
        <v>45</v>
      </c>
      <c r="C540" s="983">
        <f t="shared" si="56"/>
        <v>7701</v>
      </c>
      <c r="D540" s="983">
        <f t="shared" si="57"/>
        <v>7705</v>
      </c>
      <c r="E540" s="668">
        <f>D540-C540</f>
        <v>4</v>
      </c>
      <c r="F540" s="679">
        <f>E540/C540</f>
        <v>5.1941306323854042E-4</v>
      </c>
      <c r="G540" s="666"/>
      <c r="H540" s="714"/>
      <c r="I540" s="643"/>
      <c r="J540" s="643"/>
      <c r="K540" s="715"/>
      <c r="L540" s="712"/>
      <c r="M540" s="712"/>
      <c r="N540" s="712"/>
      <c r="O540" s="712"/>
      <c r="P540" s="666"/>
    </row>
    <row r="541" spans="2:16" ht="12.95" customHeight="1">
      <c r="B541" s="828" t="s">
        <v>38</v>
      </c>
      <c r="C541" s="983">
        <f t="shared" si="56"/>
        <v>107593001</v>
      </c>
      <c r="D541" s="983">
        <f t="shared" si="57"/>
        <v>104215271.962</v>
      </c>
      <c r="E541" s="668">
        <f>D541-C541</f>
        <v>-3377729.0380000025</v>
      </c>
      <c r="F541" s="679">
        <f>E541/C541</f>
        <v>-3.1393575851648592E-2</v>
      </c>
      <c r="G541" s="666"/>
      <c r="H541" s="643"/>
      <c r="I541" s="643"/>
      <c r="J541" s="643"/>
      <c r="K541" s="713"/>
      <c r="L541" s="712"/>
      <c r="M541" s="712"/>
      <c r="N541" s="712"/>
      <c r="O541" s="712"/>
      <c r="P541" s="666"/>
    </row>
    <row r="542" spans="2:16" ht="12.95" customHeight="1">
      <c r="B542" s="828" t="s">
        <v>44</v>
      </c>
      <c r="C542" s="983">
        <f t="shared" si="56"/>
        <v>135869</v>
      </c>
      <c r="D542" s="983">
        <f t="shared" si="57"/>
        <v>128898.04000000001</v>
      </c>
      <c r="E542" s="668">
        <f>D542-C542</f>
        <v>-6970.9599999999919</v>
      </c>
      <c r="F542" s="679">
        <f>E542/C542</f>
        <v>-5.1306479034952723E-2</v>
      </c>
      <c r="G542" s="666"/>
      <c r="H542" s="643"/>
      <c r="I542" s="643"/>
      <c r="J542" s="643"/>
      <c r="K542" s="713"/>
      <c r="L542" s="712"/>
      <c r="M542" s="712"/>
      <c r="N542" s="712"/>
      <c r="O542" s="712"/>
      <c r="P542" s="666"/>
    </row>
    <row r="543" spans="2:16" ht="12.95" customHeight="1">
      <c r="B543" s="833" t="s">
        <v>376</v>
      </c>
      <c r="C543" s="669">
        <f>J348</f>
        <v>2422428.3500000006</v>
      </c>
      <c r="D543" s="669">
        <f>M348</f>
        <v>2476590.61</v>
      </c>
      <c r="E543" s="678">
        <f>D543-C543</f>
        <v>54162.259999999311</v>
      </c>
      <c r="F543" s="680">
        <f>E543/C543</f>
        <v>2.2358663363562147E-2</v>
      </c>
      <c r="G543" s="666"/>
      <c r="H543" s="643"/>
      <c r="I543" s="643"/>
      <c r="J543" s="643"/>
      <c r="K543" s="715"/>
      <c r="L543" s="712"/>
      <c r="M543" s="643"/>
      <c r="N543" s="643"/>
      <c r="O543" s="643"/>
    </row>
    <row r="547" spans="2:15" ht="15">
      <c r="B547" s="599" t="s">
        <v>495</v>
      </c>
      <c r="C547" s="666"/>
      <c r="E547" s="666"/>
      <c r="F547" s="666"/>
      <c r="G547" s="666"/>
      <c r="H547" s="666"/>
      <c r="I547" s="666"/>
      <c r="J547" s="666"/>
      <c r="K547" s="666"/>
      <c r="L547" s="666"/>
      <c r="M547" s="666"/>
      <c r="N547" s="666"/>
      <c r="O547" s="666"/>
    </row>
    <row r="548" spans="2:15" ht="15" thickBot="1">
      <c r="C548" s="666"/>
      <c r="D548" s="666"/>
      <c r="E548" s="666"/>
      <c r="F548" s="666"/>
      <c r="G548" s="666"/>
      <c r="I548" s="666"/>
      <c r="K548" s="666"/>
      <c r="L548" s="666"/>
      <c r="M548" s="666"/>
      <c r="N548" s="666"/>
      <c r="O548" s="666"/>
    </row>
    <row r="549" spans="2:15" ht="15.75" thickTop="1">
      <c r="B549" s="980"/>
      <c r="C549" s="1045" t="s">
        <v>377</v>
      </c>
      <c r="D549" s="987" t="s">
        <v>344</v>
      </c>
      <c r="E549" s="1045" t="s">
        <v>162</v>
      </c>
      <c r="F549" s="1046"/>
      <c r="G549" s="666"/>
      <c r="H549" s="692" t="s">
        <v>403</v>
      </c>
      <c r="I549" s="666"/>
      <c r="J549" s="666"/>
      <c r="K549" s="666"/>
      <c r="L549" s="706">
        <v>2015</v>
      </c>
      <c r="M549" s="706">
        <v>2014</v>
      </c>
      <c r="N549" s="666"/>
      <c r="O549" s="666"/>
    </row>
    <row r="550" spans="2:15" ht="12.95" customHeight="1">
      <c r="B550" s="826"/>
      <c r="C550" s="981"/>
      <c r="D550" s="981"/>
      <c r="E550" s="981"/>
      <c r="F550" s="982" t="s">
        <v>159</v>
      </c>
      <c r="G550" s="666"/>
      <c r="H550" s="607" t="s">
        <v>387</v>
      </c>
      <c r="K550" s="693">
        <f>(L550-M550)*M554</f>
        <v>-6751.8097633999605</v>
      </c>
      <c r="L550" s="668">
        <f>D553</f>
        <v>40480043.329000004</v>
      </c>
      <c r="M550" s="666">
        <f>C553</f>
        <v>40938310.960000001</v>
      </c>
      <c r="N550" s="666"/>
      <c r="O550" s="666"/>
    </row>
    <row r="551" spans="2:15" ht="12.95" customHeight="1">
      <c r="B551" s="827" t="s">
        <v>1</v>
      </c>
      <c r="C551" s="667"/>
      <c r="D551" s="667"/>
      <c r="E551" s="667"/>
      <c r="F551" s="673"/>
      <c r="G551" s="666"/>
      <c r="K551" s="693">
        <f>(L551-M551)*C552*4</f>
        <v>0</v>
      </c>
      <c r="L551" s="664">
        <v>0</v>
      </c>
      <c r="M551" s="702"/>
      <c r="N551" s="666"/>
      <c r="O551" s="666"/>
    </row>
    <row r="552" spans="2:15" ht="12.95" customHeight="1">
      <c r="B552" s="828" t="s">
        <v>37</v>
      </c>
      <c r="C552" s="668">
        <f>M312</f>
        <v>5054</v>
      </c>
      <c r="D552" s="668">
        <f>P312</f>
        <v>5071</v>
      </c>
      <c r="E552" s="668">
        <f>D552-C552</f>
        <v>17</v>
      </c>
      <c r="F552" s="679">
        <f>E552/C552</f>
        <v>3.3636723387415906E-3</v>
      </c>
      <c r="G552" s="666">
        <f>F552-R312</f>
        <v>0</v>
      </c>
      <c r="K552" s="693">
        <f>(L552-M552)*M550/12*4</f>
        <v>0</v>
      </c>
      <c r="L552" s="664">
        <v>0</v>
      </c>
      <c r="M552" s="703"/>
      <c r="N552" s="666"/>
      <c r="O552" s="666"/>
    </row>
    <row r="553" spans="2:15" ht="12.95" customHeight="1">
      <c r="B553" s="828" t="s">
        <v>38</v>
      </c>
      <c r="C553" s="668">
        <f>M313</f>
        <v>40938310.960000001</v>
      </c>
      <c r="D553" s="668">
        <f>P313</f>
        <v>40480043.329000004</v>
      </c>
      <c r="E553" s="668">
        <f>D553-C553</f>
        <v>-458267.63099999726</v>
      </c>
      <c r="F553" s="679">
        <f>E553/C553</f>
        <v>-1.1194102058772316E-2</v>
      </c>
      <c r="G553" s="666">
        <f t="shared" ref="G553:G588" si="59">F553-R313</f>
        <v>0</v>
      </c>
      <c r="K553" s="693">
        <f>(L553-M553)*C552*8</f>
        <v>0</v>
      </c>
      <c r="L553" s="666">
        <v>0</v>
      </c>
      <c r="M553" s="702"/>
      <c r="N553" s="666"/>
      <c r="O553" s="666"/>
    </row>
    <row r="554" spans="2:15" ht="12.95" customHeight="1">
      <c r="B554" s="829" t="s">
        <v>376</v>
      </c>
      <c r="C554" s="683">
        <f>M314</f>
        <v>1418450.81</v>
      </c>
      <c r="D554" s="683">
        <f>P314</f>
        <v>1547492.6407823511</v>
      </c>
      <c r="E554" s="668">
        <f>D554-C554</f>
        <v>129041.83078235108</v>
      </c>
      <c r="F554" s="679">
        <f>E554/C554</f>
        <v>9.0973779191081766E-2</v>
      </c>
      <c r="G554" s="666">
        <f t="shared" si="59"/>
        <v>0</v>
      </c>
      <c r="H554" s="666" t="s">
        <v>400</v>
      </c>
      <c r="I554" s="666"/>
      <c r="K554" s="693">
        <f>(L554-M554)*L550</f>
        <v>8096.0086657999518</v>
      </c>
      <c r="L554" s="704">
        <f>0.0148*4/12+0.015*8/12</f>
        <v>1.4933333333333333E-2</v>
      </c>
      <c r="M554" s="704">
        <f>0.0146*4/12+0.0148*8/12</f>
        <v>1.4733333333333334E-2</v>
      </c>
      <c r="N554" s="666"/>
      <c r="O554" s="666"/>
    </row>
    <row r="555" spans="2:15" ht="12.95" customHeight="1">
      <c r="B555" s="830" t="s">
        <v>378</v>
      </c>
      <c r="C555" s="678">
        <f>M315</f>
        <v>675.01502044585152</v>
      </c>
      <c r="D555" s="678">
        <f>P315</f>
        <v>665.22124710773687</v>
      </c>
      <c r="E555" s="678">
        <f>D555-C555</f>
        <v>-9.7937733381146472</v>
      </c>
      <c r="F555" s="680">
        <f>E555/C555</f>
        <v>-1.4508970973187827E-2</v>
      </c>
      <c r="G555" s="666">
        <f t="shared" si="59"/>
        <v>0</v>
      </c>
      <c r="H555" s="666" t="s">
        <v>401</v>
      </c>
      <c r="I555" s="666"/>
      <c r="K555" s="693">
        <f>(L555-M555)*D552*12</f>
        <v>10953.359999999982</v>
      </c>
      <c r="L555" s="705">
        <f>13.02*4/12+13.19*8/12</f>
        <v>13.133333333333333</v>
      </c>
      <c r="M555" s="705">
        <f>12.82*4/12+13.02*8/12</f>
        <v>12.953333333333333</v>
      </c>
      <c r="N555" s="666"/>
      <c r="O555" s="666"/>
    </row>
    <row r="556" spans="2:15" ht="12.95" customHeight="1">
      <c r="B556" s="831" t="s">
        <v>116</v>
      </c>
      <c r="C556" s="676"/>
      <c r="D556" s="676"/>
      <c r="E556" s="676"/>
      <c r="F556" s="681"/>
      <c r="G556" s="666">
        <f t="shared" si="59"/>
        <v>0</v>
      </c>
      <c r="H556" s="643" t="s">
        <v>405</v>
      </c>
      <c r="I556" s="643"/>
      <c r="J556" s="707"/>
      <c r="K556" s="695">
        <f>L556-M556</f>
        <v>10600.43</v>
      </c>
      <c r="L556" s="688">
        <v>3968.5</v>
      </c>
      <c r="M556" s="666">
        <v>-6631.93</v>
      </c>
      <c r="N556" s="666"/>
      <c r="O556" s="666"/>
    </row>
    <row r="557" spans="2:15" ht="12.95" customHeight="1">
      <c r="B557" s="828" t="s">
        <v>37</v>
      </c>
      <c r="C557" s="668">
        <f t="shared" ref="C557:C588" si="60">M317</f>
        <v>742</v>
      </c>
      <c r="D557" s="668">
        <f t="shared" ref="D557:D588" si="61">P317</f>
        <v>740</v>
      </c>
      <c r="E557" s="668">
        <f>D557-C557</f>
        <v>-2</v>
      </c>
      <c r="F557" s="679">
        <f>E557/C557</f>
        <v>-2.6954177897574125E-3</v>
      </c>
      <c r="G557" s="666">
        <f t="shared" si="59"/>
        <v>0</v>
      </c>
      <c r="H557" s="708"/>
      <c r="I557" s="709"/>
      <c r="J557" s="709"/>
      <c r="K557" s="710">
        <f>SUM(K550:K556)</f>
        <v>22897.988902399975</v>
      </c>
      <c r="L557" s="691"/>
      <c r="M557" s="709"/>
      <c r="N557" s="666"/>
      <c r="O557" s="666"/>
    </row>
    <row r="558" spans="2:15" ht="12.95" customHeight="1">
      <c r="B558" s="828" t="s">
        <v>38</v>
      </c>
      <c r="C558" s="668">
        <f t="shared" si="60"/>
        <v>20653133.002</v>
      </c>
      <c r="D558" s="668">
        <f t="shared" si="61"/>
        <v>20348622.955000002</v>
      </c>
      <c r="E558" s="668">
        <f>D558-C558</f>
        <v>-304510.04699999839</v>
      </c>
      <c r="F558" s="679">
        <f>E558/C558</f>
        <v>-1.4744012299272481E-2</v>
      </c>
      <c r="G558" s="666">
        <f t="shared" si="59"/>
        <v>0</v>
      </c>
      <c r="H558" s="607" t="s">
        <v>387</v>
      </c>
      <c r="K558" s="693">
        <f>(L558-M558)*M562</f>
        <v>277029.18703720003</v>
      </c>
      <c r="L558" s="668">
        <f>D563</f>
        <v>39456019</v>
      </c>
      <c r="M558" s="666">
        <f>C558</f>
        <v>20653133.002</v>
      </c>
      <c r="N558" s="666"/>
      <c r="O558" s="666"/>
    </row>
    <row r="559" spans="2:15" ht="12.95" customHeight="1">
      <c r="B559" s="829" t="s">
        <v>376</v>
      </c>
      <c r="C559" s="683">
        <f t="shared" si="60"/>
        <v>482663.68999999994</v>
      </c>
      <c r="D559" s="683">
        <f t="shared" si="61"/>
        <v>504772.00329809316</v>
      </c>
      <c r="E559" s="668">
        <f>D559-C559</f>
        <v>22108.313298093213</v>
      </c>
      <c r="F559" s="679">
        <f>E559/C559</f>
        <v>4.5804798985590187E-2</v>
      </c>
      <c r="G559" s="666">
        <f t="shared" si="59"/>
        <v>0</v>
      </c>
      <c r="H559" s="692" t="s">
        <v>236</v>
      </c>
      <c r="K559" s="693">
        <f>(L559-M559)*C560*4</f>
        <v>0</v>
      </c>
      <c r="L559" s="664">
        <v>0</v>
      </c>
      <c r="M559" s="702"/>
      <c r="N559" s="666"/>
      <c r="O559" s="666"/>
    </row>
    <row r="560" spans="2:15" ht="12.95" customHeight="1">
      <c r="B560" s="830" t="s">
        <v>378</v>
      </c>
      <c r="C560" s="678">
        <f t="shared" si="60"/>
        <v>2319.5342544923628</v>
      </c>
      <c r="D560" s="678">
        <f t="shared" si="61"/>
        <v>2291.5115940315318</v>
      </c>
      <c r="E560" s="678">
        <f>D560-C560</f>
        <v>-28.022660460831048</v>
      </c>
      <c r="F560" s="680">
        <f>E560/C560</f>
        <v>-1.2081158278459609E-2</v>
      </c>
      <c r="G560" s="666">
        <f t="shared" si="59"/>
        <v>0</v>
      </c>
      <c r="K560" s="693">
        <f>(L560-M560)*M558/12*4</f>
        <v>0</v>
      </c>
      <c r="L560" s="664">
        <v>0</v>
      </c>
      <c r="M560" s="703"/>
      <c r="N560" s="666"/>
      <c r="O560" s="666"/>
    </row>
    <row r="561" spans="2:15" ht="12.95" customHeight="1">
      <c r="B561" s="831" t="s">
        <v>299</v>
      </c>
      <c r="C561" s="676"/>
      <c r="D561" s="676"/>
      <c r="E561" s="676"/>
      <c r="F561" s="681"/>
      <c r="G561" s="666">
        <f t="shared" si="59"/>
        <v>0</v>
      </c>
      <c r="K561" s="693">
        <f>(L561-M561)*C560*8</f>
        <v>0</v>
      </c>
      <c r="L561" s="666">
        <v>0</v>
      </c>
      <c r="M561" s="702"/>
      <c r="N561" s="666"/>
      <c r="O561" s="666"/>
    </row>
    <row r="562" spans="2:15" ht="12.95" customHeight="1">
      <c r="B562" s="828" t="s">
        <v>37</v>
      </c>
      <c r="C562" s="668">
        <f t="shared" si="60"/>
        <v>64</v>
      </c>
      <c r="D562" s="668">
        <f t="shared" si="61"/>
        <v>64</v>
      </c>
      <c r="E562" s="668">
        <f>D562-C562</f>
        <v>0</v>
      </c>
      <c r="F562" s="679">
        <f>E562/C562</f>
        <v>0</v>
      </c>
      <c r="G562" s="666">
        <f t="shared" si="59"/>
        <v>0</v>
      </c>
      <c r="H562" s="666" t="s">
        <v>400</v>
      </c>
      <c r="I562" s="666"/>
      <c r="K562" s="693">
        <f>(L562-M562)*L558</f>
        <v>7891.203799999952</v>
      </c>
      <c r="L562" s="704">
        <f>0.0148*4/12+0.015*8/12</f>
        <v>1.4933333333333333E-2</v>
      </c>
      <c r="M562" s="704">
        <f>0.0146*4/12+0.0148*8/12</f>
        <v>1.4733333333333334E-2</v>
      </c>
      <c r="N562" s="666"/>
      <c r="O562" s="666"/>
    </row>
    <row r="563" spans="2:15" ht="12.95" customHeight="1">
      <c r="B563" s="828" t="s">
        <v>38</v>
      </c>
      <c r="C563" s="668">
        <f t="shared" si="60"/>
        <v>40918077</v>
      </c>
      <c r="D563" s="668">
        <f t="shared" si="61"/>
        <v>39456019</v>
      </c>
      <c r="E563" s="668">
        <f>D563-C563</f>
        <v>-1462058</v>
      </c>
      <c r="F563" s="679">
        <f>E563/C563</f>
        <v>-3.5731346807915731E-2</v>
      </c>
      <c r="G563" s="666">
        <f t="shared" si="59"/>
        <v>0</v>
      </c>
      <c r="H563" s="666" t="s">
        <v>401</v>
      </c>
      <c r="I563" s="666"/>
      <c r="K563" s="693">
        <f>(L563-M563)*D560*12</f>
        <v>4949.6650431081007</v>
      </c>
      <c r="L563" s="705">
        <f>13.02*4/12+13.19*8/12</f>
        <v>13.133333333333333</v>
      </c>
      <c r="M563" s="705">
        <f>12.82*4/12+13.02*8/12</f>
        <v>12.953333333333333</v>
      </c>
      <c r="N563" s="666"/>
      <c r="O563" s="666"/>
    </row>
    <row r="564" spans="2:15" ht="12.95" customHeight="1">
      <c r="B564" s="828" t="s">
        <v>39</v>
      </c>
      <c r="C564" s="668">
        <f t="shared" si="60"/>
        <v>125734.44</v>
      </c>
      <c r="D564" s="668">
        <f t="shared" si="61"/>
        <v>115477</v>
      </c>
      <c r="E564" s="668">
        <f>D564-C564</f>
        <v>-10257.440000000002</v>
      </c>
      <c r="F564" s="679">
        <f>E564/C564</f>
        <v>-8.1580193938908085E-2</v>
      </c>
      <c r="G564" s="666">
        <f t="shared" si="59"/>
        <v>0</v>
      </c>
      <c r="H564" s="643" t="s">
        <v>405</v>
      </c>
      <c r="I564" s="643"/>
      <c r="J564" s="707"/>
      <c r="K564" s="695">
        <f>L564-M564</f>
        <v>10600.43</v>
      </c>
      <c r="L564" s="688">
        <v>3968.5</v>
      </c>
      <c r="M564" s="666">
        <v>-6631.93</v>
      </c>
      <c r="N564" s="666"/>
      <c r="O564" s="666"/>
    </row>
    <row r="565" spans="2:15" ht="12.95" customHeight="1">
      <c r="B565" s="829" t="s">
        <v>376</v>
      </c>
      <c r="C565" s="683">
        <f t="shared" si="60"/>
        <v>448662.22</v>
      </c>
      <c r="D565" s="683">
        <f t="shared" si="61"/>
        <v>457430.82839669025</v>
      </c>
      <c r="E565" s="668">
        <f>D565-C565</f>
        <v>8768.6083966902806</v>
      </c>
      <c r="F565" s="679">
        <f>E565/C565</f>
        <v>1.9543897403909518E-2</v>
      </c>
      <c r="G565" s="666">
        <f t="shared" si="59"/>
        <v>0</v>
      </c>
      <c r="H565" s="708"/>
      <c r="I565" s="709"/>
      <c r="J565" s="709"/>
      <c r="K565" s="710">
        <f>SUM(K558:K564)</f>
        <v>300470.48588030809</v>
      </c>
      <c r="L565" s="691"/>
      <c r="M565" s="709"/>
      <c r="N565" s="666"/>
      <c r="O565" s="666"/>
    </row>
    <row r="566" spans="2:15" ht="12.95" customHeight="1">
      <c r="B566" s="830" t="s">
        <v>379</v>
      </c>
      <c r="C566" s="678">
        <f t="shared" si="60"/>
        <v>1964.600625</v>
      </c>
      <c r="D566" s="678">
        <f t="shared" si="61"/>
        <v>1804.328125</v>
      </c>
      <c r="E566" s="678">
        <f>D566-C566</f>
        <v>-160.27250000000004</v>
      </c>
      <c r="F566" s="680">
        <f>E566/C566</f>
        <v>-8.1580193938908085E-2</v>
      </c>
      <c r="G566" s="666">
        <f t="shared" si="59"/>
        <v>0</v>
      </c>
      <c r="H566" s="666"/>
      <c r="I566" s="666"/>
      <c r="J566" s="666"/>
      <c r="K566" s="694"/>
      <c r="L566" s="666"/>
      <c r="M566" s="666"/>
      <c r="N566" s="666"/>
      <c r="O566" s="666"/>
    </row>
    <row r="567" spans="2:15" ht="12.95" customHeight="1">
      <c r="B567" s="831" t="s">
        <v>215</v>
      </c>
      <c r="C567" s="676"/>
      <c r="D567" s="676"/>
      <c r="E567" s="676"/>
      <c r="F567" s="681"/>
      <c r="G567" s="666">
        <f t="shared" si="59"/>
        <v>0</v>
      </c>
      <c r="H567" s="599"/>
      <c r="K567" s="683"/>
      <c r="L567" s="711"/>
      <c r="M567" s="666"/>
      <c r="N567" s="666"/>
      <c r="O567" s="666"/>
    </row>
    <row r="568" spans="2:15" ht="12.95" customHeight="1">
      <c r="B568" s="828" t="s">
        <v>43</v>
      </c>
      <c r="C568" s="668">
        <f t="shared" si="60"/>
        <v>1711</v>
      </c>
      <c r="D568" s="668">
        <f t="shared" si="61"/>
        <v>1711</v>
      </c>
      <c r="E568" s="668">
        <f>D568-C568</f>
        <v>0</v>
      </c>
      <c r="F568" s="679">
        <f>E568/C568</f>
        <v>0</v>
      </c>
      <c r="G568" s="666">
        <f t="shared" si="59"/>
        <v>0</v>
      </c>
      <c r="H568" s="607" t="s">
        <v>399</v>
      </c>
      <c r="K568" s="683">
        <f>K553+K561</f>
        <v>0</v>
      </c>
      <c r="L568" s="698"/>
      <c r="M568" s="666"/>
      <c r="N568" s="666"/>
      <c r="O568" s="666"/>
    </row>
    <row r="569" spans="2:15" ht="12.95" customHeight="1">
      <c r="B569" s="828" t="s">
        <v>38</v>
      </c>
      <c r="C569" s="668">
        <f t="shared" si="60"/>
        <v>1052678</v>
      </c>
      <c r="D569" s="668">
        <f t="shared" si="61"/>
        <v>773158</v>
      </c>
      <c r="E569" s="668">
        <f>D569-C569</f>
        <v>-279520</v>
      </c>
      <c r="F569" s="679">
        <f>E569/C569</f>
        <v>-0.26553229002600987</v>
      </c>
      <c r="G569" s="666">
        <f t="shared" si="59"/>
        <v>0</v>
      </c>
      <c r="H569" s="666" t="s">
        <v>5</v>
      </c>
      <c r="K569" s="693"/>
      <c r="L569" s="699"/>
      <c r="M569" s="666"/>
      <c r="N569" s="666"/>
      <c r="O569" s="666"/>
    </row>
    <row r="570" spans="2:15" ht="12.95" customHeight="1">
      <c r="B570" s="828" t="s">
        <v>39</v>
      </c>
      <c r="C570" s="668">
        <f t="shared" si="60"/>
        <v>2861.6</v>
      </c>
      <c r="D570" s="668">
        <f t="shared" si="61"/>
        <v>2070</v>
      </c>
      <c r="E570" s="668">
        <f>D570-C570</f>
        <v>-791.59999999999991</v>
      </c>
      <c r="F570" s="679">
        <f>E570/C570</f>
        <v>-0.27662845960301929</v>
      </c>
      <c r="G570" s="666">
        <f t="shared" si="59"/>
        <v>0</v>
      </c>
      <c r="K570" s="683"/>
      <c r="L570" s="664"/>
      <c r="M570" s="666"/>
      <c r="N570" s="666"/>
      <c r="O570" s="666"/>
    </row>
    <row r="571" spans="2:15" ht="12.95" customHeight="1">
      <c r="B571" s="829" t="s">
        <v>376</v>
      </c>
      <c r="C571" s="683">
        <f t="shared" si="60"/>
        <v>107656.33</v>
      </c>
      <c r="D571" s="683">
        <f t="shared" si="61"/>
        <v>107317.88269386216</v>
      </c>
      <c r="E571" s="668">
        <f>D571-C571</f>
        <v>-338.44730613783759</v>
      </c>
      <c r="F571" s="679">
        <f>E571/C571</f>
        <v>-3.1437752535112204E-3</v>
      </c>
      <c r="G571" s="666">
        <f t="shared" si="59"/>
        <v>0</v>
      </c>
      <c r="H571" s="666"/>
      <c r="I571" s="666"/>
      <c r="K571" s="683"/>
      <c r="L571" s="665"/>
      <c r="M571" s="666"/>
      <c r="N571" s="666"/>
      <c r="O571" s="666"/>
    </row>
    <row r="572" spans="2:15" ht="12.95" customHeight="1">
      <c r="B572" s="830" t="s">
        <v>380</v>
      </c>
      <c r="C572" s="686">
        <f t="shared" si="60"/>
        <v>1.6724722384570425</v>
      </c>
      <c r="D572" s="686">
        <f t="shared" si="61"/>
        <v>1.2098188194038575</v>
      </c>
      <c r="E572" s="678">
        <f>D572-C572</f>
        <v>-0.46265341905318502</v>
      </c>
      <c r="F572" s="680">
        <f>E572/C572</f>
        <v>-0.27662845960301918</v>
      </c>
      <c r="G572" s="666">
        <f t="shared" si="59"/>
        <v>0</v>
      </c>
      <c r="H572" s="666"/>
      <c r="I572" s="666"/>
      <c r="K572" s="683"/>
      <c r="L572" s="665"/>
      <c r="M572" s="666"/>
      <c r="N572" s="666"/>
      <c r="O572" s="666"/>
    </row>
    <row r="573" spans="2:15" ht="12.95" customHeight="1">
      <c r="B573" s="832" t="s">
        <v>181</v>
      </c>
      <c r="C573" s="676"/>
      <c r="D573" s="676"/>
      <c r="E573" s="676"/>
      <c r="F573" s="681"/>
      <c r="G573" s="666">
        <f t="shared" si="59"/>
        <v>0</v>
      </c>
      <c r="H573" s="643"/>
      <c r="I573" s="643"/>
      <c r="J573" s="643"/>
      <c r="K573" s="696"/>
      <c r="L573" s="688"/>
      <c r="M573" s="666"/>
      <c r="N573" s="666"/>
      <c r="O573" s="666"/>
    </row>
    <row r="574" spans="2:15" ht="12.95" customHeight="1">
      <c r="B574" s="828" t="s">
        <v>43</v>
      </c>
      <c r="C574" s="668">
        <f t="shared" si="60"/>
        <v>75</v>
      </c>
      <c r="D574" s="668">
        <f t="shared" si="61"/>
        <v>73</v>
      </c>
      <c r="E574" s="668">
        <f>D574-C574</f>
        <v>-2</v>
      </c>
      <c r="F574" s="679">
        <f>E574/C574</f>
        <v>-2.6666666666666668E-2</v>
      </c>
      <c r="G574" s="666">
        <f t="shared" si="59"/>
        <v>0</v>
      </c>
      <c r="H574" s="712"/>
      <c r="I574" s="712"/>
      <c r="J574" s="712"/>
      <c r="K574" s="713"/>
      <c r="L574" s="696"/>
      <c r="M574" s="712"/>
      <c r="N574" s="712"/>
      <c r="O574" s="712"/>
    </row>
    <row r="575" spans="2:15" ht="12.95" customHeight="1">
      <c r="B575" s="828" t="s">
        <v>38</v>
      </c>
      <c r="C575" s="668">
        <f t="shared" si="60"/>
        <v>109502</v>
      </c>
      <c r="D575" s="668">
        <f t="shared" si="61"/>
        <v>106791</v>
      </c>
      <c r="E575" s="668">
        <f>D575-C575</f>
        <v>-2711</v>
      </c>
      <c r="F575" s="679">
        <f>E575/C575</f>
        <v>-2.4757538675092693E-2</v>
      </c>
      <c r="G575" s="666">
        <f t="shared" si="59"/>
        <v>0</v>
      </c>
      <c r="H575" s="712"/>
      <c r="I575" s="712"/>
      <c r="J575" s="712"/>
      <c r="K575" s="712"/>
      <c r="L575" s="712"/>
      <c r="M575" s="712"/>
      <c r="N575" s="712"/>
      <c r="O575" s="712"/>
    </row>
    <row r="576" spans="2:15" ht="12.95" customHeight="1">
      <c r="B576" s="828" t="s">
        <v>39</v>
      </c>
      <c r="C576" s="668">
        <f t="shared" si="60"/>
        <v>302</v>
      </c>
      <c r="D576" s="668">
        <f t="shared" si="61"/>
        <v>302</v>
      </c>
      <c r="E576" s="668">
        <f>D576-C576</f>
        <v>0</v>
      </c>
      <c r="F576" s="679">
        <f>E576/C576</f>
        <v>0</v>
      </c>
      <c r="G576" s="666">
        <f t="shared" si="59"/>
        <v>0</v>
      </c>
      <c r="H576" s="714"/>
      <c r="I576" s="643"/>
      <c r="J576" s="643"/>
      <c r="K576" s="715"/>
      <c r="L576" s="696"/>
      <c r="M576" s="712"/>
      <c r="N576" s="712"/>
      <c r="O576" s="712"/>
    </row>
    <row r="577" spans="2:15" ht="12.95" customHeight="1">
      <c r="B577" s="829" t="s">
        <v>376</v>
      </c>
      <c r="C577" s="683">
        <f t="shared" si="60"/>
        <v>6580.8099999999995</v>
      </c>
      <c r="D577" s="683">
        <f t="shared" si="61"/>
        <v>8002.8772381130939</v>
      </c>
      <c r="E577" s="668">
        <f>D577-C577</f>
        <v>1422.0672381130944</v>
      </c>
      <c r="F577" s="679">
        <f>E577/C577</f>
        <v>0.21609303993172491</v>
      </c>
      <c r="G577" s="666">
        <f t="shared" si="59"/>
        <v>0</v>
      </c>
      <c r="H577" s="643"/>
      <c r="I577" s="643"/>
      <c r="J577" s="643"/>
      <c r="K577" s="713"/>
      <c r="L577" s="716"/>
      <c r="M577" s="712"/>
      <c r="N577" s="712"/>
      <c r="O577" s="712"/>
    </row>
    <row r="578" spans="2:15" ht="12.95" customHeight="1">
      <c r="B578" s="830" t="s">
        <v>380</v>
      </c>
      <c r="C578" s="686">
        <f t="shared" si="60"/>
        <v>4.0266666666666664</v>
      </c>
      <c r="D578" s="686">
        <f t="shared" si="61"/>
        <v>4.1369863013698627</v>
      </c>
      <c r="E578" s="678">
        <f>D578-C578</f>
        <v>0.11031963470319628</v>
      </c>
      <c r="F578" s="680">
        <f>E578/C578</f>
        <v>2.7397260273972587E-2</v>
      </c>
      <c r="G578" s="666">
        <f t="shared" si="59"/>
        <v>0</v>
      </c>
      <c r="H578" s="643"/>
      <c r="I578" s="643"/>
      <c r="J578" s="643"/>
      <c r="K578" s="713"/>
      <c r="L578" s="716"/>
      <c r="M578" s="712"/>
      <c r="N578" s="712"/>
      <c r="O578" s="712"/>
    </row>
    <row r="579" spans="2:15" ht="12.95" customHeight="1">
      <c r="B579" s="831" t="s">
        <v>2</v>
      </c>
      <c r="C579" s="676"/>
      <c r="D579" s="676"/>
      <c r="E579" s="676"/>
      <c r="F579" s="681"/>
      <c r="G579" s="666">
        <f t="shared" si="59"/>
        <v>0</v>
      </c>
      <c r="H579" s="643"/>
      <c r="I579" s="643"/>
      <c r="J579" s="643"/>
      <c r="K579" s="715"/>
      <c r="L579" s="716"/>
      <c r="M579" s="712"/>
      <c r="N579" s="712"/>
      <c r="O579" s="712"/>
    </row>
    <row r="580" spans="2:15" ht="12.95" customHeight="1">
      <c r="B580" s="828" t="s">
        <v>43</v>
      </c>
      <c r="C580" s="668">
        <f t="shared" si="60"/>
        <v>59</v>
      </c>
      <c r="D580" s="668">
        <f t="shared" si="61"/>
        <v>58</v>
      </c>
      <c r="E580" s="668">
        <f>D580-C580</f>
        <v>-1</v>
      </c>
      <c r="F580" s="679">
        <f>E580/C580</f>
        <v>-1.6949152542372881E-2</v>
      </c>
      <c r="G580" s="666">
        <f t="shared" si="59"/>
        <v>0</v>
      </c>
      <c r="H580" s="712"/>
      <c r="I580" s="712"/>
      <c r="J580" s="643"/>
      <c r="K580" s="715"/>
      <c r="L580" s="717"/>
      <c r="M580" s="712"/>
      <c r="N580" s="712"/>
      <c r="O580" s="712"/>
    </row>
    <row r="581" spans="2:15" ht="12.95" customHeight="1">
      <c r="B581" s="828" t="s">
        <v>38</v>
      </c>
      <c r="C581" s="668">
        <f t="shared" si="60"/>
        <v>543571</v>
      </c>
      <c r="D581" s="668">
        <f t="shared" si="61"/>
        <v>546384</v>
      </c>
      <c r="E581" s="668">
        <f>D581-C581</f>
        <v>2813</v>
      </c>
      <c r="F581" s="679">
        <f>E581/C581</f>
        <v>5.1750369316979749E-3</v>
      </c>
      <c r="G581" s="666">
        <f t="shared" si="59"/>
        <v>0</v>
      </c>
      <c r="H581" s="712"/>
      <c r="I581" s="712"/>
      <c r="J581" s="643"/>
      <c r="K581" s="715"/>
      <c r="L581" s="717"/>
      <c r="M581" s="712"/>
      <c r="N581" s="712"/>
      <c r="O581" s="712"/>
    </row>
    <row r="582" spans="2:15" ht="12.95" customHeight="1">
      <c r="B582" s="829" t="s">
        <v>376</v>
      </c>
      <c r="C582" s="683">
        <f t="shared" si="60"/>
        <v>12576.75</v>
      </c>
      <c r="D582" s="683">
        <f t="shared" si="61"/>
        <v>14535.533420578719</v>
      </c>
      <c r="E582" s="668">
        <f>D582-C582</f>
        <v>1958.7834205787185</v>
      </c>
      <c r="F582" s="679">
        <f>E582/C582</f>
        <v>0.15574639080674407</v>
      </c>
      <c r="G582" s="666">
        <f t="shared" si="59"/>
        <v>0</v>
      </c>
      <c r="H582" s="643"/>
      <c r="I582" s="643"/>
      <c r="J582" s="643"/>
      <c r="K582" s="696"/>
      <c r="L582" s="696"/>
      <c r="M582" s="712"/>
      <c r="N582" s="712"/>
      <c r="O582" s="712"/>
    </row>
    <row r="583" spans="2:15" ht="12.95" customHeight="1">
      <c r="B583" s="830" t="s">
        <v>381</v>
      </c>
      <c r="C583" s="678">
        <f t="shared" si="60"/>
        <v>767.75564971751419</v>
      </c>
      <c r="D583" s="678">
        <f t="shared" si="61"/>
        <v>785.03448275862058</v>
      </c>
      <c r="E583" s="678">
        <f>D583-C583</f>
        <v>17.278833041106395</v>
      </c>
      <c r="F583" s="680">
        <f>E583/C583</f>
        <v>2.2505641016727026E-2</v>
      </c>
      <c r="G583" s="666">
        <f t="shared" si="59"/>
        <v>0</v>
      </c>
      <c r="H583" s="712"/>
      <c r="I583" s="712"/>
      <c r="J583" s="712"/>
      <c r="K583" s="713"/>
      <c r="L583" s="696"/>
      <c r="M583" s="712"/>
      <c r="N583" s="712"/>
      <c r="O583" s="712"/>
    </row>
    <row r="584" spans="2:15" ht="12.95" customHeight="1">
      <c r="B584" s="831" t="s">
        <v>5</v>
      </c>
      <c r="C584" s="676"/>
      <c r="D584" s="676"/>
      <c r="E584" s="676"/>
      <c r="F584" s="681"/>
      <c r="G584" s="666">
        <f t="shared" si="59"/>
        <v>0</v>
      </c>
      <c r="H584" s="712"/>
      <c r="I584" s="712"/>
      <c r="J584" s="712"/>
      <c r="K584" s="712"/>
      <c r="L584" s="712"/>
      <c r="M584" s="712"/>
      <c r="N584" s="712"/>
      <c r="O584" s="712"/>
    </row>
    <row r="585" spans="2:15" ht="12.95" customHeight="1">
      <c r="B585" s="828" t="s">
        <v>45</v>
      </c>
      <c r="C585" s="983">
        <f t="shared" si="60"/>
        <v>7705</v>
      </c>
      <c r="D585" s="983">
        <f t="shared" si="61"/>
        <v>7717</v>
      </c>
      <c r="E585" s="668">
        <f>D585-C585</f>
        <v>12</v>
      </c>
      <c r="F585" s="679">
        <f>E585/C585</f>
        <v>1.5574302401038286E-3</v>
      </c>
      <c r="G585" s="666">
        <f t="shared" si="59"/>
        <v>0</v>
      </c>
      <c r="H585" s="714"/>
      <c r="I585" s="643"/>
      <c r="J585" s="643"/>
      <c r="K585" s="715"/>
      <c r="L585" s="712"/>
      <c r="M585" s="712"/>
      <c r="N585" s="712"/>
      <c r="O585" s="712"/>
    </row>
    <row r="586" spans="2:15" ht="12.95" customHeight="1">
      <c r="B586" s="828" t="s">
        <v>38</v>
      </c>
      <c r="C586" s="983">
        <f t="shared" si="60"/>
        <v>104215271.962</v>
      </c>
      <c r="D586" s="983">
        <f t="shared" si="61"/>
        <v>101711018.28400001</v>
      </c>
      <c r="E586" s="668">
        <f>D586-C586</f>
        <v>-2504253.6779999882</v>
      </c>
      <c r="F586" s="679">
        <f>E586/C586</f>
        <v>-2.4029622826423309E-2</v>
      </c>
      <c r="G586" s="666">
        <f t="shared" si="59"/>
        <v>0</v>
      </c>
      <c r="H586" s="643"/>
      <c r="I586" s="643"/>
      <c r="J586" s="643"/>
      <c r="K586" s="713"/>
      <c r="L586" s="712"/>
      <c r="M586" s="712"/>
      <c r="N586" s="712"/>
      <c r="O586" s="712"/>
    </row>
    <row r="587" spans="2:15" ht="12.95" customHeight="1">
      <c r="B587" s="828" t="s">
        <v>44</v>
      </c>
      <c r="C587" s="983">
        <f t="shared" si="60"/>
        <v>128898.04000000001</v>
      </c>
      <c r="D587" s="983">
        <f t="shared" si="61"/>
        <v>117849</v>
      </c>
      <c r="E587" s="668">
        <f>D587-C587</f>
        <v>-11049.040000000008</v>
      </c>
      <c r="F587" s="679">
        <f>E587/C587</f>
        <v>-8.5719224279903777E-2</v>
      </c>
      <c r="G587" s="666">
        <f t="shared" si="59"/>
        <v>0</v>
      </c>
      <c r="H587" s="643"/>
      <c r="I587" s="643"/>
      <c r="J587" s="643"/>
      <c r="K587" s="713"/>
      <c r="L587" s="712"/>
      <c r="M587" s="712"/>
      <c r="N587" s="712"/>
      <c r="O587" s="712"/>
    </row>
    <row r="588" spans="2:15" ht="12.95" customHeight="1">
      <c r="B588" s="833" t="s">
        <v>376</v>
      </c>
      <c r="C588" s="669">
        <f t="shared" si="60"/>
        <v>2476590.61</v>
      </c>
      <c r="D588" s="669">
        <f t="shared" si="61"/>
        <v>2639551.7658296879</v>
      </c>
      <c r="E588" s="678">
        <f>D588-C588</f>
        <v>162961.15582968807</v>
      </c>
      <c r="F588" s="680">
        <f>E588/C588</f>
        <v>6.5800603124182913E-2</v>
      </c>
      <c r="G588" s="666">
        <f t="shared" si="59"/>
        <v>0</v>
      </c>
      <c r="H588" s="643"/>
      <c r="I588" s="643"/>
      <c r="J588" s="643"/>
      <c r="K588" s="715"/>
      <c r="L588" s="712"/>
      <c r="M588" s="643"/>
      <c r="N588" s="643"/>
      <c r="O588" s="643"/>
    </row>
    <row r="589" spans="2:15" ht="12.95" customHeight="1">
      <c r="B589" s="575"/>
      <c r="C589" s="747"/>
      <c r="D589" s="747"/>
      <c r="E589" s="715"/>
      <c r="F589" s="743"/>
      <c r="G589" s="666"/>
      <c r="H589" s="643"/>
      <c r="I589" s="643"/>
      <c r="J589" s="643"/>
      <c r="K589" s="715"/>
      <c r="L589" s="712"/>
      <c r="M589" s="643"/>
      <c r="N589" s="643"/>
      <c r="O589" s="643"/>
    </row>
    <row r="590" spans="2:15">
      <c r="B590" s="575"/>
      <c r="C590" s="747"/>
      <c r="D590" s="747"/>
      <c r="E590" s="715"/>
      <c r="F590" s="743"/>
      <c r="G590" s="666"/>
      <c r="H590" s="643"/>
      <c r="I590" s="643"/>
      <c r="J590" s="643"/>
      <c r="K590" s="715"/>
      <c r="L590" s="712"/>
      <c r="M590" s="643"/>
      <c r="N590" s="643"/>
      <c r="O590" s="643"/>
    </row>
    <row r="591" spans="2:15" ht="15">
      <c r="B591" s="599" t="s">
        <v>507</v>
      </c>
    </row>
    <row r="592" spans="2:15">
      <c r="B592" s="607" t="s">
        <v>508</v>
      </c>
    </row>
    <row r="595" spans="2:12" ht="15">
      <c r="C595" s="599" t="s">
        <v>506</v>
      </c>
    </row>
    <row r="596" spans="2:12" ht="15" thickBot="1"/>
    <row r="597" spans="2:12" ht="34.5" customHeight="1" thickTop="1">
      <c r="B597" s="823"/>
      <c r="C597" s="824" t="s">
        <v>340</v>
      </c>
      <c r="D597" s="825" t="s">
        <v>341</v>
      </c>
      <c r="E597" s="825" t="s">
        <v>342</v>
      </c>
      <c r="F597" s="825" t="s">
        <v>343</v>
      </c>
      <c r="G597" s="825" t="s">
        <v>382</v>
      </c>
      <c r="H597" s="1066" t="s">
        <v>344</v>
      </c>
      <c r="I597" s="1199" t="s">
        <v>503</v>
      </c>
      <c r="J597" s="1200"/>
    </row>
    <row r="598" spans="2:12">
      <c r="B598" s="826"/>
      <c r="C598" s="674"/>
      <c r="D598" s="674"/>
      <c r="E598" s="674"/>
      <c r="F598" s="674"/>
      <c r="G598" s="674"/>
      <c r="H598" s="675"/>
    </row>
    <row r="599" spans="2:12">
      <c r="B599" s="827" t="s">
        <v>1</v>
      </c>
      <c r="C599" s="667"/>
      <c r="D599" s="667"/>
      <c r="E599" s="667"/>
      <c r="F599" s="667"/>
      <c r="G599" s="667"/>
      <c r="H599" s="673"/>
    </row>
    <row r="600" spans="2:12">
      <c r="B600" s="828" t="s">
        <v>444</v>
      </c>
      <c r="C600" s="668">
        <f>C313/C312/12</f>
        <v>740.7038476874003</v>
      </c>
      <c r="D600" s="668">
        <f>D313/D312/12</f>
        <v>698.4574129353233</v>
      </c>
      <c r="E600" s="668">
        <f>G313/G312/12</f>
        <v>707.79275074478653</v>
      </c>
      <c r="F600" s="668">
        <f>J313/J312/12</f>
        <v>698.94556878306878</v>
      </c>
      <c r="G600" s="668">
        <f>M313/M312/12</f>
        <v>675.01502044585152</v>
      </c>
      <c r="H600" s="673">
        <f>P313/P312/12</f>
        <v>665.22124710773687</v>
      </c>
      <c r="I600" s="1072">
        <f>G600-C600</f>
        <v>-65.688827241548779</v>
      </c>
      <c r="J600" s="1071">
        <f>I600/C600</f>
        <v>-8.8684333754495998E-2</v>
      </c>
      <c r="K600" s="1070"/>
    </row>
    <row r="601" spans="2:12">
      <c r="B601" s="830" t="s">
        <v>442</v>
      </c>
      <c r="C601" s="744"/>
      <c r="D601" s="744"/>
      <c r="E601" s="744"/>
      <c r="F601" s="744"/>
      <c r="G601" s="744"/>
      <c r="H601" s="1067"/>
      <c r="I601" s="1072"/>
      <c r="J601" s="1071"/>
      <c r="K601" s="1070"/>
    </row>
    <row r="602" spans="2:12">
      <c r="B602" s="831" t="s">
        <v>116</v>
      </c>
      <c r="C602" s="676"/>
      <c r="D602" s="676"/>
      <c r="E602" s="676"/>
      <c r="F602" s="676"/>
      <c r="G602" s="676"/>
      <c r="H602" s="681"/>
      <c r="I602" s="1072"/>
      <c r="J602" s="1071"/>
      <c r="K602" s="1070"/>
    </row>
    <row r="603" spans="2:12">
      <c r="B603" s="828" t="s">
        <v>444</v>
      </c>
      <c r="C603" s="668">
        <f>C318/C317/12</f>
        <v>2143.5601731601732</v>
      </c>
      <c r="D603" s="668">
        <f>D318/D317/12</f>
        <v>2128.6994588744587</v>
      </c>
      <c r="E603" s="668">
        <f>G318/G317/12</f>
        <v>2206.2131093544135</v>
      </c>
      <c r="F603" s="668">
        <f>J318/J317/12</f>
        <v>2292.1961759504861</v>
      </c>
      <c r="G603" s="668">
        <f>M318/M317/12</f>
        <v>2319.5342544923628</v>
      </c>
      <c r="H603" s="673">
        <f>P318/P317/12</f>
        <v>2291.5115940315318</v>
      </c>
      <c r="I603" s="1072">
        <f t="shared" ref="I603:I615" si="62">G603-C603</f>
        <v>175.9740813321896</v>
      </c>
      <c r="J603" s="1071">
        <f t="shared" ref="J603:J615" si="63">I603/C603</f>
        <v>8.2094304389298933E-2</v>
      </c>
      <c r="K603" s="1070"/>
    </row>
    <row r="604" spans="2:12">
      <c r="B604" s="830" t="s">
        <v>442</v>
      </c>
      <c r="C604" s="744"/>
      <c r="D604" s="744"/>
      <c r="E604" s="744"/>
      <c r="F604" s="744"/>
      <c r="G604" s="744"/>
      <c r="H604" s="1067"/>
      <c r="I604" s="1072"/>
      <c r="J604" s="1071"/>
      <c r="K604" s="1070"/>
    </row>
    <row r="605" spans="2:12">
      <c r="B605" s="831" t="s">
        <v>299</v>
      </c>
      <c r="C605" s="676"/>
      <c r="D605" s="676"/>
      <c r="E605" s="676"/>
      <c r="F605" s="676"/>
      <c r="G605" s="676"/>
      <c r="H605" s="681"/>
      <c r="I605" s="1072"/>
      <c r="J605" s="1071"/>
      <c r="K605" s="1070"/>
    </row>
    <row r="606" spans="2:12">
      <c r="B606" s="828" t="s">
        <v>444</v>
      </c>
      <c r="C606" s="668">
        <f>C323/C322/12</f>
        <v>48189.900252525251</v>
      </c>
      <c r="D606" s="668">
        <f>D323/D322/12</f>
        <v>52922.881840796013</v>
      </c>
      <c r="E606" s="668">
        <f>G323/G322/12</f>
        <v>54162.183333333327</v>
      </c>
      <c r="F606" s="668">
        <f>J323/J322/12</f>
        <v>55448.458333333336</v>
      </c>
      <c r="G606" s="668">
        <f>M323/M322/12</f>
        <v>53278.74609375</v>
      </c>
      <c r="H606" s="673">
        <f>P323/P322/12</f>
        <v>51375.024739583336</v>
      </c>
      <c r="I606" s="1072">
        <f t="shared" si="62"/>
        <v>5088.8458412247492</v>
      </c>
      <c r="J606" s="1071">
        <f t="shared" si="63"/>
        <v>0.10559984176265405</v>
      </c>
      <c r="K606" s="1070">
        <f>(G606-F606)/F606</f>
        <v>-3.9130253658991164E-2</v>
      </c>
      <c r="L606" s="1070">
        <f>(H606-G606)/G606</f>
        <v>-3.5731346807915683E-2</v>
      </c>
    </row>
    <row r="607" spans="2:12">
      <c r="B607" s="830" t="s">
        <v>442</v>
      </c>
      <c r="C607" s="678">
        <f>C324/C322</f>
        <v>1918.969696969697</v>
      </c>
      <c r="D607" s="678">
        <f>D324/D322</f>
        <v>1872.6716417910447</v>
      </c>
      <c r="E607" s="678">
        <f>G324/G322</f>
        <v>2048.4307692307693</v>
      </c>
      <c r="F607" s="678">
        <f>J324/J322</f>
        <v>2061.671875</v>
      </c>
      <c r="G607" s="678">
        <f>M324/M322</f>
        <v>1964.600625</v>
      </c>
      <c r="H607" s="1068">
        <f>P324/P322</f>
        <v>1804.328125</v>
      </c>
      <c r="I607" s="1072">
        <f t="shared" si="62"/>
        <v>45.630928030303039</v>
      </c>
      <c r="J607" s="1071">
        <f t="shared" si="63"/>
        <v>2.3778868474244392E-2</v>
      </c>
      <c r="K607" s="1070">
        <f>(G607-F607)/F607</f>
        <v>-4.7083753325198735E-2</v>
      </c>
      <c r="L607" s="1070">
        <f>(H607-G607)/G607</f>
        <v>-8.1580193938908085E-2</v>
      </c>
    </row>
    <row r="608" spans="2:12">
      <c r="B608" s="831" t="s">
        <v>215</v>
      </c>
      <c r="C608" s="676"/>
      <c r="D608" s="676"/>
      <c r="E608" s="676"/>
      <c r="F608" s="676"/>
      <c r="G608" s="676"/>
      <c r="H608" s="681"/>
      <c r="I608" s="1072"/>
      <c r="J608" s="1071"/>
      <c r="K608" s="1070"/>
    </row>
    <row r="609" spans="2:11">
      <c r="B609" s="828" t="s">
        <v>445</v>
      </c>
      <c r="C609" s="668">
        <f>C329/C328/12</f>
        <v>70.300468110005852</v>
      </c>
      <c r="D609" s="668">
        <f>D329/D328/12</f>
        <v>71.139557643374431</v>
      </c>
      <c r="E609" s="668">
        <f>G329/G328/12</f>
        <v>70.655291935168904</v>
      </c>
      <c r="F609" s="668">
        <f>J329/J328/12</f>
        <v>64.514010935364183</v>
      </c>
      <c r="G609" s="668">
        <f>M329/M328/12</f>
        <v>51.270114942528743</v>
      </c>
      <c r="H609" s="673">
        <f>P329/P328/12</f>
        <v>37.656243911942333</v>
      </c>
      <c r="I609" s="1072">
        <f t="shared" si="62"/>
        <v>-19.030353167477109</v>
      </c>
      <c r="J609" s="1071">
        <f t="shared" si="63"/>
        <v>-0.27070023399699844</v>
      </c>
      <c r="K609" s="1070"/>
    </row>
    <row r="610" spans="2:11">
      <c r="B610" s="830" t="s">
        <v>443</v>
      </c>
      <c r="C610" s="745">
        <f>C330/C328</f>
        <v>2.2486834406085432</v>
      </c>
      <c r="D610" s="745">
        <f>D330/D328</f>
        <v>2.3012331180270111</v>
      </c>
      <c r="E610" s="678">
        <f>G330/G328</f>
        <v>2.2964264792032805</v>
      </c>
      <c r="F610" s="745">
        <f>J330/J328</f>
        <v>2.1206795547744579</v>
      </c>
      <c r="G610" s="745">
        <f>M330/M328</f>
        <v>1.6724722384570425</v>
      </c>
      <c r="H610" s="1069">
        <f>P330/P328</f>
        <v>1.2098188194038575</v>
      </c>
      <c r="I610" s="1072">
        <f t="shared" si="62"/>
        <v>-0.57621120215150068</v>
      </c>
      <c r="J610" s="1071">
        <f t="shared" si="63"/>
        <v>-0.2562438054844951</v>
      </c>
      <c r="K610" s="1070"/>
    </row>
    <row r="611" spans="2:11">
      <c r="B611" s="832" t="s">
        <v>181</v>
      </c>
      <c r="C611" s="676"/>
      <c r="D611" s="676"/>
      <c r="E611" s="676"/>
      <c r="F611" s="676"/>
      <c r="G611" s="676"/>
      <c r="H611" s="681"/>
      <c r="I611" s="1072"/>
      <c r="J611" s="1071"/>
      <c r="K611" s="1070"/>
    </row>
    <row r="612" spans="2:11">
      <c r="B612" s="828" t="s">
        <v>445</v>
      </c>
      <c r="C612" s="668">
        <f>C335/C334/12</f>
        <v>120.30777777777779</v>
      </c>
      <c r="D612" s="668">
        <f>D335/D334/12</f>
        <v>120.29555555555555</v>
      </c>
      <c r="E612" s="668">
        <f>G335/G334/12</f>
        <v>120.31222222222222</v>
      </c>
      <c r="F612" s="668">
        <f>J335/J334/12</f>
        <v>121.44666666666666</v>
      </c>
      <c r="G612" s="668">
        <f>M335/M334/12</f>
        <v>121.66888888888889</v>
      </c>
      <c r="H612" s="673">
        <f>P335/P334/12</f>
        <v>121.90753424657534</v>
      </c>
      <c r="I612" s="1072">
        <f t="shared" si="62"/>
        <v>1.3611111111111001</v>
      </c>
      <c r="J612" s="1071">
        <f t="shared" si="63"/>
        <v>1.1313575366882994E-2</v>
      </c>
      <c r="K612" s="1070"/>
    </row>
    <row r="613" spans="2:11">
      <c r="B613" s="830" t="s">
        <v>443</v>
      </c>
      <c r="C613" s="745">
        <f>C336/C334</f>
        <v>4.0133333333333336</v>
      </c>
      <c r="D613" s="745">
        <f>D336/D334</f>
        <v>4</v>
      </c>
      <c r="E613" s="745">
        <f>G336/G334</f>
        <v>4</v>
      </c>
      <c r="F613" s="745">
        <f>J336/J334</f>
        <v>4.0266666666666664</v>
      </c>
      <c r="G613" s="745">
        <f>M336/M334</f>
        <v>4.0266666666666664</v>
      </c>
      <c r="H613" s="1069">
        <f>P336/P334</f>
        <v>4.1369863013698627</v>
      </c>
      <c r="I613" s="1072">
        <f t="shared" si="62"/>
        <v>1.3333333333332753E-2</v>
      </c>
      <c r="J613" s="1071">
        <f t="shared" si="63"/>
        <v>3.3222591362124798E-3</v>
      </c>
      <c r="K613" s="1070"/>
    </row>
    <row r="614" spans="2:11">
      <c r="B614" s="831" t="s">
        <v>2</v>
      </c>
      <c r="C614" s="676"/>
      <c r="D614" s="676"/>
      <c r="E614" s="676"/>
      <c r="F614" s="676"/>
      <c r="G614" s="676"/>
      <c r="H614" s="681"/>
      <c r="I614" s="1072"/>
      <c r="J614" s="1071"/>
      <c r="K614" s="1070"/>
    </row>
    <row r="615" spans="2:11">
      <c r="B615" s="828" t="s">
        <v>445</v>
      </c>
      <c r="C615" s="668">
        <f>C341/C340/12</f>
        <v>617.7600574712643</v>
      </c>
      <c r="D615" s="668">
        <f>D341/D340/12</f>
        <v>693.4236111111112</v>
      </c>
      <c r="E615" s="668">
        <f>G341/G340/12</f>
        <v>726.63661202185801</v>
      </c>
      <c r="F615" s="668">
        <f>J341/J340/12</f>
        <v>772.89480874316939</v>
      </c>
      <c r="G615" s="668">
        <f>M341/M340/12</f>
        <v>767.75564971751419</v>
      </c>
      <c r="H615" s="673">
        <f>P341/P340/12</f>
        <v>785.03448275862058</v>
      </c>
      <c r="I615" s="1072">
        <f t="shared" si="62"/>
        <v>149.99559224624988</v>
      </c>
      <c r="J615" s="1071">
        <f t="shared" si="63"/>
        <v>0.24280558516560788</v>
      </c>
      <c r="K615" s="1070"/>
    </row>
    <row r="616" spans="2:11">
      <c r="B616" s="830" t="s">
        <v>443</v>
      </c>
      <c r="C616" s="744"/>
      <c r="D616" s="744"/>
      <c r="E616" s="744"/>
      <c r="F616" s="744"/>
      <c r="G616" s="744"/>
      <c r="H616" s="746"/>
    </row>
    <row r="619" spans="2:11" ht="15">
      <c r="B619" s="599"/>
      <c r="C619" s="599"/>
    </row>
    <row r="717" spans="3:5">
      <c r="C717" s="607">
        <v>12522131</v>
      </c>
      <c r="D717" s="607">
        <v>12180927.15</v>
      </c>
      <c r="E717" s="595">
        <f>D717-C717</f>
        <v>-341203.84999999963</v>
      </c>
    </row>
    <row r="718" spans="3:5">
      <c r="C718" s="607">
        <v>10695468</v>
      </c>
      <c r="D718" s="607">
        <v>11448305.18</v>
      </c>
      <c r="E718" s="595">
        <f t="shared" ref="E718:E728" si="64">D718-C718</f>
        <v>752837.1799999997</v>
      </c>
    </row>
    <row r="719" spans="3:5">
      <c r="C719" s="607">
        <v>11273530</v>
      </c>
      <c r="D719" s="607">
        <v>10924977.359999999</v>
      </c>
      <c r="E719" s="595">
        <f t="shared" si="64"/>
        <v>-348552.6400000006</v>
      </c>
    </row>
    <row r="720" spans="3:5">
      <c r="C720" s="607">
        <v>9031993</v>
      </c>
      <c r="D720" s="607">
        <v>8731936</v>
      </c>
      <c r="E720" s="595">
        <f t="shared" si="64"/>
        <v>-300057</v>
      </c>
    </row>
    <row r="721" spans="3:5">
      <c r="C721" s="607">
        <v>8286920</v>
      </c>
      <c r="D721" s="607">
        <v>8223122.5700000003</v>
      </c>
      <c r="E721" s="595">
        <f t="shared" si="64"/>
        <v>-63797.429999999702</v>
      </c>
    </row>
    <row r="722" spans="3:5">
      <c r="C722" s="607">
        <v>8579731</v>
      </c>
      <c r="D722" s="607">
        <v>8092658.46</v>
      </c>
      <c r="E722" s="595">
        <f t="shared" si="64"/>
        <v>-487072.54000000004</v>
      </c>
    </row>
    <row r="723" spans="3:5">
      <c r="C723" s="607">
        <v>9080121</v>
      </c>
      <c r="D723" s="607">
        <v>8978804.4600000009</v>
      </c>
      <c r="E723" s="595">
        <f t="shared" si="64"/>
        <v>-101316.53999999911</v>
      </c>
    </row>
    <row r="724" spans="3:5">
      <c r="C724" s="607">
        <v>8989250</v>
      </c>
      <c r="D724" s="607">
        <v>8939421.9100000001</v>
      </c>
      <c r="E724" s="595">
        <f t="shared" si="64"/>
        <v>-49828.089999999851</v>
      </c>
    </row>
    <row r="725" spans="3:5">
      <c r="C725" s="607">
        <v>8464550</v>
      </c>
      <c r="D725" s="607">
        <v>8496700.6799999997</v>
      </c>
      <c r="E725" s="595">
        <f t="shared" si="64"/>
        <v>32150.679999999702</v>
      </c>
    </row>
    <row r="726" spans="3:5">
      <c r="C726" s="607">
        <v>8670762</v>
      </c>
      <c r="D726" s="607">
        <v>8450501.8100000005</v>
      </c>
      <c r="E726" s="595">
        <f t="shared" si="64"/>
        <v>-220260.18999999948</v>
      </c>
    </row>
    <row r="727" spans="3:5">
      <c r="C727" s="607">
        <v>9598673</v>
      </c>
      <c r="D727" s="607">
        <v>8794018.0199999996</v>
      </c>
      <c r="E727" s="595">
        <f t="shared" si="64"/>
        <v>-804654.98000000045</v>
      </c>
    </row>
    <row r="728" spans="3:5">
      <c r="C728" s="607">
        <v>10755419</v>
      </c>
      <c r="D728" s="607">
        <v>9423404.3499999996</v>
      </c>
      <c r="E728" s="595">
        <f t="shared" si="64"/>
        <v>-1332014.6500000004</v>
      </c>
    </row>
  </sheetData>
  <mergeCells count="11">
    <mergeCell ref="I597:J597"/>
    <mergeCell ref="C238:J238"/>
    <mergeCell ref="C250:J250"/>
    <mergeCell ref="C242:J242"/>
    <mergeCell ref="C254:J254"/>
    <mergeCell ref="E363:F363"/>
    <mergeCell ref="Q309:R309"/>
    <mergeCell ref="K309:L309"/>
    <mergeCell ref="H309:I309"/>
    <mergeCell ref="E309:F309"/>
    <mergeCell ref="N309:O309"/>
  </mergeCells>
  <conditionalFormatting sqref="F312:F319 F321:F325 F327:F331 F333:F337 F339:F342 F344:F348 H600 H602">
    <cfRule type="cellIs" dxfId="90" priority="131" operator="lessThan">
      <formula>0</formula>
    </cfRule>
  </conditionalFormatting>
  <conditionalFormatting sqref="I312:I319 I321:I325 I327:I331 I333:I337 I339:I342 I344:I348">
    <cfRule type="cellIs" dxfId="89" priority="130" operator="lessThan">
      <formula>0</formula>
    </cfRule>
  </conditionalFormatting>
  <conditionalFormatting sqref="L312:L319 L321:L325 L327:L331 L333:L337 L339:L342 L344:L348">
    <cfRule type="cellIs" dxfId="88" priority="129" operator="lessThan">
      <formula>0</formula>
    </cfRule>
  </conditionalFormatting>
  <conditionalFormatting sqref="O312:O319 O321:O325 O327:O331 O333:O337 O339:O342 O344:O348">
    <cfRule type="cellIs" dxfId="87" priority="128" operator="lessThan">
      <formula>0</formula>
    </cfRule>
  </conditionalFormatting>
  <conditionalFormatting sqref="R312:R319 R321:R325 R327:R331 R333:R337 R339:R342 R344:R348">
    <cfRule type="cellIs" dxfId="86" priority="127" operator="lessThan">
      <formula>0</formula>
    </cfRule>
  </conditionalFormatting>
  <conditionalFormatting sqref="R320">
    <cfRule type="cellIs" dxfId="85" priority="115" operator="lessThan">
      <formula>0</formula>
    </cfRule>
  </conditionalFormatting>
  <conditionalFormatting sqref="R326">
    <cfRule type="cellIs" dxfId="84" priority="105" operator="lessThan">
      <formula>0</formula>
    </cfRule>
  </conditionalFormatting>
  <conditionalFormatting sqref="R332">
    <cfRule type="cellIs" dxfId="83" priority="100" operator="lessThan">
      <formula>0</formula>
    </cfRule>
  </conditionalFormatting>
  <conditionalFormatting sqref="R338">
    <cfRule type="cellIs" dxfId="82" priority="95" operator="lessThan">
      <formula>0</formula>
    </cfRule>
  </conditionalFormatting>
  <conditionalFormatting sqref="R343">
    <cfRule type="cellIs" dxfId="81" priority="90" operator="lessThan">
      <formula>0</formula>
    </cfRule>
  </conditionalFormatting>
  <conditionalFormatting sqref="F320">
    <cfRule type="cellIs" dxfId="80" priority="119" operator="lessThan">
      <formula>0</formula>
    </cfRule>
  </conditionalFormatting>
  <conditionalFormatting sqref="I320">
    <cfRule type="cellIs" dxfId="79" priority="118" operator="lessThan">
      <formula>0</formula>
    </cfRule>
  </conditionalFormatting>
  <conditionalFormatting sqref="L320">
    <cfRule type="cellIs" dxfId="78" priority="117" operator="lessThan">
      <formula>0</formula>
    </cfRule>
  </conditionalFormatting>
  <conditionalFormatting sqref="O320">
    <cfRule type="cellIs" dxfId="77" priority="116" operator="lessThan">
      <formula>0</formula>
    </cfRule>
  </conditionalFormatting>
  <conditionalFormatting sqref="F326">
    <cfRule type="cellIs" dxfId="76" priority="109" operator="lessThan">
      <formula>0</formula>
    </cfRule>
  </conditionalFormatting>
  <conditionalFormatting sqref="I326">
    <cfRule type="cellIs" dxfId="75" priority="108" operator="lessThan">
      <formula>0</formula>
    </cfRule>
  </conditionalFormatting>
  <conditionalFormatting sqref="L326">
    <cfRule type="cellIs" dxfId="74" priority="107" operator="lessThan">
      <formula>0</formula>
    </cfRule>
  </conditionalFormatting>
  <conditionalFormatting sqref="O326">
    <cfRule type="cellIs" dxfId="73" priority="106" operator="lessThan">
      <formula>0</formula>
    </cfRule>
  </conditionalFormatting>
  <conditionalFormatting sqref="F332">
    <cfRule type="cellIs" dxfId="72" priority="104" operator="lessThan">
      <formula>0</formula>
    </cfRule>
  </conditionalFormatting>
  <conditionalFormatting sqref="I332">
    <cfRule type="cellIs" dxfId="71" priority="103" operator="lessThan">
      <formula>0</formula>
    </cfRule>
  </conditionalFormatting>
  <conditionalFormatting sqref="L332">
    <cfRule type="cellIs" dxfId="70" priority="102" operator="lessThan">
      <formula>0</formula>
    </cfRule>
  </conditionalFormatting>
  <conditionalFormatting sqref="O332">
    <cfRule type="cellIs" dxfId="69" priority="101" operator="lessThan">
      <formula>0</formula>
    </cfRule>
  </conditionalFormatting>
  <conditionalFormatting sqref="F338">
    <cfRule type="cellIs" dxfId="68" priority="99" operator="lessThan">
      <formula>0</formula>
    </cfRule>
  </conditionalFormatting>
  <conditionalFormatting sqref="I338">
    <cfRule type="cellIs" dxfId="67" priority="98" operator="lessThan">
      <formula>0</formula>
    </cfRule>
  </conditionalFormatting>
  <conditionalFormatting sqref="L338">
    <cfRule type="cellIs" dxfId="66" priority="97" operator="lessThan">
      <formula>0</formula>
    </cfRule>
  </conditionalFormatting>
  <conditionalFormatting sqref="O338">
    <cfRule type="cellIs" dxfId="65" priority="96" operator="lessThan">
      <formula>0</formula>
    </cfRule>
  </conditionalFormatting>
  <conditionalFormatting sqref="F343">
    <cfRule type="cellIs" dxfId="64" priority="94" operator="lessThan">
      <formula>0</formula>
    </cfRule>
  </conditionalFormatting>
  <conditionalFormatting sqref="I343">
    <cfRule type="cellIs" dxfId="63" priority="93" operator="lessThan">
      <formula>0</formula>
    </cfRule>
  </conditionalFormatting>
  <conditionalFormatting sqref="L343">
    <cfRule type="cellIs" dxfId="62" priority="92" operator="lessThan">
      <formula>0</formula>
    </cfRule>
  </conditionalFormatting>
  <conditionalFormatting sqref="O343">
    <cfRule type="cellIs" dxfId="61" priority="91" operator="lessThan">
      <formula>0</formula>
    </cfRule>
  </conditionalFormatting>
  <conditionalFormatting sqref="F380">
    <cfRule type="cellIs" dxfId="60" priority="87" operator="lessThan">
      <formula>0</formula>
    </cfRule>
  </conditionalFormatting>
  <conditionalFormatting sqref="F375 F381 F387 F393 F398 F366:F370">
    <cfRule type="cellIs" dxfId="59" priority="89" operator="lessThan">
      <formula>0</formula>
    </cfRule>
  </conditionalFormatting>
  <conditionalFormatting sqref="F371:F374">
    <cfRule type="cellIs" dxfId="58" priority="77" operator="lessThan">
      <formula>0</formula>
    </cfRule>
  </conditionalFormatting>
  <conditionalFormatting sqref="F376:F379">
    <cfRule type="cellIs" dxfId="57" priority="76" operator="lessThan">
      <formula>0</formula>
    </cfRule>
  </conditionalFormatting>
  <conditionalFormatting sqref="F386">
    <cfRule type="cellIs" dxfId="56" priority="75" operator="lessThan">
      <formula>0</formula>
    </cfRule>
  </conditionalFormatting>
  <conditionalFormatting sqref="F382:F385">
    <cfRule type="cellIs" dxfId="55" priority="74" operator="lessThan">
      <formula>0</formula>
    </cfRule>
  </conditionalFormatting>
  <conditionalFormatting sqref="F392">
    <cfRule type="cellIs" dxfId="54" priority="73" operator="lessThan">
      <formula>0</formula>
    </cfRule>
  </conditionalFormatting>
  <conditionalFormatting sqref="F388:F391">
    <cfRule type="cellIs" dxfId="53" priority="72" operator="lessThan">
      <formula>0</formula>
    </cfRule>
  </conditionalFormatting>
  <conditionalFormatting sqref="F394:F397">
    <cfRule type="cellIs" dxfId="52" priority="71" operator="lessThan">
      <formula>0</formula>
    </cfRule>
  </conditionalFormatting>
  <conditionalFormatting sqref="F399:F402">
    <cfRule type="cellIs" dxfId="51" priority="70" operator="lessThan">
      <formula>0</formula>
    </cfRule>
  </conditionalFormatting>
  <conditionalFormatting sqref="F429">
    <cfRule type="cellIs" dxfId="50" priority="68" operator="lessThan">
      <formula>0</formula>
    </cfRule>
  </conditionalFormatting>
  <conditionalFormatting sqref="F424 F430 F436 F442 F447 F415:F419">
    <cfRule type="cellIs" dxfId="49" priority="69" operator="lessThan">
      <formula>0</formula>
    </cfRule>
  </conditionalFormatting>
  <conditionalFormatting sqref="F420:F423">
    <cfRule type="cellIs" dxfId="48" priority="67" operator="lessThan">
      <formula>0</formula>
    </cfRule>
  </conditionalFormatting>
  <conditionalFormatting sqref="F425:F428">
    <cfRule type="cellIs" dxfId="47" priority="66" operator="lessThan">
      <formula>0</formula>
    </cfRule>
  </conditionalFormatting>
  <conditionalFormatting sqref="F435">
    <cfRule type="cellIs" dxfId="46" priority="65" operator="lessThan">
      <formula>0</formula>
    </cfRule>
  </conditionalFormatting>
  <conditionalFormatting sqref="F431:F434">
    <cfRule type="cellIs" dxfId="45" priority="64" operator="lessThan">
      <formula>0</formula>
    </cfRule>
  </conditionalFormatting>
  <conditionalFormatting sqref="F441">
    <cfRule type="cellIs" dxfId="44" priority="63" operator="lessThan">
      <formula>0</formula>
    </cfRule>
  </conditionalFormatting>
  <conditionalFormatting sqref="F437:F440">
    <cfRule type="cellIs" dxfId="43" priority="62" operator="lessThan">
      <formula>0</formula>
    </cfRule>
  </conditionalFormatting>
  <conditionalFormatting sqref="F443:F446">
    <cfRule type="cellIs" dxfId="42" priority="61" operator="lessThan">
      <formula>0</formula>
    </cfRule>
  </conditionalFormatting>
  <conditionalFormatting sqref="F448:F451">
    <cfRule type="cellIs" dxfId="41" priority="60" operator="lessThan">
      <formula>0</formula>
    </cfRule>
  </conditionalFormatting>
  <conditionalFormatting sqref="F477">
    <cfRule type="cellIs" dxfId="40" priority="58" operator="lessThan">
      <formula>0</formula>
    </cfRule>
  </conditionalFormatting>
  <conditionalFormatting sqref="F472 F478 F484 F490 F495 F463:F467">
    <cfRule type="cellIs" dxfId="39" priority="59" operator="lessThan">
      <formula>0</formula>
    </cfRule>
  </conditionalFormatting>
  <conditionalFormatting sqref="F468:F471">
    <cfRule type="cellIs" dxfId="38" priority="57" operator="lessThan">
      <formula>0</formula>
    </cfRule>
  </conditionalFormatting>
  <conditionalFormatting sqref="F473:F476">
    <cfRule type="cellIs" dxfId="37" priority="56" operator="lessThan">
      <formula>0</formula>
    </cfRule>
  </conditionalFormatting>
  <conditionalFormatting sqref="F483">
    <cfRule type="cellIs" dxfId="36" priority="55" operator="lessThan">
      <formula>0</formula>
    </cfRule>
  </conditionalFormatting>
  <conditionalFormatting sqref="F479:F482">
    <cfRule type="cellIs" dxfId="35" priority="54" operator="lessThan">
      <formula>0</formula>
    </cfRule>
  </conditionalFormatting>
  <conditionalFormatting sqref="F489">
    <cfRule type="cellIs" dxfId="34" priority="53" operator="lessThan">
      <formula>0</formula>
    </cfRule>
  </conditionalFormatting>
  <conditionalFormatting sqref="F485:F488">
    <cfRule type="cellIs" dxfId="33" priority="52" operator="lessThan">
      <formula>0</formula>
    </cfRule>
  </conditionalFormatting>
  <conditionalFormatting sqref="F491:F494">
    <cfRule type="cellIs" dxfId="32" priority="51" operator="lessThan">
      <formula>0</formula>
    </cfRule>
  </conditionalFormatting>
  <conditionalFormatting sqref="F496:F499">
    <cfRule type="cellIs" dxfId="31" priority="50" operator="lessThan">
      <formula>0</formula>
    </cfRule>
  </conditionalFormatting>
  <conditionalFormatting sqref="F540:F543">
    <cfRule type="cellIs" dxfId="30" priority="40" operator="lessThan">
      <formula>0</formula>
    </cfRule>
  </conditionalFormatting>
  <conditionalFormatting sqref="F521">
    <cfRule type="cellIs" dxfId="29" priority="48" operator="lessThan">
      <formula>0</formula>
    </cfRule>
  </conditionalFormatting>
  <conditionalFormatting sqref="F516 F522 F528 F534 F539 F507:F511">
    <cfRule type="cellIs" dxfId="28" priority="49" operator="lessThan">
      <formula>0</formula>
    </cfRule>
  </conditionalFormatting>
  <conditionalFormatting sqref="F512:F515">
    <cfRule type="cellIs" dxfId="27" priority="47" operator="lessThan">
      <formula>0</formula>
    </cfRule>
  </conditionalFormatting>
  <conditionalFormatting sqref="F517:F520">
    <cfRule type="cellIs" dxfId="26" priority="46" operator="lessThan">
      <formula>0</formula>
    </cfRule>
  </conditionalFormatting>
  <conditionalFormatting sqref="F527">
    <cfRule type="cellIs" dxfId="25" priority="45" operator="lessThan">
      <formula>0</formula>
    </cfRule>
  </conditionalFormatting>
  <conditionalFormatting sqref="F523:F526">
    <cfRule type="cellIs" dxfId="24" priority="44" operator="lessThan">
      <formula>0</formula>
    </cfRule>
  </conditionalFormatting>
  <conditionalFormatting sqref="F533">
    <cfRule type="cellIs" dxfId="23" priority="43" operator="lessThan">
      <formula>0</formula>
    </cfRule>
  </conditionalFormatting>
  <conditionalFormatting sqref="F529:F532">
    <cfRule type="cellIs" dxfId="22" priority="42" operator="lessThan">
      <formula>0</formula>
    </cfRule>
  </conditionalFormatting>
  <conditionalFormatting sqref="F535:F538">
    <cfRule type="cellIs" dxfId="21" priority="41" operator="lessThan">
      <formula>0</formula>
    </cfRule>
  </conditionalFormatting>
  <conditionalFormatting sqref="F585:F590">
    <cfRule type="cellIs" dxfId="20" priority="30" operator="lessThan">
      <formula>0</formula>
    </cfRule>
  </conditionalFormatting>
  <conditionalFormatting sqref="F566">
    <cfRule type="cellIs" dxfId="19" priority="38" operator="lessThan">
      <formula>0</formula>
    </cfRule>
  </conditionalFormatting>
  <conditionalFormatting sqref="F561 F567 F573 F579 F584 F552:F556">
    <cfRule type="cellIs" dxfId="18" priority="39" operator="lessThan">
      <formula>0</formula>
    </cfRule>
  </conditionalFormatting>
  <conditionalFormatting sqref="F557:F560">
    <cfRule type="cellIs" dxfId="17" priority="37" operator="lessThan">
      <formula>0</formula>
    </cfRule>
  </conditionalFormatting>
  <conditionalFormatting sqref="F562:F565">
    <cfRule type="cellIs" dxfId="16" priority="36" operator="lessThan">
      <formula>0</formula>
    </cfRule>
  </conditionalFormatting>
  <conditionalFormatting sqref="F572">
    <cfRule type="cellIs" dxfId="15" priority="35" operator="lessThan">
      <formula>0</formula>
    </cfRule>
  </conditionalFormatting>
  <conditionalFormatting sqref="F568:F571">
    <cfRule type="cellIs" dxfId="14" priority="34" operator="lessThan">
      <formula>0</formula>
    </cfRule>
  </conditionalFormatting>
  <conditionalFormatting sqref="F578">
    <cfRule type="cellIs" dxfId="13" priority="33" operator="lessThan">
      <formula>0</formula>
    </cfRule>
  </conditionalFormatting>
  <conditionalFormatting sqref="F574:F577">
    <cfRule type="cellIs" dxfId="12" priority="32" operator="lessThan">
      <formula>0</formula>
    </cfRule>
  </conditionalFormatting>
  <conditionalFormatting sqref="F580:F583">
    <cfRule type="cellIs" dxfId="11" priority="31" operator="lessThan">
      <formula>0</formula>
    </cfRule>
  </conditionalFormatting>
  <conditionalFormatting sqref="W326">
    <cfRule type="cellIs" dxfId="10" priority="29" operator="lessThan">
      <formula>0</formula>
    </cfRule>
  </conditionalFormatting>
  <conditionalFormatting sqref="H605 H608 H611 H614">
    <cfRule type="cellIs" dxfId="9" priority="28" operator="lessThan">
      <formula>0</formula>
    </cfRule>
  </conditionalFormatting>
  <conditionalFormatting sqref="H601">
    <cfRule type="cellIs" dxfId="8" priority="18" operator="lessThan">
      <formula>0</formula>
    </cfRule>
  </conditionalFormatting>
  <conditionalFormatting sqref="H604">
    <cfRule type="cellIs" dxfId="7" priority="16" operator="lessThan">
      <formula>0</formula>
    </cfRule>
  </conditionalFormatting>
  <conditionalFormatting sqref="H603">
    <cfRule type="cellIs" dxfId="6" priority="7" operator="lessThan">
      <formula>0</formula>
    </cfRule>
  </conditionalFormatting>
  <conditionalFormatting sqref="H616">
    <cfRule type="cellIs" dxfId="5" priority="2" operator="lessThan">
      <formula>0</formula>
    </cfRule>
  </conditionalFormatting>
  <conditionalFormatting sqref="H606">
    <cfRule type="cellIs" dxfId="4" priority="6" operator="lessThan">
      <formula>0</formula>
    </cfRule>
  </conditionalFormatting>
  <conditionalFormatting sqref="H609">
    <cfRule type="cellIs" dxfId="3" priority="5" operator="lessThan">
      <formula>0</formula>
    </cfRule>
  </conditionalFormatting>
  <conditionalFormatting sqref="H612">
    <cfRule type="cellIs" dxfId="2" priority="4" operator="lessThan">
      <formula>0</formula>
    </cfRule>
  </conditionalFormatting>
  <conditionalFormatting sqref="H615">
    <cfRule type="cellIs" dxfId="1" priority="3" operator="lessThan">
      <formula>0</formula>
    </cfRule>
  </conditionalFormatting>
  <conditionalFormatting sqref="I600:I615">
    <cfRule type="cellIs" dxfId="0" priority="1" operator="lessThan">
      <formula>0</formula>
    </cfRule>
  </conditionalFormatting>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dimension ref="A1:G28"/>
  <sheetViews>
    <sheetView workbookViewId="0">
      <selection activeCell="D5" sqref="D5"/>
    </sheetView>
  </sheetViews>
  <sheetFormatPr defaultRowHeight="12.75"/>
  <cols>
    <col min="1" max="1" width="45.140625" customWidth="1"/>
    <col min="2" max="2" width="12.85546875" bestFit="1" customWidth="1"/>
    <col min="3" max="3" width="22" customWidth="1"/>
    <col min="4" max="4" width="29.85546875" customWidth="1"/>
    <col min="5" max="6" width="12.5703125" customWidth="1"/>
    <col min="7" max="7" width="25.5703125" customWidth="1"/>
    <col min="8" max="8" width="13" customWidth="1"/>
  </cols>
  <sheetData>
    <row r="1" spans="1:7">
      <c r="A1" t="s">
        <v>577</v>
      </c>
      <c r="B1" t="s">
        <v>580</v>
      </c>
    </row>
    <row r="2" spans="1:7">
      <c r="A2" t="s">
        <v>578</v>
      </c>
      <c r="B2" t="s">
        <v>579</v>
      </c>
    </row>
    <row r="5" spans="1:7">
      <c r="A5" s="52" t="s">
        <v>294</v>
      </c>
      <c r="B5" s="21">
        <f>'CDM Activity'!M52</f>
        <v>717439.6</v>
      </c>
    </row>
    <row r="6" spans="1:7">
      <c r="A6" s="52" t="s">
        <v>556</v>
      </c>
      <c r="B6" s="21">
        <f>'CDM Activity'!M53</f>
        <v>717439.6</v>
      </c>
      <c r="G6" s="52"/>
    </row>
    <row r="7" spans="1:7">
      <c r="A7" s="52" t="s">
        <v>5</v>
      </c>
      <c r="B7" s="554">
        <f>SUM(B5:B6)</f>
        <v>1434879.2</v>
      </c>
    </row>
    <row r="8" spans="1:7">
      <c r="A8" s="52"/>
      <c r="B8" s="512"/>
    </row>
    <row r="9" spans="1:7">
      <c r="A9" s="52"/>
      <c r="B9" s="497"/>
      <c r="C9" s="497"/>
      <c r="D9" s="497"/>
      <c r="E9" s="497"/>
      <c r="G9" s="498"/>
    </row>
    <row r="10" spans="1:7">
      <c r="C10" s="6" t="s">
        <v>560</v>
      </c>
    </row>
    <row r="11" spans="1:7">
      <c r="C11" s="52"/>
    </row>
    <row r="12" spans="1:7">
      <c r="A12" s="501"/>
      <c r="B12" s="502" t="s">
        <v>1</v>
      </c>
      <c r="C12" s="503" t="s">
        <v>116</v>
      </c>
      <c r="D12" s="502" t="s">
        <v>299</v>
      </c>
      <c r="E12" s="502" t="s">
        <v>215</v>
      </c>
      <c r="F12" s="510" t="s">
        <v>5</v>
      </c>
      <c r="G12" s="504" t="s">
        <v>309</v>
      </c>
    </row>
    <row r="13" spans="1:7">
      <c r="A13" s="505" t="s">
        <v>557</v>
      </c>
      <c r="B13" s="658">
        <f>$G$13*B19</f>
        <v>292581.48802399752</v>
      </c>
      <c r="C13" s="658">
        <f>$G$13*C19</f>
        <v>217956.52487035384</v>
      </c>
      <c r="D13" s="658">
        <f>$G$13*D19</f>
        <v>924341.18710564857</v>
      </c>
      <c r="E13" s="658"/>
      <c r="F13" s="660">
        <f>B7</f>
        <v>1434879.2</v>
      </c>
      <c r="G13" s="506">
        <f>F13-E13</f>
        <v>1434879.2</v>
      </c>
    </row>
    <row r="14" spans="1:7">
      <c r="A14" s="507" t="s">
        <v>558</v>
      </c>
      <c r="B14" s="508"/>
      <c r="C14" s="508"/>
      <c r="D14" s="1074">
        <f>D13*'Rate Class Load Model'!B31</f>
        <v>2712.7843289842162</v>
      </c>
      <c r="E14" s="659">
        <f>E13*'Rate Class Load Model'!C31</f>
        <v>0</v>
      </c>
      <c r="F14" s="511">
        <f>SUM(D14:E14)</f>
        <v>2712.7843289842162</v>
      </c>
      <c r="G14" s="509">
        <f>F14-E14</f>
        <v>2712.7843289842162</v>
      </c>
    </row>
    <row r="17" spans="1:7">
      <c r="B17" s="443"/>
      <c r="C17" s="397"/>
      <c r="D17" s="397"/>
      <c r="E17" s="443"/>
      <c r="F17" s="52"/>
      <c r="G17" s="52"/>
    </row>
    <row r="18" spans="1:7">
      <c r="A18" s="52" t="s">
        <v>559</v>
      </c>
      <c r="B18" s="495">
        <f>'Rate Class Energy Model '!E82</f>
        <v>219436.11601799811</v>
      </c>
      <c r="C18" s="495">
        <f>'Rate Class Energy Model '!F82</f>
        <v>163467.39365276537</v>
      </c>
      <c r="D18" s="495">
        <f>'Rate Class Energy Model '!G82</f>
        <v>693255.8903292364</v>
      </c>
      <c r="E18" s="495">
        <f>'Rate Class Energy Model '!H82</f>
        <v>0</v>
      </c>
      <c r="F18" s="496">
        <f>SUM(B18:E18)</f>
        <v>1076159.3999999999</v>
      </c>
      <c r="G18" s="500">
        <f>SUM(B18:D18)</f>
        <v>1076159.3999999999</v>
      </c>
    </row>
    <row r="19" spans="1:7">
      <c r="A19" s="52" t="s">
        <v>329</v>
      </c>
      <c r="B19" s="497">
        <f>'Rate Class Energy Model '!E80</f>
        <v>0.20390670380056908</v>
      </c>
      <c r="C19" s="497">
        <f>'Rate Class Energy Model '!F80</f>
        <v>0.15189886707560737</v>
      </c>
      <c r="D19" s="497">
        <f>'Rate Class Energy Model '!G80</f>
        <v>0.64419442912382352</v>
      </c>
      <c r="E19" s="497"/>
      <c r="G19" s="498">
        <f>SUM(B19:E19)</f>
        <v>1</v>
      </c>
    </row>
    <row r="21" spans="1:7">
      <c r="A21" t="s">
        <v>308</v>
      </c>
    </row>
    <row r="23" spans="1:7">
      <c r="C23" s="52" t="s">
        <v>511</v>
      </c>
      <c r="D23" s="52" t="s">
        <v>512</v>
      </c>
      <c r="E23" s="52" t="s">
        <v>513</v>
      </c>
    </row>
    <row r="24" spans="1:7">
      <c r="B24" s="52" t="s">
        <v>509</v>
      </c>
      <c r="C24" s="1075">
        <f>123.907*12</f>
        <v>1486.884</v>
      </c>
      <c r="D24" s="495">
        <f>139.89120211*12</f>
        <v>1678.6944253199999</v>
      </c>
      <c r="E24">
        <f>177*12</f>
        <v>2124</v>
      </c>
      <c r="F24" s="1079">
        <f>F25*F26</f>
        <v>1858.0144354151619</v>
      </c>
      <c r="G24" s="1078">
        <f>G25*G26</f>
        <v>2602.0061225222062</v>
      </c>
    </row>
    <row r="25" spans="1:7">
      <c r="B25" s="52" t="s">
        <v>510</v>
      </c>
      <c r="C25" s="495">
        <v>439472.48249999998</v>
      </c>
      <c r="D25" s="495">
        <v>550117.54681812495</v>
      </c>
      <c r="E25" s="495">
        <v>1056666</v>
      </c>
      <c r="F25" s="1077">
        <f>D13</f>
        <v>924341.18710564857</v>
      </c>
      <c r="G25" s="1077">
        <f>F25</f>
        <v>924341.18710564857</v>
      </c>
    </row>
    <row r="26" spans="1:7">
      <c r="B26" s="52" t="s">
        <v>50</v>
      </c>
      <c r="C26" s="1076">
        <f>C24/C25</f>
        <v>3.3833381137805371E-3</v>
      </c>
      <c r="D26" s="1076">
        <f>D24/D25</f>
        <v>3.0515195071118052E-3</v>
      </c>
      <c r="E26" s="1076">
        <f>E24/E25</f>
        <v>2.010095905423284E-3</v>
      </c>
      <c r="F26" s="1076">
        <f>E26</f>
        <v>2.010095905423284E-3</v>
      </c>
      <c r="G26" s="1076">
        <f>AVERAGE(C26:E26)</f>
        <v>2.8149845087718753E-3</v>
      </c>
    </row>
    <row r="28" spans="1:7" ht="344.25">
      <c r="A28" s="1080" t="s">
        <v>514</v>
      </c>
    </row>
  </sheetData>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sheetPr>
    <tabColor theme="9" tint="0.39997558519241921"/>
    <pageSetUpPr fitToPage="1"/>
  </sheetPr>
  <dimension ref="A1:AD40"/>
  <sheetViews>
    <sheetView topLeftCell="O1" zoomScale="110" zoomScaleNormal="110" workbookViewId="0">
      <selection activeCell="AB26" sqref="AB26"/>
    </sheetView>
  </sheetViews>
  <sheetFormatPr defaultRowHeight="12.75"/>
  <cols>
    <col min="1" max="1" width="8.85546875" style="54" customWidth="1"/>
    <col min="2" max="2" width="6.85546875" style="54" bestFit="1" customWidth="1"/>
    <col min="3" max="3" width="6.28515625" style="54" bestFit="1" customWidth="1"/>
    <col min="4" max="4" width="6" style="54" bestFit="1" customWidth="1"/>
    <col min="5" max="5" width="6" style="57" bestFit="1" customWidth="1"/>
    <col min="6" max="6" width="6.85546875" style="57" bestFit="1" customWidth="1"/>
    <col min="7" max="7" width="6" style="54" bestFit="1" customWidth="1"/>
    <col min="8" max="10" width="6.85546875" style="54" bestFit="1" customWidth="1"/>
    <col min="11" max="11" width="6.7109375" style="54" customWidth="1"/>
    <col min="12" max="22" width="8.42578125" style="54" bestFit="1" customWidth="1"/>
    <col min="23" max="23" width="8.85546875" style="54" customWidth="1"/>
    <col min="24" max="24" width="11.85546875" style="54" bestFit="1" customWidth="1"/>
    <col min="25" max="25" width="10.140625" style="54" bestFit="1" customWidth="1"/>
    <col min="26" max="261" width="9.140625" style="54"/>
    <col min="262" max="262" width="9.28515625" style="54" customWidth="1"/>
    <col min="263" max="263" width="9.5703125" style="54" customWidth="1"/>
    <col min="264" max="277" width="9.140625" style="54"/>
    <col min="278" max="278" width="9.85546875" style="54" bestFit="1" customWidth="1"/>
    <col min="279" max="279" width="11" style="54" bestFit="1" customWidth="1"/>
    <col min="280" max="517" width="9.140625" style="54"/>
    <col min="518" max="518" width="9.28515625" style="54" customWidth="1"/>
    <col min="519" max="519" width="9.5703125" style="54" customWidth="1"/>
    <col min="520" max="533" width="9.140625" style="54"/>
    <col min="534" max="534" width="9.85546875" style="54" bestFit="1" customWidth="1"/>
    <col min="535" max="535" width="11" style="54" bestFit="1" customWidth="1"/>
    <col min="536" max="773" width="9.140625" style="54"/>
    <col min="774" max="774" width="9.28515625" style="54" customWidth="1"/>
    <col min="775" max="775" width="9.5703125" style="54" customWidth="1"/>
    <col min="776" max="789" width="9.140625" style="54"/>
    <col min="790" max="790" width="9.85546875" style="54" bestFit="1" customWidth="1"/>
    <col min="791" max="791" width="11" style="54" bestFit="1" customWidth="1"/>
    <col min="792" max="1029" width="9.140625" style="54"/>
    <col min="1030" max="1030" width="9.28515625" style="54" customWidth="1"/>
    <col min="1031" max="1031" width="9.5703125" style="54" customWidth="1"/>
    <col min="1032" max="1045" width="9.140625" style="54"/>
    <col min="1046" max="1046" width="9.85546875" style="54" bestFit="1" customWidth="1"/>
    <col min="1047" max="1047" width="11" style="54" bestFit="1" customWidth="1"/>
    <col min="1048" max="1285" width="9.140625" style="54"/>
    <col min="1286" max="1286" width="9.28515625" style="54" customWidth="1"/>
    <col min="1287" max="1287" width="9.5703125" style="54" customWidth="1"/>
    <col min="1288" max="1301" width="9.140625" style="54"/>
    <col min="1302" max="1302" width="9.85546875" style="54" bestFit="1" customWidth="1"/>
    <col min="1303" max="1303" width="11" style="54" bestFit="1" customWidth="1"/>
    <col min="1304" max="1541" width="9.140625" style="54"/>
    <col min="1542" max="1542" width="9.28515625" style="54" customWidth="1"/>
    <col min="1543" max="1543" width="9.5703125" style="54" customWidth="1"/>
    <col min="1544" max="1557" width="9.140625" style="54"/>
    <col min="1558" max="1558" width="9.85546875" style="54" bestFit="1" customWidth="1"/>
    <col min="1559" max="1559" width="11" style="54" bestFit="1" customWidth="1"/>
    <col min="1560" max="1797" width="9.140625" style="54"/>
    <col min="1798" max="1798" width="9.28515625" style="54" customWidth="1"/>
    <col min="1799" max="1799" width="9.5703125" style="54" customWidth="1"/>
    <col min="1800" max="1813" width="9.140625" style="54"/>
    <col min="1814" max="1814" width="9.85546875" style="54" bestFit="1" customWidth="1"/>
    <col min="1815" max="1815" width="11" style="54" bestFit="1" customWidth="1"/>
    <col min="1816" max="2053" width="9.140625" style="54"/>
    <col min="2054" max="2054" width="9.28515625" style="54" customWidth="1"/>
    <col min="2055" max="2055" width="9.5703125" style="54" customWidth="1"/>
    <col min="2056" max="2069" width="9.140625" style="54"/>
    <col min="2070" max="2070" width="9.85546875" style="54" bestFit="1" customWidth="1"/>
    <col min="2071" max="2071" width="11" style="54" bestFit="1" customWidth="1"/>
    <col min="2072" max="2309" width="9.140625" style="54"/>
    <col min="2310" max="2310" width="9.28515625" style="54" customWidth="1"/>
    <col min="2311" max="2311" width="9.5703125" style="54" customWidth="1"/>
    <col min="2312" max="2325" width="9.140625" style="54"/>
    <col min="2326" max="2326" width="9.85546875" style="54" bestFit="1" customWidth="1"/>
    <col min="2327" max="2327" width="11" style="54" bestFit="1" customWidth="1"/>
    <col min="2328" max="2565" width="9.140625" style="54"/>
    <col min="2566" max="2566" width="9.28515625" style="54" customWidth="1"/>
    <col min="2567" max="2567" width="9.5703125" style="54" customWidth="1"/>
    <col min="2568" max="2581" width="9.140625" style="54"/>
    <col min="2582" max="2582" width="9.85546875" style="54" bestFit="1" customWidth="1"/>
    <col min="2583" max="2583" width="11" style="54" bestFit="1" customWidth="1"/>
    <col min="2584" max="2821" width="9.140625" style="54"/>
    <col min="2822" max="2822" width="9.28515625" style="54" customWidth="1"/>
    <col min="2823" max="2823" width="9.5703125" style="54" customWidth="1"/>
    <col min="2824" max="2837" width="9.140625" style="54"/>
    <col min="2838" max="2838" width="9.85546875" style="54" bestFit="1" customWidth="1"/>
    <col min="2839" max="2839" width="11" style="54" bestFit="1" customWidth="1"/>
    <col min="2840" max="3077" width="9.140625" style="54"/>
    <col min="3078" max="3078" width="9.28515625" style="54" customWidth="1"/>
    <col min="3079" max="3079" width="9.5703125" style="54" customWidth="1"/>
    <col min="3080" max="3093" width="9.140625" style="54"/>
    <col min="3094" max="3094" width="9.85546875" style="54" bestFit="1" customWidth="1"/>
    <col min="3095" max="3095" width="11" style="54" bestFit="1" customWidth="1"/>
    <col min="3096" max="3333" width="9.140625" style="54"/>
    <col min="3334" max="3334" width="9.28515625" style="54" customWidth="1"/>
    <col min="3335" max="3335" width="9.5703125" style="54" customWidth="1"/>
    <col min="3336" max="3349" width="9.140625" style="54"/>
    <col min="3350" max="3350" width="9.85546875" style="54" bestFit="1" customWidth="1"/>
    <col min="3351" max="3351" width="11" style="54" bestFit="1" customWidth="1"/>
    <col min="3352" max="3589" width="9.140625" style="54"/>
    <col min="3590" max="3590" width="9.28515625" style="54" customWidth="1"/>
    <col min="3591" max="3591" width="9.5703125" style="54" customWidth="1"/>
    <col min="3592" max="3605" width="9.140625" style="54"/>
    <col min="3606" max="3606" width="9.85546875" style="54" bestFit="1" customWidth="1"/>
    <col min="3607" max="3607" width="11" style="54" bestFit="1" customWidth="1"/>
    <col min="3608" max="3845" width="9.140625" style="54"/>
    <col min="3846" max="3846" width="9.28515625" style="54" customWidth="1"/>
    <col min="3847" max="3847" width="9.5703125" style="54" customWidth="1"/>
    <col min="3848" max="3861" width="9.140625" style="54"/>
    <col min="3862" max="3862" width="9.85546875" style="54" bestFit="1" customWidth="1"/>
    <col min="3863" max="3863" width="11" style="54" bestFit="1" customWidth="1"/>
    <col min="3864" max="4101" width="9.140625" style="54"/>
    <col min="4102" max="4102" width="9.28515625" style="54" customWidth="1"/>
    <col min="4103" max="4103" width="9.5703125" style="54" customWidth="1"/>
    <col min="4104" max="4117" width="9.140625" style="54"/>
    <col min="4118" max="4118" width="9.85546875" style="54" bestFit="1" customWidth="1"/>
    <col min="4119" max="4119" width="11" style="54" bestFit="1" customWidth="1"/>
    <col min="4120" max="4357" width="9.140625" style="54"/>
    <col min="4358" max="4358" width="9.28515625" style="54" customWidth="1"/>
    <col min="4359" max="4359" width="9.5703125" style="54" customWidth="1"/>
    <col min="4360" max="4373" width="9.140625" style="54"/>
    <col min="4374" max="4374" width="9.85546875" style="54" bestFit="1" customWidth="1"/>
    <col min="4375" max="4375" width="11" style="54" bestFit="1" customWidth="1"/>
    <col min="4376" max="4613" width="9.140625" style="54"/>
    <col min="4614" max="4614" width="9.28515625" style="54" customWidth="1"/>
    <col min="4615" max="4615" width="9.5703125" style="54" customWidth="1"/>
    <col min="4616" max="4629" width="9.140625" style="54"/>
    <col min="4630" max="4630" width="9.85546875" style="54" bestFit="1" customWidth="1"/>
    <col min="4631" max="4631" width="11" style="54" bestFit="1" customWidth="1"/>
    <col min="4632" max="4869" width="9.140625" style="54"/>
    <col min="4870" max="4870" width="9.28515625" style="54" customWidth="1"/>
    <col min="4871" max="4871" width="9.5703125" style="54" customWidth="1"/>
    <col min="4872" max="4885" width="9.140625" style="54"/>
    <col min="4886" max="4886" width="9.85546875" style="54" bestFit="1" customWidth="1"/>
    <col min="4887" max="4887" width="11" style="54" bestFit="1" customWidth="1"/>
    <col min="4888" max="5125" width="9.140625" style="54"/>
    <col min="5126" max="5126" width="9.28515625" style="54" customWidth="1"/>
    <col min="5127" max="5127" width="9.5703125" style="54" customWidth="1"/>
    <col min="5128" max="5141" width="9.140625" style="54"/>
    <col min="5142" max="5142" width="9.85546875" style="54" bestFit="1" customWidth="1"/>
    <col min="5143" max="5143" width="11" style="54" bestFit="1" customWidth="1"/>
    <col min="5144" max="5381" width="9.140625" style="54"/>
    <col min="5382" max="5382" width="9.28515625" style="54" customWidth="1"/>
    <col min="5383" max="5383" width="9.5703125" style="54" customWidth="1"/>
    <col min="5384" max="5397" width="9.140625" style="54"/>
    <col min="5398" max="5398" width="9.85546875" style="54" bestFit="1" customWidth="1"/>
    <col min="5399" max="5399" width="11" style="54" bestFit="1" customWidth="1"/>
    <col min="5400" max="5637" width="9.140625" style="54"/>
    <col min="5638" max="5638" width="9.28515625" style="54" customWidth="1"/>
    <col min="5639" max="5639" width="9.5703125" style="54" customWidth="1"/>
    <col min="5640" max="5653" width="9.140625" style="54"/>
    <col min="5654" max="5654" width="9.85546875" style="54" bestFit="1" customWidth="1"/>
    <col min="5655" max="5655" width="11" style="54" bestFit="1" customWidth="1"/>
    <col min="5656" max="5893" width="9.140625" style="54"/>
    <col min="5894" max="5894" width="9.28515625" style="54" customWidth="1"/>
    <col min="5895" max="5895" width="9.5703125" style="54" customWidth="1"/>
    <col min="5896" max="5909" width="9.140625" style="54"/>
    <col min="5910" max="5910" width="9.85546875" style="54" bestFit="1" customWidth="1"/>
    <col min="5911" max="5911" width="11" style="54" bestFit="1" customWidth="1"/>
    <col min="5912" max="6149" width="9.140625" style="54"/>
    <col min="6150" max="6150" width="9.28515625" style="54" customWidth="1"/>
    <col min="6151" max="6151" width="9.5703125" style="54" customWidth="1"/>
    <col min="6152" max="6165" width="9.140625" style="54"/>
    <col min="6166" max="6166" width="9.85546875" style="54" bestFit="1" customWidth="1"/>
    <col min="6167" max="6167" width="11" style="54" bestFit="1" customWidth="1"/>
    <col min="6168" max="6405" width="9.140625" style="54"/>
    <col min="6406" max="6406" width="9.28515625" style="54" customWidth="1"/>
    <col min="6407" max="6407" width="9.5703125" style="54" customWidth="1"/>
    <col min="6408" max="6421" width="9.140625" style="54"/>
    <col min="6422" max="6422" width="9.85546875" style="54" bestFit="1" customWidth="1"/>
    <col min="6423" max="6423" width="11" style="54" bestFit="1" customWidth="1"/>
    <col min="6424" max="6661" width="9.140625" style="54"/>
    <col min="6662" max="6662" width="9.28515625" style="54" customWidth="1"/>
    <col min="6663" max="6663" width="9.5703125" style="54" customWidth="1"/>
    <col min="6664" max="6677" width="9.140625" style="54"/>
    <col min="6678" max="6678" width="9.85546875" style="54" bestFit="1" customWidth="1"/>
    <col min="6679" max="6679" width="11" style="54" bestFit="1" customWidth="1"/>
    <col min="6680" max="6917" width="9.140625" style="54"/>
    <col min="6918" max="6918" width="9.28515625" style="54" customWidth="1"/>
    <col min="6919" max="6919" width="9.5703125" style="54" customWidth="1"/>
    <col min="6920" max="6933" width="9.140625" style="54"/>
    <col min="6934" max="6934" width="9.85546875" style="54" bestFit="1" customWidth="1"/>
    <col min="6935" max="6935" width="11" style="54" bestFit="1" customWidth="1"/>
    <col min="6936" max="7173" width="9.140625" style="54"/>
    <col min="7174" max="7174" width="9.28515625" style="54" customWidth="1"/>
    <col min="7175" max="7175" width="9.5703125" style="54" customWidth="1"/>
    <col min="7176" max="7189" width="9.140625" style="54"/>
    <col min="7190" max="7190" width="9.85546875" style="54" bestFit="1" customWidth="1"/>
    <col min="7191" max="7191" width="11" style="54" bestFit="1" customWidth="1"/>
    <col min="7192" max="7429" width="9.140625" style="54"/>
    <col min="7430" max="7430" width="9.28515625" style="54" customWidth="1"/>
    <col min="7431" max="7431" width="9.5703125" style="54" customWidth="1"/>
    <col min="7432" max="7445" width="9.140625" style="54"/>
    <col min="7446" max="7446" width="9.85546875" style="54" bestFit="1" customWidth="1"/>
    <col min="7447" max="7447" width="11" style="54" bestFit="1" customWidth="1"/>
    <col min="7448" max="7685" width="9.140625" style="54"/>
    <col min="7686" max="7686" width="9.28515625" style="54" customWidth="1"/>
    <col min="7687" max="7687" width="9.5703125" style="54" customWidth="1"/>
    <col min="7688" max="7701" width="9.140625" style="54"/>
    <col min="7702" max="7702" width="9.85546875" style="54" bestFit="1" customWidth="1"/>
    <col min="7703" max="7703" width="11" style="54" bestFit="1" customWidth="1"/>
    <col min="7704" max="7941" width="9.140625" style="54"/>
    <col min="7942" max="7942" width="9.28515625" style="54" customWidth="1"/>
    <col min="7943" max="7943" width="9.5703125" style="54" customWidth="1"/>
    <col min="7944" max="7957" width="9.140625" style="54"/>
    <col min="7958" max="7958" width="9.85546875" style="54" bestFit="1" customWidth="1"/>
    <col min="7959" max="7959" width="11" style="54" bestFit="1" customWidth="1"/>
    <col min="7960" max="8197" width="9.140625" style="54"/>
    <col min="8198" max="8198" width="9.28515625" style="54" customWidth="1"/>
    <col min="8199" max="8199" width="9.5703125" style="54" customWidth="1"/>
    <col min="8200" max="8213" width="9.140625" style="54"/>
    <col min="8214" max="8214" width="9.85546875" style="54" bestFit="1" customWidth="1"/>
    <col min="8215" max="8215" width="11" style="54" bestFit="1" customWidth="1"/>
    <col min="8216" max="8453" width="9.140625" style="54"/>
    <col min="8454" max="8454" width="9.28515625" style="54" customWidth="1"/>
    <col min="8455" max="8455" width="9.5703125" style="54" customWidth="1"/>
    <col min="8456" max="8469" width="9.140625" style="54"/>
    <col min="8470" max="8470" width="9.85546875" style="54" bestFit="1" customWidth="1"/>
    <col min="8471" max="8471" width="11" style="54" bestFit="1" customWidth="1"/>
    <col min="8472" max="8709" width="9.140625" style="54"/>
    <col min="8710" max="8710" width="9.28515625" style="54" customWidth="1"/>
    <col min="8711" max="8711" width="9.5703125" style="54" customWidth="1"/>
    <col min="8712" max="8725" width="9.140625" style="54"/>
    <col min="8726" max="8726" width="9.85546875" style="54" bestFit="1" customWidth="1"/>
    <col min="8727" max="8727" width="11" style="54" bestFit="1" customWidth="1"/>
    <col min="8728" max="8965" width="9.140625" style="54"/>
    <col min="8966" max="8966" width="9.28515625" style="54" customWidth="1"/>
    <col min="8967" max="8967" width="9.5703125" style="54" customWidth="1"/>
    <col min="8968" max="8981" width="9.140625" style="54"/>
    <col min="8982" max="8982" width="9.85546875" style="54" bestFit="1" customWidth="1"/>
    <col min="8983" max="8983" width="11" style="54" bestFit="1" customWidth="1"/>
    <col min="8984" max="9221" width="9.140625" style="54"/>
    <col min="9222" max="9222" width="9.28515625" style="54" customWidth="1"/>
    <col min="9223" max="9223" width="9.5703125" style="54" customWidth="1"/>
    <col min="9224" max="9237" width="9.140625" style="54"/>
    <col min="9238" max="9238" width="9.85546875" style="54" bestFit="1" customWidth="1"/>
    <col min="9239" max="9239" width="11" style="54" bestFit="1" customWidth="1"/>
    <col min="9240" max="9477" width="9.140625" style="54"/>
    <col min="9478" max="9478" width="9.28515625" style="54" customWidth="1"/>
    <col min="9479" max="9479" width="9.5703125" style="54" customWidth="1"/>
    <col min="9480" max="9493" width="9.140625" style="54"/>
    <col min="9494" max="9494" width="9.85546875" style="54" bestFit="1" customWidth="1"/>
    <col min="9495" max="9495" width="11" style="54" bestFit="1" customWidth="1"/>
    <col min="9496" max="9733" width="9.140625" style="54"/>
    <col min="9734" max="9734" width="9.28515625" style="54" customWidth="1"/>
    <col min="9735" max="9735" width="9.5703125" style="54" customWidth="1"/>
    <col min="9736" max="9749" width="9.140625" style="54"/>
    <col min="9750" max="9750" width="9.85546875" style="54" bestFit="1" customWidth="1"/>
    <col min="9751" max="9751" width="11" style="54" bestFit="1" customWidth="1"/>
    <col min="9752" max="9989" width="9.140625" style="54"/>
    <col min="9990" max="9990" width="9.28515625" style="54" customWidth="1"/>
    <col min="9991" max="9991" width="9.5703125" style="54" customWidth="1"/>
    <col min="9992" max="10005" width="9.140625" style="54"/>
    <col min="10006" max="10006" width="9.85546875" style="54" bestFit="1" customWidth="1"/>
    <col min="10007" max="10007" width="11" style="54" bestFit="1" customWidth="1"/>
    <col min="10008" max="10245" width="9.140625" style="54"/>
    <col min="10246" max="10246" width="9.28515625" style="54" customWidth="1"/>
    <col min="10247" max="10247" width="9.5703125" style="54" customWidth="1"/>
    <col min="10248" max="10261" width="9.140625" style="54"/>
    <col min="10262" max="10262" width="9.85546875" style="54" bestFit="1" customWidth="1"/>
    <col min="10263" max="10263" width="11" style="54" bestFit="1" customWidth="1"/>
    <col min="10264" max="10501" width="9.140625" style="54"/>
    <col min="10502" max="10502" width="9.28515625" style="54" customWidth="1"/>
    <col min="10503" max="10503" width="9.5703125" style="54" customWidth="1"/>
    <col min="10504" max="10517" width="9.140625" style="54"/>
    <col min="10518" max="10518" width="9.85546875" style="54" bestFit="1" customWidth="1"/>
    <col min="10519" max="10519" width="11" style="54" bestFit="1" customWidth="1"/>
    <col min="10520" max="10757" width="9.140625" style="54"/>
    <col min="10758" max="10758" width="9.28515625" style="54" customWidth="1"/>
    <col min="10759" max="10759" width="9.5703125" style="54" customWidth="1"/>
    <col min="10760" max="10773" width="9.140625" style="54"/>
    <col min="10774" max="10774" width="9.85546875" style="54" bestFit="1" customWidth="1"/>
    <col min="10775" max="10775" width="11" style="54" bestFit="1" customWidth="1"/>
    <col min="10776" max="11013" width="9.140625" style="54"/>
    <col min="11014" max="11014" width="9.28515625" style="54" customWidth="1"/>
    <col min="11015" max="11015" width="9.5703125" style="54" customWidth="1"/>
    <col min="11016" max="11029" width="9.140625" style="54"/>
    <col min="11030" max="11030" width="9.85546875" style="54" bestFit="1" customWidth="1"/>
    <col min="11031" max="11031" width="11" style="54" bestFit="1" customWidth="1"/>
    <col min="11032" max="11269" width="9.140625" style="54"/>
    <col min="11270" max="11270" width="9.28515625" style="54" customWidth="1"/>
    <col min="11271" max="11271" width="9.5703125" style="54" customWidth="1"/>
    <col min="11272" max="11285" width="9.140625" style="54"/>
    <col min="11286" max="11286" width="9.85546875" style="54" bestFit="1" customWidth="1"/>
    <col min="11287" max="11287" width="11" style="54" bestFit="1" customWidth="1"/>
    <col min="11288" max="11525" width="9.140625" style="54"/>
    <col min="11526" max="11526" width="9.28515625" style="54" customWidth="1"/>
    <col min="11527" max="11527" width="9.5703125" style="54" customWidth="1"/>
    <col min="11528" max="11541" width="9.140625" style="54"/>
    <col min="11542" max="11542" width="9.85546875" style="54" bestFit="1" customWidth="1"/>
    <col min="11543" max="11543" width="11" style="54" bestFit="1" customWidth="1"/>
    <col min="11544" max="11781" width="9.140625" style="54"/>
    <col min="11782" max="11782" width="9.28515625" style="54" customWidth="1"/>
    <col min="11783" max="11783" width="9.5703125" style="54" customWidth="1"/>
    <col min="11784" max="11797" width="9.140625" style="54"/>
    <col min="11798" max="11798" width="9.85546875" style="54" bestFit="1" customWidth="1"/>
    <col min="11799" max="11799" width="11" style="54" bestFit="1" customWidth="1"/>
    <col min="11800" max="12037" width="9.140625" style="54"/>
    <col min="12038" max="12038" width="9.28515625" style="54" customWidth="1"/>
    <col min="12039" max="12039" width="9.5703125" style="54" customWidth="1"/>
    <col min="12040" max="12053" width="9.140625" style="54"/>
    <col min="12054" max="12054" width="9.85546875" style="54" bestFit="1" customWidth="1"/>
    <col min="12055" max="12055" width="11" style="54" bestFit="1" customWidth="1"/>
    <col min="12056" max="12293" width="9.140625" style="54"/>
    <col min="12294" max="12294" width="9.28515625" style="54" customWidth="1"/>
    <col min="12295" max="12295" width="9.5703125" style="54" customWidth="1"/>
    <col min="12296" max="12309" width="9.140625" style="54"/>
    <col min="12310" max="12310" width="9.85546875" style="54" bestFit="1" customWidth="1"/>
    <col min="12311" max="12311" width="11" style="54" bestFit="1" customWidth="1"/>
    <col min="12312" max="12549" width="9.140625" style="54"/>
    <col min="12550" max="12550" width="9.28515625" style="54" customWidth="1"/>
    <col min="12551" max="12551" width="9.5703125" style="54" customWidth="1"/>
    <col min="12552" max="12565" width="9.140625" style="54"/>
    <col min="12566" max="12566" width="9.85546875" style="54" bestFit="1" customWidth="1"/>
    <col min="12567" max="12567" width="11" style="54" bestFit="1" customWidth="1"/>
    <col min="12568" max="12805" width="9.140625" style="54"/>
    <col min="12806" max="12806" width="9.28515625" style="54" customWidth="1"/>
    <col min="12807" max="12807" width="9.5703125" style="54" customWidth="1"/>
    <col min="12808" max="12821" width="9.140625" style="54"/>
    <col min="12822" max="12822" width="9.85546875" style="54" bestFit="1" customWidth="1"/>
    <col min="12823" max="12823" width="11" style="54" bestFit="1" customWidth="1"/>
    <col min="12824" max="13061" width="9.140625" style="54"/>
    <col min="13062" max="13062" width="9.28515625" style="54" customWidth="1"/>
    <col min="13063" max="13063" width="9.5703125" style="54" customWidth="1"/>
    <col min="13064" max="13077" width="9.140625" style="54"/>
    <col min="13078" max="13078" width="9.85546875" style="54" bestFit="1" customWidth="1"/>
    <col min="13079" max="13079" width="11" style="54" bestFit="1" customWidth="1"/>
    <col min="13080" max="13317" width="9.140625" style="54"/>
    <col min="13318" max="13318" width="9.28515625" style="54" customWidth="1"/>
    <col min="13319" max="13319" width="9.5703125" style="54" customWidth="1"/>
    <col min="13320" max="13333" width="9.140625" style="54"/>
    <col min="13334" max="13334" width="9.85546875" style="54" bestFit="1" customWidth="1"/>
    <col min="13335" max="13335" width="11" style="54" bestFit="1" customWidth="1"/>
    <col min="13336" max="13573" width="9.140625" style="54"/>
    <col min="13574" max="13574" width="9.28515625" style="54" customWidth="1"/>
    <col min="13575" max="13575" width="9.5703125" style="54" customWidth="1"/>
    <col min="13576" max="13589" width="9.140625" style="54"/>
    <col min="13590" max="13590" width="9.85546875" style="54" bestFit="1" customWidth="1"/>
    <col min="13591" max="13591" width="11" style="54" bestFit="1" customWidth="1"/>
    <col min="13592" max="13829" width="9.140625" style="54"/>
    <col min="13830" max="13830" width="9.28515625" style="54" customWidth="1"/>
    <col min="13831" max="13831" width="9.5703125" style="54" customWidth="1"/>
    <col min="13832" max="13845" width="9.140625" style="54"/>
    <col min="13846" max="13846" width="9.85546875" style="54" bestFit="1" customWidth="1"/>
    <col min="13847" max="13847" width="11" style="54" bestFit="1" customWidth="1"/>
    <col min="13848" max="14085" width="9.140625" style="54"/>
    <col min="14086" max="14086" width="9.28515625" style="54" customWidth="1"/>
    <col min="14087" max="14087" width="9.5703125" style="54" customWidth="1"/>
    <col min="14088" max="14101" width="9.140625" style="54"/>
    <col min="14102" max="14102" width="9.85546875" style="54" bestFit="1" customWidth="1"/>
    <col min="14103" max="14103" width="11" style="54" bestFit="1" customWidth="1"/>
    <col min="14104" max="14341" width="9.140625" style="54"/>
    <col min="14342" max="14342" width="9.28515625" style="54" customWidth="1"/>
    <col min="14343" max="14343" width="9.5703125" style="54" customWidth="1"/>
    <col min="14344" max="14357" width="9.140625" style="54"/>
    <col min="14358" max="14358" width="9.85546875" style="54" bestFit="1" customWidth="1"/>
    <col min="14359" max="14359" width="11" style="54" bestFit="1" customWidth="1"/>
    <col min="14360" max="14597" width="9.140625" style="54"/>
    <col min="14598" max="14598" width="9.28515625" style="54" customWidth="1"/>
    <col min="14599" max="14599" width="9.5703125" style="54" customWidth="1"/>
    <col min="14600" max="14613" width="9.140625" style="54"/>
    <col min="14614" max="14614" width="9.85546875" style="54" bestFit="1" customWidth="1"/>
    <col min="14615" max="14615" width="11" style="54" bestFit="1" customWidth="1"/>
    <col min="14616" max="14853" width="9.140625" style="54"/>
    <col min="14854" max="14854" width="9.28515625" style="54" customWidth="1"/>
    <col min="14855" max="14855" width="9.5703125" style="54" customWidth="1"/>
    <col min="14856" max="14869" width="9.140625" style="54"/>
    <col min="14870" max="14870" width="9.85546875" style="54" bestFit="1" customWidth="1"/>
    <col min="14871" max="14871" width="11" style="54" bestFit="1" customWidth="1"/>
    <col min="14872" max="15109" width="9.140625" style="54"/>
    <col min="15110" max="15110" width="9.28515625" style="54" customWidth="1"/>
    <col min="15111" max="15111" width="9.5703125" style="54" customWidth="1"/>
    <col min="15112" max="15125" width="9.140625" style="54"/>
    <col min="15126" max="15126" width="9.85546875" style="54" bestFit="1" customWidth="1"/>
    <col min="15127" max="15127" width="11" style="54" bestFit="1" customWidth="1"/>
    <col min="15128" max="15365" width="9.140625" style="54"/>
    <col min="15366" max="15366" width="9.28515625" style="54" customWidth="1"/>
    <col min="15367" max="15367" width="9.5703125" style="54" customWidth="1"/>
    <col min="15368" max="15381" width="9.140625" style="54"/>
    <col min="15382" max="15382" width="9.85546875" style="54" bestFit="1" customWidth="1"/>
    <col min="15383" max="15383" width="11" style="54" bestFit="1" customWidth="1"/>
    <col min="15384" max="15621" width="9.140625" style="54"/>
    <col min="15622" max="15622" width="9.28515625" style="54" customWidth="1"/>
    <col min="15623" max="15623" width="9.5703125" style="54" customWidth="1"/>
    <col min="15624" max="15637" width="9.140625" style="54"/>
    <col min="15638" max="15638" width="9.85546875" style="54" bestFit="1" customWidth="1"/>
    <col min="15639" max="15639" width="11" style="54" bestFit="1" customWidth="1"/>
    <col min="15640" max="15877" width="9.140625" style="54"/>
    <col min="15878" max="15878" width="9.28515625" style="54" customWidth="1"/>
    <col min="15879" max="15879" width="9.5703125" style="54" customWidth="1"/>
    <col min="15880" max="15893" width="9.140625" style="54"/>
    <col min="15894" max="15894" width="9.85546875" style="54" bestFit="1" customWidth="1"/>
    <col min="15895" max="15895" width="11" style="54" bestFit="1" customWidth="1"/>
    <col min="15896" max="16133" width="9.140625" style="54"/>
    <col min="16134" max="16134" width="9.28515625" style="54" customWidth="1"/>
    <col min="16135" max="16135" width="9.5703125" style="54" customWidth="1"/>
    <col min="16136" max="16149" width="9.140625" style="54"/>
    <col min="16150" max="16150" width="9.85546875" style="54" bestFit="1" customWidth="1"/>
    <col min="16151" max="16151" width="11" style="54" bestFit="1" customWidth="1"/>
    <col min="16152" max="16384" width="9.140625" style="54"/>
  </cols>
  <sheetData>
    <row r="1" spans="1:30">
      <c r="A1" s="155" t="s">
        <v>98</v>
      </c>
      <c r="D1" s="518"/>
      <c r="E1" s="518"/>
      <c r="F1" s="55"/>
      <c r="G1" s="55"/>
      <c r="H1" s="55"/>
      <c r="I1" s="55"/>
    </row>
    <row r="2" spans="1:30">
      <c r="A2" s="56"/>
    </row>
    <row r="3" spans="1:30" ht="15">
      <c r="B3" s="58"/>
      <c r="C3" s="58"/>
      <c r="D3" s="58"/>
      <c r="E3" s="59"/>
      <c r="F3" s="59"/>
      <c r="K3" s="908" t="s">
        <v>164</v>
      </c>
    </row>
    <row r="4" spans="1:30" ht="11.25" customHeight="1" thickBot="1">
      <c r="A4" s="60"/>
      <c r="B4" s="60" t="s">
        <v>166</v>
      </c>
      <c r="C4" s="60" t="s">
        <v>166</v>
      </c>
      <c r="D4" s="60"/>
      <c r="E4" s="61"/>
      <c r="F4" s="61"/>
      <c r="X4" s="1044" t="s">
        <v>165</v>
      </c>
    </row>
    <row r="5" spans="1:30" ht="13.5" thickTop="1">
      <c r="A5" s="925" t="s">
        <v>99</v>
      </c>
      <c r="B5" s="926">
        <v>1995</v>
      </c>
      <c r="C5" s="926">
        <v>1996</v>
      </c>
      <c r="D5" s="926">
        <v>1997</v>
      </c>
      <c r="E5" s="926">
        <v>1998</v>
      </c>
      <c r="F5" s="926">
        <v>1999</v>
      </c>
      <c r="G5" s="926">
        <v>2000</v>
      </c>
      <c r="H5" s="926">
        <v>2001</v>
      </c>
      <c r="I5" s="926">
        <v>2002</v>
      </c>
      <c r="J5" s="926">
        <v>2003</v>
      </c>
      <c r="K5" s="926">
        <v>2004</v>
      </c>
      <c r="L5" s="927">
        <v>2005</v>
      </c>
      <c r="M5" s="926">
        <v>2006</v>
      </c>
      <c r="N5" s="926">
        <v>2007</v>
      </c>
      <c r="O5" s="926">
        <v>2008</v>
      </c>
      <c r="P5" s="926">
        <v>2009</v>
      </c>
      <c r="Q5" s="926">
        <v>2010</v>
      </c>
      <c r="R5" s="926">
        <v>2011</v>
      </c>
      <c r="S5" s="926">
        <v>2012</v>
      </c>
      <c r="T5" s="926">
        <v>2013</v>
      </c>
      <c r="U5" s="926">
        <v>2014</v>
      </c>
      <c r="V5" s="926">
        <v>2015</v>
      </c>
      <c r="W5" s="926">
        <v>2016</v>
      </c>
      <c r="X5" s="928" t="s">
        <v>100</v>
      </c>
      <c r="Y5" s="928" t="s">
        <v>101</v>
      </c>
      <c r="Z5" s="939" t="s">
        <v>113</v>
      </c>
    </row>
    <row r="6" spans="1:30">
      <c r="A6" s="929" t="s">
        <v>102</v>
      </c>
      <c r="B6" s="159">
        <v>773.9</v>
      </c>
      <c r="C6" s="159">
        <v>920.10000000000014</v>
      </c>
      <c r="D6" s="159">
        <v>923</v>
      </c>
      <c r="E6" s="159">
        <v>801.59999999999991</v>
      </c>
      <c r="F6" s="159">
        <v>875.4</v>
      </c>
      <c r="G6" s="159">
        <v>875.3</v>
      </c>
      <c r="H6" s="159">
        <v>848.19999999999993</v>
      </c>
      <c r="I6" s="159">
        <v>709.39999999999986</v>
      </c>
      <c r="J6" s="159">
        <v>977.30000000000018</v>
      </c>
      <c r="K6" s="159">
        <v>1045.3</v>
      </c>
      <c r="L6" s="161">
        <v>920.6999999999997</v>
      </c>
      <c r="M6" s="159">
        <v>733.50000000000023</v>
      </c>
      <c r="N6" s="159">
        <v>797.09999999999991</v>
      </c>
      <c r="O6" s="159">
        <v>754.20000000000016</v>
      </c>
      <c r="P6" s="159">
        <v>979.5</v>
      </c>
      <c r="Q6" s="159">
        <v>789.2</v>
      </c>
      <c r="R6" s="159">
        <v>888.7</v>
      </c>
      <c r="S6" s="159">
        <v>831.00000000000023</v>
      </c>
      <c r="T6" s="159">
        <v>839.90000000000009</v>
      </c>
      <c r="U6" s="159">
        <v>918.30000000000007</v>
      </c>
      <c r="V6" s="159">
        <v>968.19999999999982</v>
      </c>
      <c r="W6" s="159">
        <v>804.80000000000018</v>
      </c>
      <c r="X6" s="586">
        <f>AVERAGE(N6:W6)</f>
        <v>857.09000000000015</v>
      </c>
      <c r="Y6" s="587">
        <f>TREND(D6:W6,$D$5:$W$5,2017)</f>
        <v>864.91894736842119</v>
      </c>
      <c r="Z6" s="914">
        <f>AVERAGE(D6:W6)</f>
        <v>864.03000000000009</v>
      </c>
      <c r="AD6" s="158"/>
    </row>
    <row r="7" spans="1:30">
      <c r="A7" s="929" t="s">
        <v>103</v>
      </c>
      <c r="B7" s="159">
        <v>796.2</v>
      </c>
      <c r="C7" s="159">
        <v>783.29999999999984</v>
      </c>
      <c r="D7" s="159">
        <v>736.40000000000009</v>
      </c>
      <c r="E7" s="159">
        <v>609.79999999999995</v>
      </c>
      <c r="F7" s="159">
        <v>670.89999999999986</v>
      </c>
      <c r="G7" s="159">
        <v>728.2</v>
      </c>
      <c r="H7" s="159">
        <v>746.80000000000007</v>
      </c>
      <c r="I7" s="159">
        <v>668.8</v>
      </c>
      <c r="J7" s="159">
        <v>841.5</v>
      </c>
      <c r="K7" s="159">
        <v>750</v>
      </c>
      <c r="L7" s="161">
        <v>700.60000000000014</v>
      </c>
      <c r="M7" s="159">
        <v>720.9</v>
      </c>
      <c r="N7" s="159">
        <v>820</v>
      </c>
      <c r="O7" s="159">
        <v>774.30000000000007</v>
      </c>
      <c r="P7" s="159">
        <v>711.5</v>
      </c>
      <c r="Q7" s="159">
        <v>655.8</v>
      </c>
      <c r="R7" s="159">
        <v>731.6</v>
      </c>
      <c r="S7" s="159">
        <v>671.39999999999986</v>
      </c>
      <c r="T7" s="159">
        <v>728.5</v>
      </c>
      <c r="U7" s="159">
        <v>793.2</v>
      </c>
      <c r="V7" s="159">
        <v>957.8000000000003</v>
      </c>
      <c r="W7" s="159">
        <v>756.3</v>
      </c>
      <c r="X7" s="586">
        <f t="shared" ref="X7:X17" si="0">AVERAGE(N7:W7)</f>
        <v>760.04000000000008</v>
      </c>
      <c r="Y7" s="587">
        <f t="shared" ref="Y7:Y17" si="1">TREND(D7:W7,$D$5:$W$5,2017)</f>
        <v>791.57894736842172</v>
      </c>
      <c r="Z7" s="914">
        <f t="shared" ref="Z7:Z17" si="2">AVERAGE(D7:W7)</f>
        <v>738.71500000000003</v>
      </c>
      <c r="AD7" s="158"/>
    </row>
    <row r="8" spans="1:30">
      <c r="A8" s="929" t="s">
        <v>104</v>
      </c>
      <c r="B8" s="159">
        <v>537.00000000000011</v>
      </c>
      <c r="C8" s="159">
        <v>656.2</v>
      </c>
      <c r="D8" s="159">
        <v>703.9</v>
      </c>
      <c r="E8" s="159">
        <v>575.79999999999995</v>
      </c>
      <c r="F8" s="159">
        <v>645.69999999999993</v>
      </c>
      <c r="G8" s="159">
        <v>502.29999999999984</v>
      </c>
      <c r="H8" s="159">
        <v>652.29999999999995</v>
      </c>
      <c r="I8" s="159">
        <v>651.69999999999993</v>
      </c>
      <c r="J8" s="159">
        <v>675.00000000000011</v>
      </c>
      <c r="K8" s="159">
        <v>559.19999999999993</v>
      </c>
      <c r="L8" s="161">
        <v>668.8</v>
      </c>
      <c r="M8" s="159">
        <v>600.4</v>
      </c>
      <c r="N8" s="159">
        <v>643.00000000000023</v>
      </c>
      <c r="O8" s="159">
        <v>721.1</v>
      </c>
      <c r="P8" s="159">
        <v>598.30000000000007</v>
      </c>
      <c r="Q8" s="159">
        <v>460.7000000000001</v>
      </c>
      <c r="R8" s="159">
        <v>634.59999999999991</v>
      </c>
      <c r="S8" s="159">
        <v>460.29999999999984</v>
      </c>
      <c r="T8" s="159">
        <v>612.9</v>
      </c>
      <c r="U8" s="159">
        <v>783.6</v>
      </c>
      <c r="V8" s="159">
        <v>718.59999999999991</v>
      </c>
      <c r="W8" s="159">
        <v>591.39999999999975</v>
      </c>
      <c r="X8" s="586">
        <f t="shared" si="0"/>
        <v>622.45000000000005</v>
      </c>
      <c r="Y8" s="587">
        <f t="shared" si="1"/>
        <v>626.33842105263147</v>
      </c>
      <c r="Z8" s="914">
        <f t="shared" si="2"/>
        <v>622.9799999999999</v>
      </c>
      <c r="AD8" s="158"/>
    </row>
    <row r="9" spans="1:30">
      <c r="A9" s="929" t="s">
        <v>105</v>
      </c>
      <c r="B9" s="159">
        <v>434.90000000000003</v>
      </c>
      <c r="C9" s="159">
        <v>418.40000000000015</v>
      </c>
      <c r="D9" s="159">
        <v>378.59999999999991</v>
      </c>
      <c r="E9" s="159">
        <v>285.89999999999992</v>
      </c>
      <c r="F9" s="159">
        <v>336.79999999999995</v>
      </c>
      <c r="G9" s="159">
        <v>390.99999999999994</v>
      </c>
      <c r="H9" s="159">
        <v>338.1</v>
      </c>
      <c r="I9" s="159">
        <v>358.79999999999995</v>
      </c>
      <c r="J9" s="159">
        <v>424.6</v>
      </c>
      <c r="K9" s="159">
        <v>377.79999999999995</v>
      </c>
      <c r="L9" s="161">
        <v>324.8</v>
      </c>
      <c r="M9" s="159">
        <v>321.59999999999991</v>
      </c>
      <c r="N9" s="159">
        <v>361.1</v>
      </c>
      <c r="O9" s="159">
        <v>299.60000000000008</v>
      </c>
      <c r="P9" s="159">
        <v>334.2999999999999</v>
      </c>
      <c r="Q9" s="159">
        <v>258.09999999999997</v>
      </c>
      <c r="R9" s="159">
        <v>347.40000000000009</v>
      </c>
      <c r="S9" s="159">
        <v>363.30000000000007</v>
      </c>
      <c r="T9" s="159">
        <v>381.1</v>
      </c>
      <c r="U9" s="159">
        <v>384.20000000000005</v>
      </c>
      <c r="V9" s="159">
        <v>352.59999999999991</v>
      </c>
      <c r="W9" s="159">
        <v>433.7999999999999</v>
      </c>
      <c r="X9" s="586">
        <f t="shared" si="0"/>
        <v>351.55</v>
      </c>
      <c r="Y9" s="587">
        <f t="shared" si="1"/>
        <v>364.67894736842163</v>
      </c>
      <c r="Z9" s="914">
        <f t="shared" si="2"/>
        <v>352.67500000000007</v>
      </c>
      <c r="AD9" s="158"/>
    </row>
    <row r="10" spans="1:30">
      <c r="A10" s="929" t="s">
        <v>55</v>
      </c>
      <c r="B10" s="159">
        <v>148.00000000000006</v>
      </c>
      <c r="C10" s="159">
        <v>187.9</v>
      </c>
      <c r="D10" s="159">
        <v>240.5</v>
      </c>
      <c r="E10" s="159">
        <v>43.6</v>
      </c>
      <c r="F10" s="159">
        <v>83.3</v>
      </c>
      <c r="G10" s="159">
        <v>152</v>
      </c>
      <c r="H10" s="159">
        <v>109.6</v>
      </c>
      <c r="I10" s="159">
        <v>227.6</v>
      </c>
      <c r="J10" s="159">
        <v>154.10000000000002</v>
      </c>
      <c r="K10" s="159">
        <v>166.20000000000002</v>
      </c>
      <c r="L10" s="161">
        <v>205</v>
      </c>
      <c r="M10" s="159">
        <v>128.19999999999999</v>
      </c>
      <c r="N10" s="159">
        <v>157.30000000000001</v>
      </c>
      <c r="O10" s="159">
        <v>185.40000000000003</v>
      </c>
      <c r="P10" s="159">
        <v>181.6</v>
      </c>
      <c r="Q10" s="159">
        <v>112.30000000000001</v>
      </c>
      <c r="R10" s="159">
        <v>142.79999999999998</v>
      </c>
      <c r="S10" s="159">
        <v>102.4</v>
      </c>
      <c r="T10" s="159">
        <v>121.2</v>
      </c>
      <c r="U10" s="159">
        <v>127.3</v>
      </c>
      <c r="V10" s="159">
        <v>94.200000000000031</v>
      </c>
      <c r="W10" s="159">
        <v>145.39999999999998</v>
      </c>
      <c r="X10" s="586">
        <f t="shared" si="0"/>
        <v>136.99</v>
      </c>
      <c r="Y10" s="587">
        <f t="shared" si="1"/>
        <v>129.98842105263157</v>
      </c>
      <c r="Z10" s="914">
        <f t="shared" si="2"/>
        <v>144.00000000000003</v>
      </c>
      <c r="AD10" s="158"/>
    </row>
    <row r="11" spans="1:30">
      <c r="A11" s="929" t="s">
        <v>106</v>
      </c>
      <c r="B11" s="159">
        <v>19</v>
      </c>
      <c r="C11" s="159">
        <v>20.900000000000002</v>
      </c>
      <c r="D11" s="159">
        <v>11.700000000000001</v>
      </c>
      <c r="E11" s="159">
        <v>43.4</v>
      </c>
      <c r="F11" s="159">
        <v>20.3</v>
      </c>
      <c r="G11" s="159">
        <v>63.2</v>
      </c>
      <c r="H11" s="159">
        <v>25.5</v>
      </c>
      <c r="I11" s="159">
        <v>61.699999999999996</v>
      </c>
      <c r="J11" s="159">
        <v>38.900000000000006</v>
      </c>
      <c r="K11" s="159">
        <v>53.999999999999993</v>
      </c>
      <c r="L11" s="161">
        <v>16.099999999999998</v>
      </c>
      <c r="M11" s="159">
        <v>27.599999999999998</v>
      </c>
      <c r="N11" s="159">
        <v>34.200000000000003</v>
      </c>
      <c r="O11" s="159">
        <v>22.400000000000002</v>
      </c>
      <c r="P11" s="159">
        <v>50.4</v>
      </c>
      <c r="Q11" s="159">
        <v>37.600000000000009</v>
      </c>
      <c r="R11" s="159">
        <v>18.5</v>
      </c>
      <c r="S11" s="159">
        <v>31.4</v>
      </c>
      <c r="T11" s="159">
        <v>58.1</v>
      </c>
      <c r="U11" s="159">
        <v>20.299999999999997</v>
      </c>
      <c r="V11" s="159">
        <v>45.199999999999996</v>
      </c>
      <c r="W11" s="159">
        <v>36.300000000000004</v>
      </c>
      <c r="X11" s="586">
        <f t="shared" si="0"/>
        <v>35.440000000000005</v>
      </c>
      <c r="Y11" s="587">
        <f t="shared" si="1"/>
        <v>36.678421052631592</v>
      </c>
      <c r="Z11" s="914">
        <f t="shared" si="2"/>
        <v>35.839999999999996</v>
      </c>
      <c r="AD11" s="158"/>
    </row>
    <row r="12" spans="1:30">
      <c r="A12" s="929" t="s">
        <v>107</v>
      </c>
      <c r="B12" s="159">
        <v>6.8</v>
      </c>
      <c r="C12" s="159">
        <v>1.6</v>
      </c>
      <c r="D12" s="159">
        <v>10.499999999999998</v>
      </c>
      <c r="E12" s="159">
        <v>3.4</v>
      </c>
      <c r="F12" s="159">
        <v>3.8</v>
      </c>
      <c r="G12" s="159">
        <v>12.200000000000001</v>
      </c>
      <c r="H12" s="159">
        <v>21.599999999999998</v>
      </c>
      <c r="I12" s="159">
        <v>5.3</v>
      </c>
      <c r="J12" s="159">
        <v>2</v>
      </c>
      <c r="K12" s="159">
        <v>1.7999999999999998</v>
      </c>
      <c r="L12" s="161">
        <v>2.9000000000000004</v>
      </c>
      <c r="M12" s="159">
        <v>0.3</v>
      </c>
      <c r="N12" s="159">
        <v>11.799999999999999</v>
      </c>
      <c r="O12" s="159">
        <v>0.3</v>
      </c>
      <c r="P12" s="159">
        <v>13.1</v>
      </c>
      <c r="Q12" s="159">
        <v>4.5</v>
      </c>
      <c r="R12" s="159">
        <v>0</v>
      </c>
      <c r="S12" s="159">
        <v>0</v>
      </c>
      <c r="T12" s="159">
        <v>7.7</v>
      </c>
      <c r="U12" s="159">
        <v>8.8000000000000007</v>
      </c>
      <c r="V12" s="159">
        <v>9.3000000000000007</v>
      </c>
      <c r="W12" s="159">
        <v>3.4</v>
      </c>
      <c r="X12" s="586">
        <f t="shared" si="0"/>
        <v>5.89</v>
      </c>
      <c r="Y12" s="587">
        <f t="shared" si="1"/>
        <v>4.353157894736853</v>
      </c>
      <c r="Z12" s="914">
        <f t="shared" si="2"/>
        <v>6.1349999999999998</v>
      </c>
      <c r="AD12" s="158"/>
    </row>
    <row r="13" spans="1:30">
      <c r="A13" s="929" t="s">
        <v>108</v>
      </c>
      <c r="B13" s="159">
        <v>9.3000000000000007</v>
      </c>
      <c r="C13" s="159">
        <v>13.7</v>
      </c>
      <c r="D13" s="159">
        <v>14.299999999999999</v>
      </c>
      <c r="E13" s="159">
        <v>7.6999999999999993</v>
      </c>
      <c r="F13" s="159">
        <v>14.8</v>
      </c>
      <c r="G13" s="159">
        <v>18.3</v>
      </c>
      <c r="H13" s="159">
        <v>4.7</v>
      </c>
      <c r="I13" s="159">
        <v>6.8</v>
      </c>
      <c r="J13" s="159">
        <v>13.299999999999999</v>
      </c>
      <c r="K13" s="159">
        <v>29.8</v>
      </c>
      <c r="L13" s="161">
        <v>8.3999999999999986</v>
      </c>
      <c r="M13" s="159">
        <v>18.200000000000003</v>
      </c>
      <c r="N13" s="159">
        <v>20.100000000000001</v>
      </c>
      <c r="O13" s="159">
        <v>14.399999999999999</v>
      </c>
      <c r="P13" s="159">
        <v>26.1</v>
      </c>
      <c r="Q13" s="159">
        <v>14.7</v>
      </c>
      <c r="R13" s="159">
        <v>2.3000000000000003</v>
      </c>
      <c r="S13" s="159">
        <v>8.4</v>
      </c>
      <c r="T13" s="159">
        <v>13.400000000000004</v>
      </c>
      <c r="U13" s="159">
        <v>21.400000000000002</v>
      </c>
      <c r="V13" s="159">
        <v>5.6</v>
      </c>
      <c r="W13" s="159">
        <v>1.4</v>
      </c>
      <c r="X13" s="586">
        <f t="shared" si="0"/>
        <v>12.780000000000001</v>
      </c>
      <c r="Y13" s="587">
        <f t="shared" si="1"/>
        <v>11.356842105263127</v>
      </c>
      <c r="Z13" s="914">
        <f t="shared" si="2"/>
        <v>13.205000000000002</v>
      </c>
      <c r="AD13" s="158"/>
    </row>
    <row r="14" spans="1:30">
      <c r="A14" s="929" t="s">
        <v>109</v>
      </c>
      <c r="B14" s="159">
        <v>159.30000000000007</v>
      </c>
      <c r="C14" s="159">
        <v>83.8</v>
      </c>
      <c r="D14" s="159">
        <v>120.60000000000001</v>
      </c>
      <c r="E14" s="159">
        <v>81.900000000000006</v>
      </c>
      <c r="F14" s="159">
        <v>65.8</v>
      </c>
      <c r="G14" s="159">
        <v>138.10000000000002</v>
      </c>
      <c r="H14" s="159">
        <v>89.899999999999991</v>
      </c>
      <c r="I14" s="159">
        <v>56.9</v>
      </c>
      <c r="J14" s="159">
        <v>60.400000000000006</v>
      </c>
      <c r="K14" s="159">
        <v>66.8</v>
      </c>
      <c r="L14" s="161">
        <v>59.2</v>
      </c>
      <c r="M14" s="159">
        <v>120.99999999999997</v>
      </c>
      <c r="N14" s="159">
        <v>75.999999999999986</v>
      </c>
      <c r="O14" s="159">
        <v>95.4</v>
      </c>
      <c r="P14" s="159">
        <v>106.49999999999999</v>
      </c>
      <c r="Q14" s="159">
        <v>112</v>
      </c>
      <c r="R14" s="159">
        <v>55.4</v>
      </c>
      <c r="S14" s="159">
        <v>127.30000000000001</v>
      </c>
      <c r="T14" s="159">
        <v>133.20000000000005</v>
      </c>
      <c r="U14" s="159">
        <v>110.3</v>
      </c>
      <c r="V14" s="159">
        <v>48.400000000000006</v>
      </c>
      <c r="W14" s="159">
        <v>75.100000000000009</v>
      </c>
      <c r="X14" s="586">
        <f t="shared" si="0"/>
        <v>93.96</v>
      </c>
      <c r="Y14" s="587">
        <f t="shared" si="1"/>
        <v>91.517894736842095</v>
      </c>
      <c r="Z14" s="914">
        <f t="shared" si="2"/>
        <v>90.01</v>
      </c>
      <c r="AD14" s="158"/>
    </row>
    <row r="15" spans="1:30">
      <c r="A15" s="929" t="s">
        <v>110</v>
      </c>
      <c r="B15" s="159">
        <v>237.50000000000003</v>
      </c>
      <c r="C15" s="159">
        <v>314.2</v>
      </c>
      <c r="D15" s="159">
        <v>334.19999999999993</v>
      </c>
      <c r="E15" s="159">
        <v>270.7</v>
      </c>
      <c r="F15" s="159">
        <v>321.50000000000011</v>
      </c>
      <c r="G15" s="159">
        <v>290.79999999999995</v>
      </c>
      <c r="H15" s="159">
        <v>265.99999999999994</v>
      </c>
      <c r="I15" s="159">
        <v>370.00000000000011</v>
      </c>
      <c r="J15" s="159">
        <v>336.59999999999997</v>
      </c>
      <c r="K15" s="159">
        <v>287.00000000000006</v>
      </c>
      <c r="L15" s="161">
        <v>269.70000000000005</v>
      </c>
      <c r="M15" s="159">
        <v>335.70000000000005</v>
      </c>
      <c r="N15" s="159">
        <v>227.49999999999997</v>
      </c>
      <c r="O15" s="159">
        <v>321.80000000000007</v>
      </c>
      <c r="P15" s="159">
        <v>355.5</v>
      </c>
      <c r="Q15" s="159">
        <v>311</v>
      </c>
      <c r="R15" s="159">
        <v>259.10000000000002</v>
      </c>
      <c r="S15" s="159">
        <v>259.8595782569019</v>
      </c>
      <c r="T15" s="159">
        <v>265.2</v>
      </c>
      <c r="U15" s="159">
        <v>257.90000000000003</v>
      </c>
      <c r="V15" s="159">
        <v>337.30000000000007</v>
      </c>
      <c r="W15" s="159">
        <v>291.09999999999997</v>
      </c>
      <c r="X15" s="586">
        <f t="shared" si="0"/>
        <v>288.62595782569019</v>
      </c>
      <c r="Y15" s="587">
        <f t="shared" si="1"/>
        <v>283.99341597199736</v>
      </c>
      <c r="Z15" s="914">
        <f t="shared" si="2"/>
        <v>298.42297891284511</v>
      </c>
      <c r="AD15" s="158"/>
    </row>
    <row r="16" spans="1:30">
      <c r="A16" s="929" t="s">
        <v>111</v>
      </c>
      <c r="B16" s="159">
        <v>611.79999999999995</v>
      </c>
      <c r="C16" s="159">
        <v>575.19999999999993</v>
      </c>
      <c r="D16" s="159">
        <v>552.69999999999993</v>
      </c>
      <c r="E16" s="159">
        <v>452.7</v>
      </c>
      <c r="F16" s="159">
        <v>406.7000000000001</v>
      </c>
      <c r="G16" s="159">
        <v>489.40000000000003</v>
      </c>
      <c r="H16" s="159">
        <v>410.09999999999991</v>
      </c>
      <c r="I16" s="159">
        <v>535.19999999999993</v>
      </c>
      <c r="J16" s="159">
        <v>468.80000000000007</v>
      </c>
      <c r="K16" s="159">
        <v>484.30000000000007</v>
      </c>
      <c r="L16" s="161">
        <v>484.2</v>
      </c>
      <c r="M16" s="159">
        <v>417.3</v>
      </c>
      <c r="N16" s="159">
        <v>517</v>
      </c>
      <c r="O16" s="159">
        <v>502.8</v>
      </c>
      <c r="P16" s="159">
        <v>417.39999999999992</v>
      </c>
      <c r="Q16" s="159">
        <v>491.59999999999985</v>
      </c>
      <c r="R16" s="159">
        <v>392.9</v>
      </c>
      <c r="S16" s="159">
        <v>541.70000000000005</v>
      </c>
      <c r="T16" s="159">
        <v>560.79999999999995</v>
      </c>
      <c r="U16" s="159">
        <v>510.6</v>
      </c>
      <c r="V16" s="159">
        <v>429.00000000000006</v>
      </c>
      <c r="W16" s="159">
        <v>449.50000000000006</v>
      </c>
      <c r="X16" s="586">
        <f t="shared" si="0"/>
        <v>481.33000000000004</v>
      </c>
      <c r="Y16" s="587">
        <f t="shared" si="1"/>
        <v>477.87052631578945</v>
      </c>
      <c r="Z16" s="914">
        <f t="shared" si="2"/>
        <v>475.73499999999996</v>
      </c>
      <c r="AD16" s="158"/>
    </row>
    <row r="17" spans="1:30">
      <c r="A17" s="930" t="s">
        <v>112</v>
      </c>
      <c r="B17" s="931">
        <v>850.90000000000009</v>
      </c>
      <c r="C17" s="931">
        <v>634.70000000000005</v>
      </c>
      <c r="D17" s="931">
        <v>754.89999999999986</v>
      </c>
      <c r="E17" s="931">
        <v>648.4</v>
      </c>
      <c r="F17" s="931">
        <v>691.8</v>
      </c>
      <c r="G17" s="931">
        <v>882.60000000000014</v>
      </c>
      <c r="H17" s="931">
        <v>602.20000000000005</v>
      </c>
      <c r="I17" s="931">
        <v>728.3</v>
      </c>
      <c r="J17" s="931">
        <v>722.19999999999993</v>
      </c>
      <c r="K17" s="931">
        <v>814.90000000000009</v>
      </c>
      <c r="L17" s="932">
        <v>761.99999999999989</v>
      </c>
      <c r="M17" s="931">
        <v>609.99999999999989</v>
      </c>
      <c r="N17" s="931">
        <v>787.69999999999982</v>
      </c>
      <c r="O17" s="931">
        <v>796.70000000000027</v>
      </c>
      <c r="P17" s="931">
        <v>759.40000000000009</v>
      </c>
      <c r="Q17" s="931">
        <v>731.39999999999986</v>
      </c>
      <c r="R17" s="931">
        <v>672.19999999999993</v>
      </c>
      <c r="S17" s="931">
        <v>719.1</v>
      </c>
      <c r="T17" s="931">
        <v>858.20000000000016</v>
      </c>
      <c r="U17" s="931">
        <v>696.39999999999986</v>
      </c>
      <c r="V17" s="931">
        <v>519.90000000000009</v>
      </c>
      <c r="W17" s="931">
        <v>733.40000000000009</v>
      </c>
      <c r="X17" s="1147">
        <f t="shared" si="0"/>
        <v>727.43999999999994</v>
      </c>
      <c r="Y17" s="933">
        <f t="shared" si="1"/>
        <v>708.86263157894746</v>
      </c>
      <c r="Z17" s="1148">
        <f t="shared" si="2"/>
        <v>724.58499999999992</v>
      </c>
      <c r="AD17" s="158"/>
    </row>
    <row r="18" spans="1:30" hidden="1">
      <c r="A18" s="913"/>
      <c r="B18" s="915"/>
      <c r="C18" s="915"/>
      <c r="D18" s="915"/>
      <c r="E18" s="915"/>
      <c r="F18" s="915"/>
      <c r="G18" s="916"/>
      <c r="H18" s="916"/>
      <c r="I18" s="916"/>
      <c r="J18" s="916"/>
      <c r="K18" s="916"/>
      <c r="L18" s="916">
        <f t="shared" ref="L18:V18" si="3">SUM(L6:L17)</f>
        <v>4422.3999999999996</v>
      </c>
      <c r="M18" s="916">
        <f t="shared" si="3"/>
        <v>4034.7</v>
      </c>
      <c r="N18" s="916">
        <f t="shared" si="3"/>
        <v>4452.8</v>
      </c>
      <c r="O18" s="916">
        <f t="shared" si="3"/>
        <v>4488.4000000000015</v>
      </c>
      <c r="P18" s="916">
        <f t="shared" si="3"/>
        <v>4533.6000000000004</v>
      </c>
      <c r="Q18" s="916">
        <f t="shared" si="3"/>
        <v>3978.8999999999996</v>
      </c>
      <c r="R18" s="916">
        <f t="shared" si="3"/>
        <v>4145.5000000000009</v>
      </c>
      <c r="S18" s="916">
        <f t="shared" si="3"/>
        <v>4116.1595782569029</v>
      </c>
      <c r="T18" s="916">
        <f t="shared" si="3"/>
        <v>4580.2</v>
      </c>
      <c r="U18" s="916">
        <f t="shared" si="3"/>
        <v>4632.3000000000011</v>
      </c>
      <c r="V18" s="916">
        <f t="shared" si="3"/>
        <v>4486.1000000000004</v>
      </c>
      <c r="W18" s="916"/>
      <c r="X18" s="911"/>
      <c r="Y18" s="911"/>
      <c r="Z18" s="912"/>
    </row>
    <row r="19" spans="1:30" hidden="1">
      <c r="A19" s="913" t="s">
        <v>5</v>
      </c>
      <c r="B19" s="917">
        <f t="shared" ref="B19:Z19" si="4">SUM(B6:B17)</f>
        <v>4584.6000000000004</v>
      </c>
      <c r="C19" s="917">
        <f t="shared" si="4"/>
        <v>4610</v>
      </c>
      <c r="D19" s="917">
        <f t="shared" si="4"/>
        <v>4781.2999999999993</v>
      </c>
      <c r="E19" s="917">
        <f t="shared" si="4"/>
        <v>3824.8999999999996</v>
      </c>
      <c r="F19" s="917">
        <f t="shared" si="4"/>
        <v>4136.8</v>
      </c>
      <c r="G19" s="917">
        <f t="shared" si="4"/>
        <v>4543.3999999999996</v>
      </c>
      <c r="H19" s="917">
        <f t="shared" si="4"/>
        <v>4115</v>
      </c>
      <c r="I19" s="917">
        <f t="shared" si="4"/>
        <v>4380.5</v>
      </c>
      <c r="J19" s="917">
        <f t="shared" si="4"/>
        <v>4714.7000000000007</v>
      </c>
      <c r="K19" s="917">
        <f t="shared" si="4"/>
        <v>4637.1000000000004</v>
      </c>
      <c r="L19" s="917">
        <f t="shared" si="4"/>
        <v>4422.3999999999996</v>
      </c>
      <c r="M19" s="917">
        <f t="shared" si="4"/>
        <v>4034.7</v>
      </c>
      <c r="N19" s="917">
        <f t="shared" si="4"/>
        <v>4452.8</v>
      </c>
      <c r="O19" s="917">
        <f t="shared" si="4"/>
        <v>4488.4000000000015</v>
      </c>
      <c r="P19" s="917">
        <f t="shared" si="4"/>
        <v>4533.6000000000004</v>
      </c>
      <c r="Q19" s="917">
        <f t="shared" si="4"/>
        <v>3978.8999999999996</v>
      </c>
      <c r="R19" s="917">
        <f t="shared" si="4"/>
        <v>4145.5000000000009</v>
      </c>
      <c r="S19" s="917">
        <f t="shared" si="4"/>
        <v>4116.1595782569029</v>
      </c>
      <c r="T19" s="917">
        <f t="shared" si="4"/>
        <v>4580.2</v>
      </c>
      <c r="U19" s="917">
        <f t="shared" si="4"/>
        <v>4632.3000000000011</v>
      </c>
      <c r="V19" s="917">
        <f t="shared" si="4"/>
        <v>4486.1000000000004</v>
      </c>
      <c r="W19" s="917"/>
      <c r="X19" s="917">
        <f t="shared" si="4"/>
        <v>4373.5859578256895</v>
      </c>
      <c r="Y19" s="917">
        <f t="shared" si="4"/>
        <v>4392.1365738667355</v>
      </c>
      <c r="Z19" s="918">
        <f t="shared" si="4"/>
        <v>4366.3329789128456</v>
      </c>
    </row>
    <row r="20" spans="1:30" hidden="1">
      <c r="A20" s="919"/>
      <c r="B20" s="920"/>
      <c r="C20" s="920"/>
      <c r="D20" s="920"/>
      <c r="E20" s="921"/>
      <c r="F20" s="921"/>
      <c r="G20" s="911"/>
      <c r="H20" s="911"/>
      <c r="I20" s="911"/>
      <c r="J20" s="911"/>
      <c r="K20" s="911"/>
      <c r="L20" s="911"/>
      <c r="M20" s="911"/>
      <c r="N20" s="911"/>
      <c r="O20" s="911"/>
      <c r="P20" s="911"/>
      <c r="Q20" s="911"/>
      <c r="R20" s="911"/>
      <c r="S20" s="911"/>
      <c r="T20" s="911"/>
      <c r="U20" s="922"/>
      <c r="V20" s="922">
        <f>SUM(M19:V19)</f>
        <v>43448.659578256906</v>
      </c>
      <c r="W20" s="922"/>
      <c r="X20" s="911"/>
      <c r="Y20" s="911"/>
      <c r="Z20" s="912"/>
    </row>
    <row r="21" spans="1:30" ht="28.5" customHeight="1">
      <c r="A21" s="911"/>
      <c r="B21" s="920"/>
      <c r="C21" s="920"/>
      <c r="D21" s="920"/>
      <c r="E21" s="921"/>
      <c r="F21" s="921"/>
      <c r="G21" s="911"/>
      <c r="H21" s="911"/>
      <c r="I21" s="911"/>
      <c r="J21" s="911"/>
      <c r="K21" s="923" t="s">
        <v>317</v>
      </c>
      <c r="L21" s="911"/>
      <c r="M21" s="911"/>
      <c r="N21" s="911"/>
      <c r="O21" s="911"/>
      <c r="P21" s="911"/>
      <c r="Q21" s="911"/>
      <c r="R21" s="911"/>
      <c r="S21" s="911"/>
      <c r="T21" s="911"/>
      <c r="U21" s="922"/>
      <c r="V21" s="922"/>
      <c r="W21" s="922"/>
      <c r="X21" s="911"/>
      <c r="Y21" s="911"/>
      <c r="Z21" s="912"/>
    </row>
    <row r="22" spans="1:30" ht="9" customHeight="1">
      <c r="A22" s="1043"/>
      <c r="B22" s="909"/>
      <c r="C22" s="909"/>
      <c r="D22" s="909"/>
      <c r="E22" s="910"/>
      <c r="F22" s="910"/>
      <c r="G22" s="911"/>
      <c r="H22" s="911"/>
      <c r="I22" s="911"/>
      <c r="J22" s="911"/>
      <c r="K22" s="911"/>
      <c r="L22" s="911"/>
      <c r="M22" s="911"/>
      <c r="N22" s="911"/>
      <c r="O22" s="911"/>
      <c r="P22" s="911"/>
      <c r="Q22" s="911"/>
      <c r="R22" s="911"/>
      <c r="S22" s="911"/>
      <c r="T22" s="911"/>
      <c r="U22" s="911"/>
      <c r="V22" s="911"/>
      <c r="W22" s="911"/>
      <c r="X22" s="911"/>
      <c r="Y22" s="911"/>
      <c r="Z22" s="912"/>
    </row>
    <row r="23" spans="1:30">
      <c r="A23" s="934" t="s">
        <v>99</v>
      </c>
      <c r="B23" s="935">
        <v>1995</v>
      </c>
      <c r="C23" s="935">
        <v>1996</v>
      </c>
      <c r="D23" s="935">
        <v>1997</v>
      </c>
      <c r="E23" s="935">
        <v>1998</v>
      </c>
      <c r="F23" s="935">
        <v>1999</v>
      </c>
      <c r="G23" s="935">
        <v>2000</v>
      </c>
      <c r="H23" s="935">
        <v>2001</v>
      </c>
      <c r="I23" s="935">
        <v>2002</v>
      </c>
      <c r="J23" s="935">
        <v>2003</v>
      </c>
      <c r="K23" s="935">
        <v>2004</v>
      </c>
      <c r="L23" s="936">
        <v>2005</v>
      </c>
      <c r="M23" s="935">
        <v>2006</v>
      </c>
      <c r="N23" s="935">
        <v>2007</v>
      </c>
      <c r="O23" s="935">
        <v>2008</v>
      </c>
      <c r="P23" s="935">
        <v>2009</v>
      </c>
      <c r="Q23" s="935">
        <v>2010</v>
      </c>
      <c r="R23" s="935">
        <v>2011</v>
      </c>
      <c r="S23" s="935">
        <v>2012</v>
      </c>
      <c r="T23" s="935">
        <v>2013</v>
      </c>
      <c r="U23" s="935">
        <v>2014</v>
      </c>
      <c r="V23" s="935">
        <v>2015</v>
      </c>
      <c r="W23" s="935">
        <v>2016</v>
      </c>
      <c r="X23" s="937" t="s">
        <v>100</v>
      </c>
      <c r="Y23" s="937" t="s">
        <v>101</v>
      </c>
      <c r="Z23" s="940" t="s">
        <v>113</v>
      </c>
    </row>
    <row r="24" spans="1:30">
      <c r="A24" s="929" t="s">
        <v>102</v>
      </c>
      <c r="B24" s="160">
        <v>0</v>
      </c>
      <c r="C24" s="160">
        <v>0</v>
      </c>
      <c r="D24" s="160">
        <v>0</v>
      </c>
      <c r="E24" s="160">
        <v>0</v>
      </c>
      <c r="F24" s="160">
        <v>0</v>
      </c>
      <c r="G24" s="160">
        <v>0</v>
      </c>
      <c r="H24" s="160">
        <v>0</v>
      </c>
      <c r="I24" s="160">
        <v>0</v>
      </c>
      <c r="J24" s="160">
        <v>0</v>
      </c>
      <c r="K24" s="160">
        <v>0</v>
      </c>
      <c r="L24" s="162">
        <v>0</v>
      </c>
      <c r="M24" s="160">
        <v>0</v>
      </c>
      <c r="N24" s="160">
        <v>0</v>
      </c>
      <c r="O24" s="160">
        <v>0</v>
      </c>
      <c r="P24" s="160">
        <v>0</v>
      </c>
      <c r="Q24" s="160">
        <v>0</v>
      </c>
      <c r="R24" s="160">
        <v>0</v>
      </c>
      <c r="S24" s="160">
        <v>0</v>
      </c>
      <c r="T24" s="160">
        <v>0</v>
      </c>
      <c r="U24" s="160">
        <v>0</v>
      </c>
      <c r="V24" s="160">
        <v>0</v>
      </c>
      <c r="W24" s="160">
        <v>0</v>
      </c>
      <c r="X24" s="586">
        <f>AVERAGE(N24:W24)</f>
        <v>0</v>
      </c>
      <c r="Y24" s="587">
        <f>TREND(D24:W24,$D$5:$W$5,2017)</f>
        <v>0</v>
      </c>
      <c r="Z24" s="914">
        <f>AVERAGE(D24:W24)</f>
        <v>0</v>
      </c>
      <c r="AB24" s="157"/>
      <c r="AD24" s="158"/>
    </row>
    <row r="25" spans="1:30">
      <c r="A25" s="929" t="s">
        <v>103</v>
      </c>
      <c r="B25" s="160">
        <v>0</v>
      </c>
      <c r="C25" s="160">
        <v>0</v>
      </c>
      <c r="D25" s="160">
        <v>0</v>
      </c>
      <c r="E25" s="160">
        <v>0</v>
      </c>
      <c r="F25" s="160">
        <v>0</v>
      </c>
      <c r="G25" s="160">
        <v>0</v>
      </c>
      <c r="H25" s="160">
        <v>0</v>
      </c>
      <c r="I25" s="160">
        <v>0</v>
      </c>
      <c r="J25" s="160">
        <v>0</v>
      </c>
      <c r="K25" s="160">
        <v>0</v>
      </c>
      <c r="L25" s="162">
        <v>0</v>
      </c>
      <c r="M25" s="160">
        <v>0</v>
      </c>
      <c r="N25" s="160">
        <v>0</v>
      </c>
      <c r="O25" s="160">
        <v>0</v>
      </c>
      <c r="P25" s="160">
        <v>0</v>
      </c>
      <c r="Q25" s="160">
        <v>0</v>
      </c>
      <c r="R25" s="160">
        <v>0</v>
      </c>
      <c r="S25" s="160">
        <v>0</v>
      </c>
      <c r="T25" s="160">
        <v>0</v>
      </c>
      <c r="U25" s="160">
        <v>0</v>
      </c>
      <c r="V25" s="160">
        <v>0</v>
      </c>
      <c r="W25" s="160">
        <v>0</v>
      </c>
      <c r="X25" s="586">
        <f t="shared" ref="X25:X35" si="5">AVERAGE(N25:W25)</f>
        <v>0</v>
      </c>
      <c r="Y25" s="587">
        <f t="shared" ref="Y25:Y35" si="6">TREND(D25:W25,$D$5:$W$5,2017)</f>
        <v>0</v>
      </c>
      <c r="Z25" s="914">
        <f t="shared" ref="Z25:Z35" si="7">AVERAGE(D25:W25)</f>
        <v>0</v>
      </c>
      <c r="AB25" s="157"/>
      <c r="AD25" s="158"/>
    </row>
    <row r="26" spans="1:30">
      <c r="A26" s="929" t="s">
        <v>104</v>
      </c>
      <c r="B26" s="160">
        <v>0</v>
      </c>
      <c r="C26" s="160">
        <v>0</v>
      </c>
      <c r="D26" s="160">
        <v>0</v>
      </c>
      <c r="E26" s="160">
        <v>0</v>
      </c>
      <c r="F26" s="160">
        <v>0</v>
      </c>
      <c r="G26" s="160">
        <v>0</v>
      </c>
      <c r="H26" s="160">
        <v>0</v>
      </c>
      <c r="I26" s="160">
        <v>0</v>
      </c>
      <c r="J26" s="160">
        <v>0</v>
      </c>
      <c r="K26" s="160">
        <v>0</v>
      </c>
      <c r="L26" s="162">
        <v>0</v>
      </c>
      <c r="M26" s="160">
        <v>0</v>
      </c>
      <c r="N26" s="160">
        <v>0</v>
      </c>
      <c r="O26" s="160">
        <v>0</v>
      </c>
      <c r="P26" s="160">
        <v>0</v>
      </c>
      <c r="Q26" s="160">
        <v>0</v>
      </c>
      <c r="R26" s="160">
        <v>0</v>
      </c>
      <c r="S26" s="160">
        <v>0</v>
      </c>
      <c r="T26" s="160">
        <v>0</v>
      </c>
      <c r="U26" s="160">
        <v>0</v>
      </c>
      <c r="V26" s="160">
        <v>0</v>
      </c>
      <c r="W26" s="160">
        <v>0</v>
      </c>
      <c r="X26" s="586">
        <f t="shared" si="5"/>
        <v>0</v>
      </c>
      <c r="Y26" s="587">
        <f t="shared" si="6"/>
        <v>0</v>
      </c>
      <c r="Z26" s="914">
        <f t="shared" si="7"/>
        <v>0</v>
      </c>
      <c r="AB26" s="157"/>
      <c r="AD26" s="158"/>
    </row>
    <row r="27" spans="1:30">
      <c r="A27" s="929" t="s">
        <v>105</v>
      </c>
      <c r="B27" s="160">
        <v>0</v>
      </c>
      <c r="C27" s="160">
        <v>0</v>
      </c>
      <c r="D27" s="160">
        <v>0</v>
      </c>
      <c r="E27" s="160">
        <v>0</v>
      </c>
      <c r="F27" s="160">
        <v>0</v>
      </c>
      <c r="G27" s="160">
        <v>0</v>
      </c>
      <c r="H27" s="160">
        <v>0</v>
      </c>
      <c r="I27" s="160">
        <v>10.3</v>
      </c>
      <c r="J27" s="160">
        <v>0</v>
      </c>
      <c r="K27" s="160">
        <v>1.9</v>
      </c>
      <c r="L27" s="162">
        <v>0</v>
      </c>
      <c r="M27" s="160">
        <v>0</v>
      </c>
      <c r="N27" s="160">
        <v>0</v>
      </c>
      <c r="O27" s="160">
        <v>0</v>
      </c>
      <c r="P27" s="160">
        <v>2.5</v>
      </c>
      <c r="Q27" s="160">
        <v>1.6</v>
      </c>
      <c r="R27" s="160">
        <v>0</v>
      </c>
      <c r="S27" s="160">
        <v>3.2</v>
      </c>
      <c r="T27" s="160">
        <v>0</v>
      </c>
      <c r="U27" s="160">
        <v>0</v>
      </c>
      <c r="V27" s="160">
        <v>0</v>
      </c>
      <c r="W27" s="160">
        <v>0</v>
      </c>
      <c r="X27" s="586">
        <f t="shared" si="5"/>
        <v>0.73</v>
      </c>
      <c r="Y27" s="587">
        <f t="shared" si="6"/>
        <v>0.63315789473683992</v>
      </c>
      <c r="Z27" s="914">
        <f t="shared" si="7"/>
        <v>0.97499999999999998</v>
      </c>
      <c r="AB27" s="157"/>
      <c r="AD27" s="158"/>
    </row>
    <row r="28" spans="1:30">
      <c r="A28" s="929" t="s">
        <v>55</v>
      </c>
      <c r="B28" s="160">
        <v>5.6999999999999993</v>
      </c>
      <c r="C28" s="160">
        <v>8</v>
      </c>
      <c r="D28" s="160">
        <v>0</v>
      </c>
      <c r="E28" s="160">
        <v>28.6</v>
      </c>
      <c r="F28" s="160">
        <v>31.3</v>
      </c>
      <c r="G28" s="160">
        <v>2.8000000000000003</v>
      </c>
      <c r="H28" s="160">
        <v>13.700000000000001</v>
      </c>
      <c r="I28" s="160">
        <v>6.5</v>
      </c>
      <c r="J28" s="160">
        <v>0.1</v>
      </c>
      <c r="K28" s="160">
        <v>4</v>
      </c>
      <c r="L28" s="162">
        <v>1.9</v>
      </c>
      <c r="M28" s="160">
        <v>16.899999999999999</v>
      </c>
      <c r="N28" s="160">
        <v>17.3</v>
      </c>
      <c r="O28" s="160">
        <v>0</v>
      </c>
      <c r="P28" s="160">
        <v>3.2</v>
      </c>
      <c r="Q28" s="160">
        <v>38.199999999999996</v>
      </c>
      <c r="R28" s="160">
        <v>16.7</v>
      </c>
      <c r="S28" s="160">
        <v>21</v>
      </c>
      <c r="T28" s="160">
        <v>15.3</v>
      </c>
      <c r="U28" s="160">
        <v>8.8000000000000007</v>
      </c>
      <c r="V28" s="160">
        <v>25.299999999999997</v>
      </c>
      <c r="W28" s="160">
        <v>28.7</v>
      </c>
      <c r="X28" s="586">
        <f t="shared" si="5"/>
        <v>17.449999999999996</v>
      </c>
      <c r="Y28" s="587">
        <f t="shared" si="6"/>
        <v>19.886315789473656</v>
      </c>
      <c r="Z28" s="914">
        <f t="shared" si="7"/>
        <v>14.015000000000001</v>
      </c>
      <c r="AB28" s="157"/>
      <c r="AD28" s="158"/>
    </row>
    <row r="29" spans="1:30">
      <c r="A29" s="929" t="s">
        <v>106</v>
      </c>
      <c r="B29" s="160">
        <v>86.299999999999983</v>
      </c>
      <c r="C29" s="160">
        <v>51.9</v>
      </c>
      <c r="D29" s="160">
        <v>78.7</v>
      </c>
      <c r="E29" s="160">
        <v>77.899999999999991</v>
      </c>
      <c r="F29" s="160">
        <v>99.6</v>
      </c>
      <c r="G29" s="160">
        <v>30.700000000000003</v>
      </c>
      <c r="H29" s="160">
        <v>75.900000000000006</v>
      </c>
      <c r="I29" s="160">
        <v>39.5</v>
      </c>
      <c r="J29" s="160">
        <v>54.800000000000004</v>
      </c>
      <c r="K29" s="160">
        <v>27.1</v>
      </c>
      <c r="L29" s="162">
        <v>111.6</v>
      </c>
      <c r="M29" s="160">
        <v>48.199999999999996</v>
      </c>
      <c r="N29" s="160">
        <v>66.900000000000006</v>
      </c>
      <c r="O29" s="160">
        <v>60.5</v>
      </c>
      <c r="P29" s="160">
        <v>44.9</v>
      </c>
      <c r="Q29" s="160">
        <v>33.4</v>
      </c>
      <c r="R29" s="160">
        <v>59.1</v>
      </c>
      <c r="S29" s="160">
        <v>70.399999999999991</v>
      </c>
      <c r="T29" s="160">
        <v>39.400000000000006</v>
      </c>
      <c r="U29" s="160">
        <v>54.9</v>
      </c>
      <c r="V29" s="160">
        <v>20.3</v>
      </c>
      <c r="W29" s="160">
        <v>51.999999999999993</v>
      </c>
      <c r="X29" s="586">
        <f t="shared" si="5"/>
        <v>50.18</v>
      </c>
      <c r="Y29" s="587">
        <f t="shared" si="6"/>
        <v>40.526315789473301</v>
      </c>
      <c r="Z29" s="914">
        <f t="shared" si="7"/>
        <v>57.29</v>
      </c>
      <c r="AB29" s="157"/>
      <c r="AD29" s="158"/>
    </row>
    <row r="30" spans="1:30">
      <c r="A30" s="929" t="s">
        <v>107</v>
      </c>
      <c r="B30" s="160">
        <v>125.9</v>
      </c>
      <c r="C30" s="160">
        <v>67.699999999999989</v>
      </c>
      <c r="D30" s="160">
        <v>95.8</v>
      </c>
      <c r="E30" s="160">
        <v>89.2</v>
      </c>
      <c r="F30" s="160">
        <v>141.70000000000002</v>
      </c>
      <c r="G30" s="160">
        <v>58.6</v>
      </c>
      <c r="H30" s="160">
        <v>78.399999999999991</v>
      </c>
      <c r="I30" s="160">
        <v>121</v>
      </c>
      <c r="J30" s="160">
        <v>90.1</v>
      </c>
      <c r="K30" s="160">
        <v>86.5</v>
      </c>
      <c r="L30" s="162">
        <v>128.6</v>
      </c>
      <c r="M30" s="160">
        <v>130.59999999999997</v>
      </c>
      <c r="N30" s="160">
        <v>65.100000000000009</v>
      </c>
      <c r="O30" s="160">
        <v>78.899999999999991</v>
      </c>
      <c r="P30" s="160">
        <v>42.899999999999991</v>
      </c>
      <c r="Q30" s="160">
        <v>150.79999999999998</v>
      </c>
      <c r="R30" s="160">
        <v>137.5</v>
      </c>
      <c r="S30" s="160">
        <v>142.20000000000005</v>
      </c>
      <c r="T30" s="160">
        <v>114.89999999999999</v>
      </c>
      <c r="U30" s="160">
        <v>62.800000000000011</v>
      </c>
      <c r="V30" s="160">
        <v>99.999999999999986</v>
      </c>
      <c r="W30" s="160">
        <v>112.6</v>
      </c>
      <c r="X30" s="586">
        <f t="shared" si="5"/>
        <v>100.77</v>
      </c>
      <c r="Y30" s="587">
        <f t="shared" si="6"/>
        <v>108.46631578947381</v>
      </c>
      <c r="Z30" s="914">
        <f t="shared" si="7"/>
        <v>101.41</v>
      </c>
      <c r="AB30" s="157"/>
      <c r="AD30" s="158"/>
    </row>
    <row r="31" spans="1:30">
      <c r="A31" s="929" t="s">
        <v>108</v>
      </c>
      <c r="B31" s="160">
        <v>78.90000000000002</v>
      </c>
      <c r="C31" s="160">
        <v>78.699999999999989</v>
      </c>
      <c r="D31" s="160">
        <v>41.29999999999999</v>
      </c>
      <c r="E31" s="160">
        <v>86.09999999999998</v>
      </c>
      <c r="F31" s="160">
        <v>57.599999999999994</v>
      </c>
      <c r="G31" s="160">
        <v>60.099999999999994</v>
      </c>
      <c r="H31" s="160">
        <v>127.49999999999999</v>
      </c>
      <c r="I31" s="160">
        <v>106.50000000000003</v>
      </c>
      <c r="J31" s="160">
        <v>106.19999999999997</v>
      </c>
      <c r="K31" s="160">
        <v>47.5</v>
      </c>
      <c r="L31" s="162">
        <v>115.39999999999999</v>
      </c>
      <c r="M31" s="160">
        <v>68.099999999999994</v>
      </c>
      <c r="N31" s="160">
        <v>79.300000000000026</v>
      </c>
      <c r="O31" s="160">
        <v>49.499999999999993</v>
      </c>
      <c r="P31" s="160">
        <v>82.100000000000009</v>
      </c>
      <c r="Q31" s="160">
        <v>93</v>
      </c>
      <c r="R31" s="160">
        <v>82.300000000000011</v>
      </c>
      <c r="S31" s="160">
        <v>97.600000000000009</v>
      </c>
      <c r="T31" s="160">
        <v>57.199999999999996</v>
      </c>
      <c r="U31" s="160">
        <v>55.800000000000004</v>
      </c>
      <c r="V31" s="160">
        <v>67.399999999999991</v>
      </c>
      <c r="W31" s="160">
        <v>124.60000000000001</v>
      </c>
      <c r="X31" s="586">
        <f t="shared" si="5"/>
        <v>78.88000000000001</v>
      </c>
      <c r="Y31" s="587">
        <f t="shared" si="6"/>
        <v>84.577368421052597</v>
      </c>
      <c r="Z31" s="914">
        <f t="shared" si="7"/>
        <v>80.254999999999995</v>
      </c>
      <c r="AB31" s="157"/>
      <c r="AD31" s="158"/>
    </row>
    <row r="32" spans="1:30">
      <c r="A32" s="929" t="s">
        <v>109</v>
      </c>
      <c r="B32" s="160">
        <v>5.0999999999999996</v>
      </c>
      <c r="C32" s="160">
        <v>33.799999999999997</v>
      </c>
      <c r="D32" s="160">
        <v>4.4000000000000004</v>
      </c>
      <c r="E32" s="160">
        <v>12.2</v>
      </c>
      <c r="F32" s="160">
        <v>49.600000000000009</v>
      </c>
      <c r="G32" s="160">
        <v>13.7</v>
      </c>
      <c r="H32" s="160">
        <v>25.9</v>
      </c>
      <c r="I32" s="160">
        <v>51.4</v>
      </c>
      <c r="J32" s="160">
        <v>23.7</v>
      </c>
      <c r="K32" s="160">
        <v>11.099999999999998</v>
      </c>
      <c r="L32" s="162">
        <v>33.099999999999994</v>
      </c>
      <c r="M32" s="160">
        <v>5.3</v>
      </c>
      <c r="N32" s="160">
        <v>25.7</v>
      </c>
      <c r="O32" s="160">
        <v>25</v>
      </c>
      <c r="P32" s="160">
        <v>5</v>
      </c>
      <c r="Q32" s="160">
        <v>26.200000000000003</v>
      </c>
      <c r="R32" s="160">
        <v>32.9</v>
      </c>
      <c r="S32" s="160">
        <v>20.6</v>
      </c>
      <c r="T32" s="160">
        <v>10.1</v>
      </c>
      <c r="U32" s="160">
        <v>21.600000000000005</v>
      </c>
      <c r="V32" s="160">
        <v>46.500000000000007</v>
      </c>
      <c r="W32" s="160">
        <v>24.900000000000006</v>
      </c>
      <c r="X32" s="586">
        <f t="shared" si="5"/>
        <v>23.85</v>
      </c>
      <c r="Y32" s="587">
        <f t="shared" si="6"/>
        <v>25.529999999999973</v>
      </c>
      <c r="Z32" s="914">
        <f t="shared" si="7"/>
        <v>23.445000000000004</v>
      </c>
      <c r="AB32" s="157"/>
      <c r="AD32" s="158"/>
    </row>
    <row r="33" spans="1:30">
      <c r="A33" s="929" t="s">
        <v>110</v>
      </c>
      <c r="B33" s="160">
        <v>1.3</v>
      </c>
      <c r="C33" s="160">
        <v>0</v>
      </c>
      <c r="D33" s="160">
        <v>0</v>
      </c>
      <c r="E33" s="160">
        <v>0</v>
      </c>
      <c r="F33" s="160">
        <v>0</v>
      </c>
      <c r="G33" s="160">
        <v>0</v>
      </c>
      <c r="H33" s="160">
        <v>0</v>
      </c>
      <c r="I33" s="160">
        <v>4.0999999999999996</v>
      </c>
      <c r="J33" s="160">
        <v>0</v>
      </c>
      <c r="K33" s="160">
        <v>0</v>
      </c>
      <c r="L33" s="162">
        <v>6.4</v>
      </c>
      <c r="M33" s="160">
        <v>0</v>
      </c>
      <c r="N33" s="160">
        <v>1.9</v>
      </c>
      <c r="O33" s="160">
        <v>0</v>
      </c>
      <c r="P33" s="160">
        <v>0</v>
      </c>
      <c r="Q33" s="160">
        <v>0</v>
      </c>
      <c r="R33" s="160">
        <v>1.4</v>
      </c>
      <c r="S33" s="160">
        <v>0</v>
      </c>
      <c r="T33" s="160">
        <v>0.7</v>
      </c>
      <c r="U33" s="160">
        <v>3.1</v>
      </c>
      <c r="V33" s="160">
        <v>0</v>
      </c>
      <c r="W33" s="160">
        <v>0</v>
      </c>
      <c r="X33" s="586">
        <f t="shared" si="5"/>
        <v>0.71</v>
      </c>
      <c r="Y33" s="587">
        <f t="shared" si="6"/>
        <v>0.99052631578947015</v>
      </c>
      <c r="Z33" s="914">
        <f t="shared" si="7"/>
        <v>0.88000000000000012</v>
      </c>
      <c r="AB33" s="157"/>
      <c r="AD33" s="158"/>
    </row>
    <row r="34" spans="1:30">
      <c r="A34" s="929" t="s">
        <v>111</v>
      </c>
      <c r="B34" s="160">
        <v>0</v>
      </c>
      <c r="C34" s="160">
        <v>0</v>
      </c>
      <c r="D34" s="160">
        <v>0</v>
      </c>
      <c r="E34" s="160">
        <v>0</v>
      </c>
      <c r="F34" s="160">
        <v>0</v>
      </c>
      <c r="G34" s="160">
        <v>0</v>
      </c>
      <c r="H34" s="160">
        <v>0</v>
      </c>
      <c r="I34" s="160">
        <v>0</v>
      </c>
      <c r="J34" s="160">
        <v>0</v>
      </c>
      <c r="K34" s="160">
        <v>0</v>
      </c>
      <c r="L34" s="162">
        <v>0</v>
      </c>
      <c r="M34" s="160">
        <v>0</v>
      </c>
      <c r="N34" s="160">
        <v>0</v>
      </c>
      <c r="O34" s="160">
        <v>0</v>
      </c>
      <c r="P34" s="160">
        <v>0</v>
      </c>
      <c r="Q34" s="160">
        <v>0</v>
      </c>
      <c r="R34" s="160">
        <v>0</v>
      </c>
      <c r="S34" s="160">
        <v>0</v>
      </c>
      <c r="T34" s="160">
        <v>0</v>
      </c>
      <c r="U34" s="160">
        <v>0</v>
      </c>
      <c r="V34" s="160">
        <v>0</v>
      </c>
      <c r="W34" s="160">
        <v>0</v>
      </c>
      <c r="X34" s="586">
        <f t="shared" si="5"/>
        <v>0</v>
      </c>
      <c r="Y34" s="587">
        <f t="shared" si="6"/>
        <v>0</v>
      </c>
      <c r="Z34" s="914">
        <f t="shared" si="7"/>
        <v>0</v>
      </c>
      <c r="AB34" s="157"/>
      <c r="AD34" s="158"/>
    </row>
    <row r="35" spans="1:30">
      <c r="A35" s="930" t="s">
        <v>112</v>
      </c>
      <c r="B35" s="924">
        <v>0</v>
      </c>
      <c r="C35" s="924">
        <v>0</v>
      </c>
      <c r="D35" s="924">
        <v>0</v>
      </c>
      <c r="E35" s="924">
        <v>0</v>
      </c>
      <c r="F35" s="924">
        <v>0</v>
      </c>
      <c r="G35" s="924">
        <v>0</v>
      </c>
      <c r="H35" s="924">
        <v>0</v>
      </c>
      <c r="I35" s="924">
        <v>0</v>
      </c>
      <c r="J35" s="924">
        <v>0</v>
      </c>
      <c r="K35" s="924">
        <v>0</v>
      </c>
      <c r="L35" s="938">
        <v>0</v>
      </c>
      <c r="M35" s="924">
        <v>0</v>
      </c>
      <c r="N35" s="924">
        <v>0</v>
      </c>
      <c r="O35" s="924">
        <v>0</v>
      </c>
      <c r="P35" s="924">
        <v>0</v>
      </c>
      <c r="Q35" s="924">
        <v>0</v>
      </c>
      <c r="R35" s="924">
        <v>0</v>
      </c>
      <c r="S35" s="924">
        <v>0</v>
      </c>
      <c r="T35" s="924">
        <v>0</v>
      </c>
      <c r="U35" s="924">
        <v>0</v>
      </c>
      <c r="V35" s="924">
        <v>0</v>
      </c>
      <c r="W35" s="924">
        <v>0</v>
      </c>
      <c r="X35" s="1147">
        <f t="shared" si="5"/>
        <v>0</v>
      </c>
      <c r="Y35" s="933">
        <f t="shared" si="6"/>
        <v>0</v>
      </c>
      <c r="Z35" s="1148">
        <f t="shared" si="7"/>
        <v>0</v>
      </c>
      <c r="AB35" s="157"/>
      <c r="AD35" s="158"/>
    </row>
    <row r="36" spans="1:30">
      <c r="A36" s="62"/>
      <c r="B36" s="62"/>
      <c r="C36" s="62"/>
      <c r="D36" s="62"/>
      <c r="E36" s="62"/>
      <c r="F36" s="62"/>
      <c r="G36" s="59"/>
      <c r="H36" s="59"/>
      <c r="Q36" s="62"/>
      <c r="R36" s="62"/>
      <c r="S36" s="62"/>
      <c r="T36" s="62"/>
      <c r="U36" s="62"/>
      <c r="V36" s="62"/>
      <c r="W36" s="62"/>
    </row>
    <row r="37" spans="1:30">
      <c r="A37" s="62" t="s">
        <v>5</v>
      </c>
      <c r="B37" s="156">
        <f t="shared" ref="B37:Z37" si="8">SUM(B24:B35)</f>
        <v>303.20000000000005</v>
      </c>
      <c r="C37" s="156">
        <f t="shared" si="8"/>
        <v>240.09999999999997</v>
      </c>
      <c r="D37" s="156">
        <f t="shared" si="8"/>
        <v>220.2</v>
      </c>
      <c r="E37" s="156">
        <f t="shared" si="8"/>
        <v>293.99999999999994</v>
      </c>
      <c r="F37" s="156">
        <f t="shared" si="8"/>
        <v>379.80000000000007</v>
      </c>
      <c r="G37" s="156">
        <f t="shared" si="8"/>
        <v>165.89999999999998</v>
      </c>
      <c r="H37" s="156">
        <f t="shared" si="8"/>
        <v>321.39999999999998</v>
      </c>
      <c r="I37" s="156">
        <f t="shared" si="8"/>
        <v>339.30000000000007</v>
      </c>
      <c r="J37" s="156">
        <f t="shared" si="8"/>
        <v>274.89999999999998</v>
      </c>
      <c r="K37" s="156">
        <f t="shared" si="8"/>
        <v>178.1</v>
      </c>
      <c r="L37" s="156">
        <f t="shared" si="8"/>
        <v>397</v>
      </c>
      <c r="M37" s="156">
        <f t="shared" si="8"/>
        <v>269.09999999999997</v>
      </c>
      <c r="N37" s="156">
        <f t="shared" si="8"/>
        <v>256.2</v>
      </c>
      <c r="O37" s="156">
        <f t="shared" si="8"/>
        <v>213.89999999999998</v>
      </c>
      <c r="P37" s="156">
        <f t="shared" si="8"/>
        <v>180.60000000000002</v>
      </c>
      <c r="Q37" s="156">
        <f t="shared" si="8"/>
        <v>343.2</v>
      </c>
      <c r="R37" s="156">
        <f t="shared" si="8"/>
        <v>329.9</v>
      </c>
      <c r="S37" s="156">
        <f t="shared" si="8"/>
        <v>355.00000000000006</v>
      </c>
      <c r="T37" s="156">
        <f t="shared" si="8"/>
        <v>237.59999999999997</v>
      </c>
      <c r="U37" s="156">
        <f t="shared" si="8"/>
        <v>207</v>
      </c>
      <c r="V37" s="156">
        <f t="shared" si="8"/>
        <v>259.49999999999994</v>
      </c>
      <c r="W37" s="156">
        <f t="shared" si="8"/>
        <v>342.79999999999995</v>
      </c>
      <c r="X37" s="156">
        <f t="shared" si="8"/>
        <v>272.57</v>
      </c>
      <c r="Y37" s="156">
        <f t="shared" si="8"/>
        <v>280.60999999999962</v>
      </c>
      <c r="Z37" s="156">
        <f t="shared" si="8"/>
        <v>278.27</v>
      </c>
    </row>
    <row r="38" spans="1:30">
      <c r="A38" s="62"/>
      <c r="B38" s="62"/>
      <c r="C38" s="62"/>
      <c r="D38" s="62"/>
      <c r="E38" s="59"/>
      <c r="F38" s="59"/>
      <c r="G38" s="59"/>
      <c r="H38" s="59"/>
      <c r="I38" s="59"/>
      <c r="J38" s="59"/>
      <c r="K38" s="59"/>
      <c r="L38" s="59"/>
      <c r="M38" s="59"/>
      <c r="N38" s="59"/>
      <c r="O38" s="59"/>
      <c r="P38" s="59"/>
      <c r="U38" s="374"/>
      <c r="V38" s="374">
        <f>SUM(M37:V37)</f>
        <v>2652</v>
      </c>
      <c r="W38" s="374"/>
    </row>
    <row r="39" spans="1:30">
      <c r="A39" s="62"/>
      <c r="B39" s="62"/>
      <c r="C39" s="62"/>
      <c r="D39" s="62"/>
      <c r="E39" s="59"/>
      <c r="F39" s="59"/>
      <c r="G39" s="59"/>
      <c r="H39" s="59"/>
    </row>
    <row r="40" spans="1:30">
      <c r="A40" s="58"/>
      <c r="B40" s="58"/>
      <c r="C40" s="58"/>
      <c r="D40" s="58"/>
      <c r="E40" s="59"/>
      <c r="F40" s="59"/>
    </row>
  </sheetData>
  <pageMargins left="0.5" right="0.5" top="0.75" bottom="0.75" header="0.5" footer="0.5"/>
  <pageSetup paperSize="5" scale="72" orientation="landscape" r:id="rId1"/>
  <headerFooter alignWithMargins="0">
    <oddFooter>&amp;L&amp;8&amp;D
&amp;Z&amp;F</oddFooter>
  </headerFooter>
  <drawing r:id="rId2"/>
  <legacyDrawing r:id="rId3"/>
</worksheet>
</file>

<file path=xl/worksheets/sheet12.xml><?xml version="1.0" encoding="utf-8"?>
<worksheet xmlns="http://schemas.openxmlformats.org/spreadsheetml/2006/main" xmlns:r="http://schemas.openxmlformats.org/officeDocument/2006/relationships">
  <sheetPr>
    <tabColor theme="9" tint="0.39997558519241921"/>
    <pageSetUpPr fitToPage="1"/>
  </sheetPr>
  <dimension ref="B1:Z115"/>
  <sheetViews>
    <sheetView topLeftCell="A94" zoomScaleNormal="100" workbookViewId="0">
      <selection activeCell="B13" sqref="B13:G113"/>
    </sheetView>
  </sheetViews>
  <sheetFormatPr defaultRowHeight="12.75"/>
  <cols>
    <col min="1" max="1" width="1.28515625" customWidth="1"/>
    <col min="2" max="2" width="33.140625" customWidth="1"/>
    <col min="3" max="3" width="17.140625" customWidth="1"/>
    <col min="4" max="4" width="10.42578125" customWidth="1"/>
    <col min="5" max="5" width="13.140625" customWidth="1"/>
    <col min="6" max="6" width="11.85546875" customWidth="1"/>
    <col min="7" max="7" width="13.5703125" customWidth="1"/>
    <col min="8" max="8" width="8.140625" customWidth="1"/>
    <col min="9" max="9" width="11.28515625" bestFit="1" customWidth="1"/>
    <col min="10" max="10" width="27.7109375" customWidth="1"/>
    <col min="11" max="11" width="8.140625" customWidth="1"/>
    <col min="12" max="12" width="8.5703125" customWidth="1"/>
    <col min="15" max="15" width="9.5703125" customWidth="1"/>
    <col min="16" max="16" width="2.5703125" customWidth="1"/>
    <col min="17" max="17" width="7.85546875" customWidth="1"/>
    <col min="18" max="18" width="8.5703125" customWidth="1"/>
    <col min="19" max="19" width="9.28515625" customWidth="1"/>
    <col min="20" max="20" width="8.5703125" customWidth="1"/>
  </cols>
  <sheetData>
    <row r="1" spans="2:11">
      <c r="B1" s="1235" t="s">
        <v>564</v>
      </c>
      <c r="C1" s="1235"/>
      <c r="D1" s="1235"/>
      <c r="E1" s="1235"/>
      <c r="I1" s="560" t="s">
        <v>326</v>
      </c>
      <c r="J1" s="15"/>
    </row>
    <row r="2" spans="2:11" ht="13.5" thickBot="1">
      <c r="B2" s="581"/>
      <c r="C2" s="581"/>
      <c r="D2" s="581"/>
      <c r="E2" s="581"/>
      <c r="I2" s="560"/>
      <c r="J2" s="15"/>
    </row>
    <row r="3" spans="2:11" ht="13.5" thickTop="1">
      <c r="B3" s="1040" t="s">
        <v>563</v>
      </c>
      <c r="C3" s="1041" t="s">
        <v>64</v>
      </c>
      <c r="D3" s="1041" t="s">
        <v>65</v>
      </c>
      <c r="E3" s="1041" t="s">
        <v>565</v>
      </c>
    </row>
    <row r="4" spans="2:11">
      <c r="B4" s="1042" t="str">
        <f>'2015 COP Forecast'!B4</f>
        <v xml:space="preserve">Residential </v>
      </c>
      <c r="C4" s="872">
        <f>Summary!M16</f>
        <v>40480043.329000004</v>
      </c>
      <c r="D4" s="873"/>
      <c r="E4" s="874">
        <f>[27]Summary!I6</f>
        <v>0.95976249366232491</v>
      </c>
      <c r="F4" s="1186"/>
    </row>
    <row r="5" spans="2:11">
      <c r="B5" s="1042" t="str">
        <f>'2015 COP Forecast'!B5</f>
        <v>General Service &lt; 50 kW</v>
      </c>
      <c r="C5" s="872">
        <f>Summary!M20</f>
        <v>20348622.955000002</v>
      </c>
      <c r="D5" s="873"/>
      <c r="E5" s="874">
        <f>[27]Summary!I7</f>
        <v>0.84285418197233486</v>
      </c>
      <c r="F5" s="740"/>
    </row>
    <row r="6" spans="2:11">
      <c r="B6" s="1042" t="str">
        <f>'2015 COP Forecast'!B6</f>
        <v>General Service 50 to 4,999 kW</v>
      </c>
      <c r="C6" s="872">
        <f>Summary!M24</f>
        <v>39456019</v>
      </c>
      <c r="D6" s="875">
        <f>Summary!M25</f>
        <v>115477</v>
      </c>
      <c r="E6" s="874">
        <f>[27]Summary!I8</f>
        <v>4.6059994040452988E-2</v>
      </c>
      <c r="F6" s="740"/>
    </row>
    <row r="7" spans="2:11">
      <c r="B7" s="1042" t="str">
        <f>'2015 COP Forecast'!B7</f>
        <v xml:space="preserve">Street Lights </v>
      </c>
      <c r="C7" s="872">
        <f>Summary!M29</f>
        <v>773158</v>
      </c>
      <c r="D7" s="875">
        <f>Summary!M30</f>
        <v>2070</v>
      </c>
      <c r="E7" s="874">
        <f>[27]Summary!I9</f>
        <v>0.19671399636296849</v>
      </c>
      <c r="F7" s="740"/>
    </row>
    <row r="8" spans="2:11">
      <c r="B8" s="1042" t="str">
        <f>'2015 COP Forecast'!B8</f>
        <v>Sentinel Lights</v>
      </c>
      <c r="C8" s="872">
        <f>Summary!M34</f>
        <v>106791</v>
      </c>
      <c r="D8" s="875">
        <f>Summary!M35</f>
        <v>302</v>
      </c>
      <c r="E8" s="874">
        <f>[27]Summary!I10</f>
        <v>0.97524135929057687</v>
      </c>
      <c r="F8" s="740"/>
    </row>
    <row r="9" spans="2:11">
      <c r="B9" s="1042" t="str">
        <f>'2015 COP Forecast'!B9</f>
        <v xml:space="preserve">Unmetered Loads </v>
      </c>
      <c r="C9" s="872">
        <f>Summary!M39</f>
        <v>546384</v>
      </c>
      <c r="D9" s="875"/>
      <c r="E9" s="874">
        <f>[27]Summary!I11</f>
        <v>0.9055389616094176</v>
      </c>
      <c r="F9" s="740"/>
    </row>
    <row r="10" spans="2:11">
      <c r="B10" s="867" t="s">
        <v>66</v>
      </c>
      <c r="C10" s="868">
        <f>SUM(C4:C9)</f>
        <v>101711018.28400001</v>
      </c>
      <c r="D10" s="868">
        <f>SUM(D4:D9)</f>
        <v>117849</v>
      </c>
      <c r="E10" s="868"/>
    </row>
    <row r="11" spans="2:11">
      <c r="C11" s="21"/>
      <c r="D11" s="21"/>
      <c r="J11" t="s">
        <v>435</v>
      </c>
      <c r="K11" t="s">
        <v>438</v>
      </c>
    </row>
    <row r="12" spans="2:11" ht="13.5" thickBot="1">
      <c r="I12" t="s">
        <v>436</v>
      </c>
      <c r="J12">
        <v>0.11141</v>
      </c>
      <c r="K12">
        <v>0.10728</v>
      </c>
    </row>
    <row r="13" spans="2:11" ht="13.5" thickTop="1">
      <c r="B13" s="1008" t="s">
        <v>67</v>
      </c>
      <c r="C13" s="1236" t="s">
        <v>566</v>
      </c>
      <c r="D13" s="1238" t="s">
        <v>567</v>
      </c>
      <c r="E13" s="1232">
        <v>2017</v>
      </c>
      <c r="F13" s="1233"/>
      <c r="G13" s="1234"/>
      <c r="I13" t="s">
        <v>437</v>
      </c>
      <c r="J13">
        <f>0.01882+0.08792</f>
        <v>0.10674</v>
      </c>
      <c r="K13">
        <f>0.01882+0.08792</f>
        <v>0.10674</v>
      </c>
    </row>
    <row r="14" spans="2:11">
      <c r="B14" s="1009" t="s">
        <v>68</v>
      </c>
      <c r="C14" s="1237"/>
      <c r="D14" s="1239"/>
      <c r="E14" s="1010" t="s">
        <v>531</v>
      </c>
      <c r="F14" s="1006" t="s">
        <v>448</v>
      </c>
      <c r="G14" s="1007" t="s">
        <v>449</v>
      </c>
    </row>
    <row r="15" spans="2:11">
      <c r="B15" s="1011" t="str">
        <f t="shared" ref="B15:B20" si="0">B4</f>
        <v xml:space="preserve">Residential </v>
      </c>
      <c r="C15" s="872">
        <f t="shared" ref="C15:C20" si="1">C4*E4</f>
        <v>38851227.329000004</v>
      </c>
      <c r="D15" s="873">
        <f>'Rate Class Energy Model '!C17</f>
        <v>1.0819000000000001</v>
      </c>
      <c r="E15" s="863">
        <f t="shared" ref="E15:E20" si="2">C15*D15</f>
        <v>42033142.847245105</v>
      </c>
      <c r="F15" s="1012">
        <f>'Commodity Price'!D15/1000</f>
        <v>0.11239</v>
      </c>
      <c r="G15" s="866">
        <f t="shared" ref="G15:G20" si="3">E15*F15</f>
        <v>4724104.9246018771</v>
      </c>
    </row>
    <row r="16" spans="2:11">
      <c r="B16" s="1011" t="str">
        <f t="shared" si="0"/>
        <v>General Service &lt; 50 kW</v>
      </c>
      <c r="C16" s="872">
        <f t="shared" si="1"/>
        <v>17150921.955000002</v>
      </c>
      <c r="D16" s="873">
        <f>D15</f>
        <v>1.0819000000000001</v>
      </c>
      <c r="E16" s="863">
        <f t="shared" si="2"/>
        <v>18555582.463114504</v>
      </c>
      <c r="F16" s="1013">
        <f>F15</f>
        <v>0.11239</v>
      </c>
      <c r="G16" s="866">
        <f t="shared" si="3"/>
        <v>2085461.913029439</v>
      </c>
    </row>
    <row r="17" spans="2:26">
      <c r="B17" s="1011" t="str">
        <f t="shared" si="0"/>
        <v>General Service 50 to 4,999 kW</v>
      </c>
      <c r="C17" s="872">
        <f t="shared" si="1"/>
        <v>1817343.9999999998</v>
      </c>
      <c r="D17" s="873">
        <f>D16</f>
        <v>1.0819000000000001</v>
      </c>
      <c r="E17" s="863">
        <f t="shared" si="2"/>
        <v>1966184.4735999999</v>
      </c>
      <c r="F17" s="1013">
        <f>F15</f>
        <v>0.11239</v>
      </c>
      <c r="G17" s="866">
        <f t="shared" si="3"/>
        <v>220979.47298790401</v>
      </c>
    </row>
    <row r="18" spans="2:26">
      <c r="B18" s="1011" t="str">
        <f t="shared" si="0"/>
        <v xml:space="preserve">Street Lights </v>
      </c>
      <c r="C18" s="872">
        <f t="shared" si="1"/>
        <v>152091</v>
      </c>
      <c r="D18" s="873">
        <f>D17</f>
        <v>1.0819000000000001</v>
      </c>
      <c r="E18" s="863">
        <f t="shared" si="2"/>
        <v>164547.25290000002</v>
      </c>
      <c r="F18" s="1013">
        <f>F15</f>
        <v>0.11239</v>
      </c>
      <c r="G18" s="866">
        <f t="shared" si="3"/>
        <v>18493.465753431003</v>
      </c>
      <c r="K18" s="52" t="s">
        <v>313</v>
      </c>
    </row>
    <row r="19" spans="2:26">
      <c r="B19" s="1011" t="str">
        <f t="shared" si="0"/>
        <v>Sentinel Lights</v>
      </c>
      <c r="C19" s="872">
        <f t="shared" si="1"/>
        <v>104147</v>
      </c>
      <c r="D19" s="873">
        <f>D18</f>
        <v>1.0819000000000001</v>
      </c>
      <c r="E19" s="863">
        <f t="shared" si="2"/>
        <v>112676.63930000001</v>
      </c>
      <c r="F19" s="1013">
        <f>F15</f>
        <v>0.11239</v>
      </c>
      <c r="G19" s="866">
        <f t="shared" si="3"/>
        <v>12663.727490927002</v>
      </c>
      <c r="L19" s="442" t="s">
        <v>327</v>
      </c>
    </row>
    <row r="20" spans="2:26">
      <c r="B20" s="1011" t="str">
        <f t="shared" si="0"/>
        <v xml:space="preserve">Unmetered Loads </v>
      </c>
      <c r="C20" s="872">
        <f t="shared" si="1"/>
        <v>494772</v>
      </c>
      <c r="D20" s="873">
        <f>D19</f>
        <v>1.0819000000000001</v>
      </c>
      <c r="E20" s="863">
        <f t="shared" si="2"/>
        <v>535293.82680000004</v>
      </c>
      <c r="F20" s="1013">
        <f>F15</f>
        <v>0.11239</v>
      </c>
      <c r="G20" s="866">
        <f t="shared" si="3"/>
        <v>60161.673194052004</v>
      </c>
      <c r="K20" s="501"/>
      <c r="L20" s="502"/>
      <c r="M20" s="502"/>
      <c r="N20" s="502"/>
      <c r="O20" s="502"/>
      <c r="P20" s="502"/>
      <c r="Q20" s="502"/>
      <c r="R20" s="502"/>
      <c r="S20" s="502"/>
      <c r="T20" s="502"/>
      <c r="U20" s="502"/>
      <c r="V20" s="504"/>
    </row>
    <row r="21" spans="2:26">
      <c r="B21" s="867" t="s">
        <v>66</v>
      </c>
      <c r="C21" s="868">
        <f>SUM(C15:C20)</f>
        <v>58570503.284000009</v>
      </c>
      <c r="D21" s="869"/>
      <c r="E21" s="868">
        <f>SUM(E15:E20)</f>
        <v>63367427.502959616</v>
      </c>
      <c r="F21" s="1014"/>
      <c r="G21" s="1015">
        <f>SUM(G15:G20)</f>
        <v>7121865.1770576304</v>
      </c>
      <c r="K21" s="22" t="s">
        <v>316</v>
      </c>
      <c r="L21" s="491"/>
      <c r="M21" s="491"/>
      <c r="N21" s="491"/>
      <c r="O21" s="491"/>
      <c r="P21" s="491"/>
      <c r="Q21" s="491"/>
      <c r="R21" s="491"/>
      <c r="S21" s="491"/>
      <c r="T21" s="491"/>
      <c r="U21" s="491"/>
      <c r="V21" s="561"/>
    </row>
    <row r="22" spans="2:26" ht="13.5" thickBot="1">
      <c r="B22" s="41"/>
      <c r="C22" s="42"/>
      <c r="D22" s="43"/>
      <c r="E22" s="42"/>
      <c r="F22" s="44"/>
      <c r="G22" s="45"/>
      <c r="K22" s="22"/>
      <c r="L22" s="491"/>
      <c r="M22" s="491"/>
      <c r="N22" s="575" t="s">
        <v>328</v>
      </c>
      <c r="O22" s="491"/>
      <c r="P22" s="491"/>
      <c r="Q22" s="491"/>
      <c r="R22" s="491"/>
      <c r="S22" s="491"/>
      <c r="T22" s="491"/>
      <c r="U22" s="491"/>
      <c r="V22" s="561"/>
      <c r="W22" s="497"/>
      <c r="Y22">
        <v>860861.64296006202</v>
      </c>
      <c r="Z22">
        <f>Y22*W22</f>
        <v>0</v>
      </c>
    </row>
    <row r="23" spans="2:26" ht="13.5" customHeight="1" thickTop="1">
      <c r="B23" s="1008" t="s">
        <v>69</v>
      </c>
      <c r="C23" s="1236" t="s">
        <v>566</v>
      </c>
      <c r="D23" s="1238" t="s">
        <v>567</v>
      </c>
      <c r="E23" s="1232">
        <v>2017</v>
      </c>
      <c r="F23" s="1233"/>
      <c r="G23" s="1234"/>
      <c r="K23" s="22" t="s">
        <v>304</v>
      </c>
      <c r="L23" s="491"/>
      <c r="M23" s="491" t="s">
        <v>305</v>
      </c>
      <c r="N23" s="491" t="s">
        <v>278</v>
      </c>
      <c r="O23" s="491"/>
      <c r="P23" s="491" t="s">
        <v>279</v>
      </c>
      <c r="Q23" s="491"/>
      <c r="R23" s="491"/>
      <c r="S23" s="491"/>
      <c r="T23" s="491"/>
      <c r="U23" s="491"/>
      <c r="V23" s="561"/>
      <c r="W23" s="497"/>
    </row>
    <row r="24" spans="2:26">
      <c r="B24" s="1009" t="s">
        <v>70</v>
      </c>
      <c r="C24" s="1237"/>
      <c r="D24" s="1239"/>
      <c r="E24" s="1010" t="s">
        <v>531</v>
      </c>
      <c r="F24" s="1006" t="s">
        <v>448</v>
      </c>
      <c r="G24" s="1007" t="s">
        <v>449</v>
      </c>
      <c r="K24" s="22"/>
      <c r="L24" s="491"/>
      <c r="M24" s="491"/>
      <c r="N24" s="491"/>
      <c r="O24" s="491"/>
      <c r="P24" s="491"/>
      <c r="Q24" s="491"/>
      <c r="R24" s="491"/>
      <c r="S24" s="491"/>
      <c r="T24" s="491" t="s">
        <v>325</v>
      </c>
      <c r="U24" s="491"/>
      <c r="V24" s="561"/>
      <c r="W24" s="497"/>
    </row>
    <row r="25" spans="2:26">
      <c r="B25" s="1016" t="str">
        <f t="shared" ref="B25:B30" si="4">B15</f>
        <v xml:space="preserve">Residential </v>
      </c>
      <c r="C25" s="872">
        <f t="shared" ref="C25:C30" si="5">C4-C15</f>
        <v>1628816</v>
      </c>
      <c r="D25" s="873">
        <f t="shared" ref="D25:D30" si="6">D15</f>
        <v>1.0819000000000001</v>
      </c>
      <c r="E25" s="872">
        <f t="shared" ref="E25:E30" si="7">C25*D25</f>
        <v>1762216.0304</v>
      </c>
      <c r="F25" s="1012">
        <f>'Commodity Price'!D24/1000</f>
        <v>0.10709</v>
      </c>
      <c r="G25" s="1017">
        <f t="shared" ref="G25:G30" si="8">E25*F25</f>
        <v>188715.71469553601</v>
      </c>
      <c r="K25" s="22" t="s">
        <v>306</v>
      </c>
      <c r="L25" s="491"/>
      <c r="M25" s="491" t="s">
        <v>64</v>
      </c>
      <c r="N25" s="562">
        <v>7.7368368365435874E-3</v>
      </c>
      <c r="O25" s="1002">
        <v>7.4867353041797912E-3</v>
      </c>
      <c r="P25" s="562">
        <v>6.6745326589538675E-3</v>
      </c>
      <c r="Q25" s="491"/>
      <c r="R25" s="491"/>
      <c r="S25" s="563" t="e">
        <f>'[28]9. RTSR Rates to Forecast'!#REF!</f>
        <v>#REF!</v>
      </c>
      <c r="T25" s="564" t="e">
        <f>N25-S25</f>
        <v>#REF!</v>
      </c>
      <c r="U25" s="563" t="e">
        <f>'[28]9. RTSR Rates to Forecast'!#REF!</f>
        <v>#REF!</v>
      </c>
      <c r="V25" s="565" t="e">
        <f>P25-U25</f>
        <v>#REF!</v>
      </c>
      <c r="W25" s="497"/>
    </row>
    <row r="26" spans="2:26">
      <c r="B26" s="1016" t="str">
        <f t="shared" si="4"/>
        <v>General Service &lt; 50 kW</v>
      </c>
      <c r="C26" s="872">
        <f t="shared" si="5"/>
        <v>3197701</v>
      </c>
      <c r="D26" s="873">
        <f t="shared" si="6"/>
        <v>1.0819000000000001</v>
      </c>
      <c r="E26" s="872">
        <f t="shared" si="7"/>
        <v>3459592.7119000005</v>
      </c>
      <c r="F26" s="1013">
        <f>F25</f>
        <v>0.10709</v>
      </c>
      <c r="G26" s="1017">
        <f t="shared" si="8"/>
        <v>370487.78351737105</v>
      </c>
      <c r="K26" s="22" t="s">
        <v>307</v>
      </c>
      <c r="L26" s="491"/>
      <c r="M26" s="491" t="s">
        <v>64</v>
      </c>
      <c r="N26" s="562">
        <v>7.736836809709712E-3</v>
      </c>
      <c r="O26" s="1002">
        <v>6.8476239429030887E-3</v>
      </c>
      <c r="P26" s="562">
        <v>6.6745323855041247E-3</v>
      </c>
      <c r="Q26" s="491"/>
      <c r="R26" s="491"/>
      <c r="S26" s="563" t="e">
        <f>'[28]9. RTSR Rates to Forecast'!#REF!</f>
        <v>#REF!</v>
      </c>
      <c r="T26" s="564" t="e">
        <f t="shared" ref="T26:T31" si="9">N26-S26</f>
        <v>#REF!</v>
      </c>
      <c r="U26" s="563" t="e">
        <f>'[28]9. RTSR Rates to Forecast'!#REF!</f>
        <v>#REF!</v>
      </c>
      <c r="V26" s="565" t="e">
        <f t="shared" ref="V26:V31" si="10">P26-U26</f>
        <v>#REF!</v>
      </c>
      <c r="W26" s="497"/>
    </row>
    <row r="27" spans="2:26">
      <c r="B27" s="1016" t="str">
        <f t="shared" si="4"/>
        <v>General Service 50 to 4,999 kW</v>
      </c>
      <c r="C27" s="872">
        <f t="shared" si="5"/>
        <v>37638675</v>
      </c>
      <c r="D27" s="873">
        <f t="shared" si="6"/>
        <v>1.0819000000000001</v>
      </c>
      <c r="E27" s="872">
        <f t="shared" si="7"/>
        <v>40721282.482500002</v>
      </c>
      <c r="F27" s="1013">
        <f>F25</f>
        <v>0.10709</v>
      </c>
      <c r="G27" s="1017">
        <f t="shared" si="8"/>
        <v>4360842.1410509255</v>
      </c>
      <c r="K27" s="22" t="s">
        <v>299</v>
      </c>
      <c r="L27" s="491"/>
      <c r="M27" s="491" t="s">
        <v>65</v>
      </c>
      <c r="N27" s="562">
        <v>2.4216298897614097</v>
      </c>
      <c r="O27" s="1002">
        <v>2.8584720632500615</v>
      </c>
      <c r="P27" s="562">
        <v>1.4416990307865478</v>
      </c>
      <c r="Q27" s="491"/>
      <c r="R27" s="491"/>
      <c r="S27" s="563" t="e">
        <f>'[28]9. RTSR Rates to Forecast'!#REF!</f>
        <v>#REF!</v>
      </c>
      <c r="T27" s="564" t="e">
        <f t="shared" si="9"/>
        <v>#REF!</v>
      </c>
      <c r="U27" s="563" t="e">
        <f>'[28]9. RTSR Rates to Forecast'!#REF!</f>
        <v>#REF!</v>
      </c>
      <c r="V27" s="565" t="e">
        <f t="shared" si="10"/>
        <v>#REF!</v>
      </c>
      <c r="W27" s="497"/>
    </row>
    <row r="28" spans="2:26">
      <c r="B28" s="1016" t="str">
        <f t="shared" si="4"/>
        <v xml:space="preserve">Street Lights </v>
      </c>
      <c r="C28" s="872">
        <f t="shared" si="5"/>
        <v>621067</v>
      </c>
      <c r="D28" s="873">
        <f t="shared" si="6"/>
        <v>1.0819000000000001</v>
      </c>
      <c r="E28" s="872">
        <f t="shared" si="7"/>
        <v>671932.38730000006</v>
      </c>
      <c r="F28" s="1013">
        <f>F25</f>
        <v>0.10709</v>
      </c>
      <c r="G28" s="1017">
        <f t="shared" si="8"/>
        <v>71957.239355957005</v>
      </c>
      <c r="K28" s="22" t="s">
        <v>300</v>
      </c>
      <c r="L28" s="491"/>
      <c r="M28" s="491" t="s">
        <v>65</v>
      </c>
      <c r="N28" s="562">
        <v>2.7078926404982528</v>
      </c>
      <c r="O28" s="1002">
        <v>3.1936400753094629</v>
      </c>
      <c r="P28" s="562">
        <v>1.6085625309221667</v>
      </c>
      <c r="Q28" s="491"/>
      <c r="R28" s="491"/>
      <c r="S28" s="563" t="e">
        <f>'[28]9. RTSR Rates to Forecast'!#REF!</f>
        <v>#REF!</v>
      </c>
      <c r="T28" s="564" t="e">
        <f t="shared" si="9"/>
        <v>#REF!</v>
      </c>
      <c r="U28" s="563" t="e">
        <f>'[28]9. RTSR Rates to Forecast'!#REF!</f>
        <v>#REF!</v>
      </c>
      <c r="V28" s="565" t="e">
        <f t="shared" si="10"/>
        <v>#REF!</v>
      </c>
      <c r="W28" s="497"/>
    </row>
    <row r="29" spans="2:26">
      <c r="B29" s="1016" t="str">
        <f t="shared" si="4"/>
        <v>Sentinel Lights</v>
      </c>
      <c r="C29" s="872">
        <f t="shared" si="5"/>
        <v>2644</v>
      </c>
      <c r="D29" s="873">
        <f t="shared" si="6"/>
        <v>1.0819000000000001</v>
      </c>
      <c r="E29" s="872">
        <f t="shared" si="7"/>
        <v>2860.5436000000004</v>
      </c>
      <c r="F29" s="1013">
        <f>F25</f>
        <v>0.10709</v>
      </c>
      <c r="G29" s="1017"/>
      <c r="K29" s="22" t="s">
        <v>301</v>
      </c>
      <c r="L29" s="491"/>
      <c r="M29" s="491" t="s">
        <v>64</v>
      </c>
      <c r="N29" s="562">
        <v>7.7368422293920746E-3</v>
      </c>
      <c r="O29" s="1002">
        <v>6.8476125536060155E-3</v>
      </c>
      <c r="P29" s="562">
        <v>6.674535599270625E-3</v>
      </c>
      <c r="Q29" s="491"/>
      <c r="R29" s="491"/>
      <c r="S29" s="563" t="e">
        <f>'[28]9. RTSR Rates to Forecast'!#REF!</f>
        <v>#REF!</v>
      </c>
      <c r="T29" s="564" t="e">
        <f t="shared" si="9"/>
        <v>#REF!</v>
      </c>
      <c r="U29" s="563" t="e">
        <f>'[28]9. RTSR Rates to Forecast'!#REF!</f>
        <v>#REF!</v>
      </c>
      <c r="V29" s="565" t="e">
        <f t="shared" si="10"/>
        <v>#REF!</v>
      </c>
      <c r="W29" s="497"/>
    </row>
    <row r="30" spans="2:26">
      <c r="B30" s="1016" t="str">
        <f t="shared" si="4"/>
        <v xml:space="preserve">Unmetered Loads </v>
      </c>
      <c r="C30" s="872">
        <f t="shared" si="5"/>
        <v>51612</v>
      </c>
      <c r="D30" s="873">
        <f t="shared" si="6"/>
        <v>1.0819000000000001</v>
      </c>
      <c r="E30" s="872">
        <f t="shared" si="7"/>
        <v>55839.022800000006</v>
      </c>
      <c r="F30" s="1013">
        <f>F25</f>
        <v>0.10709</v>
      </c>
      <c r="G30" s="1017">
        <f t="shared" si="8"/>
        <v>5979.8009516520005</v>
      </c>
      <c r="K30" s="22" t="s">
        <v>302</v>
      </c>
      <c r="L30" s="491"/>
      <c r="M30" s="491" t="s">
        <v>65</v>
      </c>
      <c r="N30" s="562">
        <v>1.8336423904109167</v>
      </c>
      <c r="O30" s="1002">
        <v>2.1666887646702979</v>
      </c>
      <c r="P30" s="562">
        <v>1.1413576213306393</v>
      </c>
      <c r="Q30" s="491"/>
      <c r="R30" s="491"/>
      <c r="S30" s="563" t="e">
        <f>'[28]9. RTSR Rates to Forecast'!#REF!</f>
        <v>#REF!</v>
      </c>
      <c r="T30" s="564" t="e">
        <f t="shared" si="9"/>
        <v>#REF!</v>
      </c>
      <c r="U30" s="563" t="e">
        <f>'[28]9. RTSR Rates to Forecast'!#REF!</f>
        <v>#REF!</v>
      </c>
      <c r="V30" s="565" t="e">
        <f t="shared" si="10"/>
        <v>#REF!</v>
      </c>
    </row>
    <row r="31" spans="2:26">
      <c r="B31" s="1018" t="s">
        <v>66</v>
      </c>
      <c r="C31" s="1019">
        <f>SUM(C25:C30)</f>
        <v>43140515</v>
      </c>
      <c r="D31" s="1020"/>
      <c r="E31" s="1019">
        <f>SUM(E25:E30)</f>
        <v>46673723.178500004</v>
      </c>
      <c r="F31" s="1021"/>
      <c r="G31" s="1015">
        <f>SUM(G25:G30)</f>
        <v>4997982.6795714423</v>
      </c>
      <c r="K31" s="22" t="s">
        <v>303</v>
      </c>
      <c r="L31" s="491"/>
      <c r="M31" s="491" t="s">
        <v>65</v>
      </c>
      <c r="N31" s="562">
        <v>1.8258922714716779</v>
      </c>
      <c r="O31" s="1002">
        <v>2.1557205987338679</v>
      </c>
      <c r="P31" s="562">
        <v>1.1146464141491461</v>
      </c>
      <c r="Q31" s="491"/>
      <c r="R31" s="491"/>
      <c r="S31" s="563" t="e">
        <f>'[28]9. RTSR Rates to Forecast'!#REF!</f>
        <v>#REF!</v>
      </c>
      <c r="T31" s="564" t="e">
        <f t="shared" si="9"/>
        <v>#REF!</v>
      </c>
      <c r="U31" s="563" t="e">
        <f>'[28]9. RTSR Rates to Forecast'!#REF!</f>
        <v>#REF!</v>
      </c>
      <c r="V31" s="565" t="e">
        <f t="shared" si="10"/>
        <v>#REF!</v>
      </c>
    </row>
    <row r="32" spans="2:26" ht="13.5" thickBot="1">
      <c r="K32" s="22"/>
      <c r="L32" s="491"/>
      <c r="M32" s="491"/>
      <c r="N32" s="491"/>
      <c r="O32" s="491"/>
      <c r="P32" s="491"/>
      <c r="Q32" s="491"/>
      <c r="R32" s="491"/>
      <c r="S32" s="491"/>
      <c r="T32" s="491"/>
      <c r="U32" s="491"/>
      <c r="V32" s="561"/>
    </row>
    <row r="33" spans="2:22" ht="13.5" thickTop="1">
      <c r="B33" s="1022" t="s">
        <v>71</v>
      </c>
      <c r="C33" s="1023"/>
      <c r="D33" s="1024" t="s">
        <v>72</v>
      </c>
      <c r="E33" s="1232">
        <v>2017</v>
      </c>
      <c r="F33" s="1233"/>
      <c r="G33" s="1234"/>
      <c r="K33" s="22"/>
      <c r="L33" s="491"/>
      <c r="M33" s="491"/>
      <c r="N33" s="491"/>
      <c r="O33" s="491"/>
      <c r="P33" s="491"/>
      <c r="Q33" s="491"/>
      <c r="R33" s="491"/>
      <c r="S33" s="491"/>
      <c r="T33" s="491"/>
      <c r="U33" s="491"/>
      <c r="V33" s="561"/>
    </row>
    <row r="34" spans="2:22">
      <c r="B34" s="1009" t="s">
        <v>70</v>
      </c>
      <c r="C34" s="1025"/>
      <c r="D34" s="1026" t="s">
        <v>73</v>
      </c>
      <c r="E34" s="1005" t="s">
        <v>72</v>
      </c>
      <c r="F34" s="1006" t="s">
        <v>448</v>
      </c>
      <c r="G34" s="1007" t="s">
        <v>449</v>
      </c>
      <c r="K34" s="22"/>
      <c r="L34" s="491"/>
      <c r="M34" s="491"/>
      <c r="N34" s="491"/>
      <c r="O34" s="491"/>
      <c r="P34" s="491"/>
      <c r="Q34" s="491"/>
      <c r="R34" s="491"/>
      <c r="S34" s="491"/>
      <c r="T34" s="491"/>
      <c r="U34" s="491"/>
      <c r="V34" s="561"/>
    </row>
    <row r="35" spans="2:22">
      <c r="B35" s="1027" t="str">
        <f>B25</f>
        <v xml:space="preserve">Residential </v>
      </c>
      <c r="C35" s="872"/>
      <c r="D35" s="1028" t="s">
        <v>64</v>
      </c>
      <c r="E35" s="872">
        <f>+E25+E15</f>
        <v>43795358.877645105</v>
      </c>
      <c r="F35" s="1029">
        <v>7.3000000000000001E-3</v>
      </c>
      <c r="G35" s="1017">
        <f t="shared" ref="G35:G41" si="11">E35*F35</f>
        <v>319706.11980680929</v>
      </c>
      <c r="K35" s="77" t="s">
        <v>285</v>
      </c>
      <c r="L35" s="491"/>
      <c r="M35" s="491"/>
      <c r="N35" s="476" t="s">
        <v>284</v>
      </c>
      <c r="O35" s="477"/>
      <c r="P35" s="491"/>
      <c r="Q35" s="491"/>
      <c r="R35" s="491"/>
      <c r="S35" s="491"/>
      <c r="T35" s="491"/>
      <c r="U35" s="491"/>
      <c r="V35" s="561"/>
    </row>
    <row r="36" spans="2:22">
      <c r="B36" s="1027" t="str">
        <f>B26</f>
        <v>General Service &lt; 50 kW</v>
      </c>
      <c r="C36" s="872"/>
      <c r="D36" s="1028" t="s">
        <v>64</v>
      </c>
      <c r="E36" s="872">
        <f>+E26+E16</f>
        <v>22015175.175014503</v>
      </c>
      <c r="F36" s="1029">
        <v>6.7000000000000002E-3</v>
      </c>
      <c r="G36" s="1017">
        <f t="shared" si="11"/>
        <v>147501.67367259719</v>
      </c>
      <c r="K36" s="22"/>
      <c r="L36" s="491"/>
      <c r="M36" s="491"/>
      <c r="N36" s="491" t="s">
        <v>278</v>
      </c>
      <c r="O36" s="491" t="s">
        <v>279</v>
      </c>
      <c r="P36" s="491" t="s">
        <v>282</v>
      </c>
      <c r="Q36" s="491" t="s">
        <v>159</v>
      </c>
      <c r="R36" s="491"/>
      <c r="S36" s="491"/>
      <c r="T36" s="491"/>
      <c r="U36" s="491"/>
      <c r="V36" s="561"/>
    </row>
    <row r="37" spans="2:22">
      <c r="B37" s="1027" t="str">
        <f>B27</f>
        <v>General Service 50 to 4,999 kW</v>
      </c>
      <c r="C37" s="872"/>
      <c r="D37" s="1028" t="s">
        <v>65</v>
      </c>
      <c r="E37" s="872">
        <v>105146</v>
      </c>
      <c r="F37" s="1029">
        <v>2.7968999999999999</v>
      </c>
      <c r="G37" s="1017">
        <f t="shared" si="11"/>
        <v>294082.84739999997</v>
      </c>
      <c r="K37" s="22" t="s">
        <v>281</v>
      </c>
      <c r="L37" s="491"/>
      <c r="M37" s="491" t="s">
        <v>65</v>
      </c>
      <c r="N37" s="562">
        <f>N27</f>
        <v>2.4216298897614097</v>
      </c>
      <c r="O37" s="562">
        <f>P27</f>
        <v>1.4416990307865478</v>
      </c>
      <c r="P37" s="566" t="e">
        <f>'2015 COP Forecast'!O37</f>
        <v>#REF!</v>
      </c>
      <c r="Q37" s="567" t="e">
        <f>P37/P39</f>
        <v>#REF!</v>
      </c>
      <c r="R37" s="491"/>
      <c r="S37" s="562">
        <v>2.4216298897614097</v>
      </c>
      <c r="T37" s="562">
        <v>1.4416990307865478</v>
      </c>
      <c r="U37" s="566">
        <v>121199</v>
      </c>
      <c r="V37" s="568">
        <v>0.91854305137668912</v>
      </c>
    </row>
    <row r="38" spans="2:22">
      <c r="B38" s="1027" t="s">
        <v>332</v>
      </c>
      <c r="C38" s="872"/>
      <c r="D38" s="1028" t="s">
        <v>65</v>
      </c>
      <c r="E38" s="872">
        <f>D6-E37</f>
        <v>10331</v>
      </c>
      <c r="F38" s="1029">
        <v>3.1248</v>
      </c>
      <c r="G38" s="1017">
        <f t="shared" si="11"/>
        <v>32282.308799999999</v>
      </c>
      <c r="I38" s="1105"/>
      <c r="K38" s="22" t="s">
        <v>280</v>
      </c>
      <c r="L38" s="491"/>
      <c r="M38" s="491" t="s">
        <v>65</v>
      </c>
      <c r="N38" s="562">
        <f>N28</f>
        <v>2.7078926404982528</v>
      </c>
      <c r="O38" s="562">
        <f>P28</f>
        <v>1.6085625309221667</v>
      </c>
      <c r="P38" s="566" t="e">
        <f>'2015 COP Forecast'!O38</f>
        <v>#REF!</v>
      </c>
      <c r="Q38" s="567" t="e">
        <f>1-Q37</f>
        <v>#REF!</v>
      </c>
      <c r="R38" s="491"/>
      <c r="S38" s="562">
        <v>2.7078926404982528</v>
      </c>
      <c r="T38" s="562">
        <v>1.6085625309221667</v>
      </c>
      <c r="U38" s="566">
        <v>10748</v>
      </c>
      <c r="V38" s="568">
        <v>8.1456948623310876E-2</v>
      </c>
    </row>
    <row r="39" spans="2:22">
      <c r="B39" s="1027" t="str">
        <f>B28</f>
        <v xml:space="preserve">Street Lights </v>
      </c>
      <c r="C39" s="872"/>
      <c r="D39" s="1028" t="s">
        <v>65</v>
      </c>
      <c r="E39" s="872">
        <f>D7</f>
        <v>2070</v>
      </c>
      <c r="F39" s="1029">
        <v>2.1093000000000002</v>
      </c>
      <c r="G39" s="1017">
        <f t="shared" si="11"/>
        <v>4366.2510000000002</v>
      </c>
      <c r="K39" s="569" t="s">
        <v>283</v>
      </c>
      <c r="L39" s="570"/>
      <c r="M39" s="570"/>
      <c r="N39" s="571" t="e">
        <f>N37*Q37+N38*Q38</f>
        <v>#REF!</v>
      </c>
      <c r="O39" s="571" t="e">
        <f>O37*Q37+O38*Q38</f>
        <v>#REF!</v>
      </c>
      <c r="P39" s="572" t="e">
        <f>SUM(P37:P38)</f>
        <v>#REF!</v>
      </c>
      <c r="Q39" s="573" t="e">
        <f>SUM(Q37:Q38)</f>
        <v>#REF!</v>
      </c>
      <c r="R39" s="508"/>
      <c r="S39" s="571">
        <v>2.4449479799409484</v>
      </c>
      <c r="T39" s="571">
        <v>1.4552912223442007</v>
      </c>
      <c r="U39" s="572">
        <v>131947</v>
      </c>
      <c r="V39" s="574">
        <v>1</v>
      </c>
    </row>
    <row r="40" spans="2:22">
      <c r="B40" s="1027" t="str">
        <f>B29</f>
        <v>Sentinel Lights</v>
      </c>
      <c r="C40" s="872"/>
      <c r="D40" s="1028" t="s">
        <v>65</v>
      </c>
      <c r="E40" s="872">
        <f>D8</f>
        <v>302</v>
      </c>
      <c r="F40" s="1029">
        <v>2.12</v>
      </c>
      <c r="G40" s="1017">
        <f t="shared" si="11"/>
        <v>640.24</v>
      </c>
      <c r="H40" s="1003"/>
    </row>
    <row r="41" spans="2:22">
      <c r="B41" s="1027" t="str">
        <f>B30</f>
        <v xml:space="preserve">Unmetered Loads </v>
      </c>
      <c r="C41" s="872"/>
      <c r="D41" s="1028" t="s">
        <v>64</v>
      </c>
      <c r="E41" s="872">
        <f>+E20+E30</f>
        <v>591132.84960000007</v>
      </c>
      <c r="F41" s="1029">
        <v>6.7000000000000002E-3</v>
      </c>
      <c r="G41" s="1017">
        <f t="shared" si="11"/>
        <v>3960.5900923200006</v>
      </c>
      <c r="H41" s="1003"/>
    </row>
    <row r="42" spans="2:22">
      <c r="B42" s="1018" t="s">
        <v>66</v>
      </c>
      <c r="C42" s="1019"/>
      <c r="D42" s="1020"/>
      <c r="E42" s="1019"/>
      <c r="F42" s="1021"/>
      <c r="G42" s="1015">
        <f>SUM(G35:G41)</f>
        <v>802540.03077172651</v>
      </c>
      <c r="H42" s="1004"/>
    </row>
    <row r="43" spans="2:22" ht="13.5" thickBot="1">
      <c r="B43" s="502"/>
      <c r="C43" s="502"/>
      <c r="D43" s="502"/>
      <c r="E43" s="502"/>
      <c r="F43" s="502"/>
      <c r="G43" s="502"/>
      <c r="H43" s="1004"/>
      <c r="J43" s="33"/>
    </row>
    <row r="44" spans="2:22" ht="13.5" thickTop="1">
      <c r="B44" s="1022" t="s">
        <v>74</v>
      </c>
      <c r="C44" s="1023"/>
      <c r="D44" s="1031" t="s">
        <v>72</v>
      </c>
      <c r="E44" s="1232">
        <v>2017</v>
      </c>
      <c r="F44" s="1233"/>
      <c r="G44" s="1234"/>
    </row>
    <row r="45" spans="2:22">
      <c r="B45" s="1009" t="s">
        <v>70</v>
      </c>
      <c r="C45" s="1025"/>
      <c r="D45" s="1030" t="s">
        <v>73</v>
      </c>
      <c r="E45" s="1010" t="s">
        <v>72</v>
      </c>
      <c r="F45" s="1006" t="s">
        <v>448</v>
      </c>
      <c r="G45" s="1007" t="s">
        <v>449</v>
      </c>
    </row>
    <row r="46" spans="2:22">
      <c r="B46" s="1027" t="str">
        <f>B35</f>
        <v xml:space="preserve">Residential </v>
      </c>
      <c r="C46" s="872"/>
      <c r="D46" s="1028" t="str">
        <f t="shared" ref="D46:E48" si="12">D35</f>
        <v>kWh</v>
      </c>
      <c r="E46" s="872">
        <f t="shared" si="12"/>
        <v>43795358.877645105</v>
      </c>
      <c r="F46" s="1029">
        <v>6.1000000000000004E-3</v>
      </c>
      <c r="G46" s="1017">
        <f t="shared" ref="G46:G52" si="13">E46*F46</f>
        <v>267151.68915363518</v>
      </c>
    </row>
    <row r="47" spans="2:22">
      <c r="B47" s="1027" t="str">
        <f>B36</f>
        <v>General Service &lt; 50 kW</v>
      </c>
      <c r="C47" s="872"/>
      <c r="D47" s="1028" t="str">
        <f t="shared" si="12"/>
        <v>kWh</v>
      </c>
      <c r="E47" s="872">
        <f t="shared" si="12"/>
        <v>22015175.175014503</v>
      </c>
      <c r="F47" s="1029">
        <v>5.5999999999999999E-3</v>
      </c>
      <c r="G47" s="1017">
        <f t="shared" si="13"/>
        <v>123284.98098008122</v>
      </c>
    </row>
    <row r="48" spans="2:22">
      <c r="B48" s="1027" t="str">
        <f>B37</f>
        <v>General Service 50 to 4,999 kW</v>
      </c>
      <c r="C48" s="872"/>
      <c r="D48" s="1028" t="str">
        <f t="shared" si="12"/>
        <v>kW</v>
      </c>
      <c r="E48" s="872">
        <f t="shared" si="12"/>
        <v>105146</v>
      </c>
      <c r="F48" s="1029">
        <v>2.2303999999999999</v>
      </c>
      <c r="G48" s="1017">
        <f t="shared" si="13"/>
        <v>234517.6384</v>
      </c>
    </row>
    <row r="49" spans="2:10">
      <c r="B49" s="1027" t="s">
        <v>332</v>
      </c>
      <c r="C49" s="872"/>
      <c r="D49" s="1028" t="s">
        <v>65</v>
      </c>
      <c r="E49" s="872">
        <f>E38</f>
        <v>10331</v>
      </c>
      <c r="F49" s="1029">
        <v>2.4861</v>
      </c>
      <c r="G49" s="1017">
        <f t="shared" si="13"/>
        <v>25683.899099999999</v>
      </c>
      <c r="I49" s="582"/>
    </row>
    <row r="50" spans="2:10">
      <c r="B50" s="1027" t="str">
        <f>B39</f>
        <v xml:space="preserve">Street Lights </v>
      </c>
      <c r="C50" s="872"/>
      <c r="D50" s="1028" t="str">
        <f>D39</f>
        <v>kW</v>
      </c>
      <c r="E50" s="872">
        <f>E39</f>
        <v>2070</v>
      </c>
      <c r="F50" s="1029">
        <v>1.7243999999999999</v>
      </c>
      <c r="G50" s="1017">
        <f t="shared" si="13"/>
        <v>3569.5079999999998</v>
      </c>
      <c r="I50" s="582"/>
    </row>
    <row r="51" spans="2:10">
      <c r="B51" s="1027" t="str">
        <f>B40</f>
        <v>Sentinel Lights</v>
      </c>
      <c r="C51" s="872"/>
      <c r="D51" s="1028" t="str">
        <f>D40</f>
        <v>kW</v>
      </c>
      <c r="E51" s="872">
        <f>E40</f>
        <v>302</v>
      </c>
      <c r="F51" s="1029">
        <v>1.7602</v>
      </c>
      <c r="G51" s="1017">
        <f t="shared" si="13"/>
        <v>531.58039999999994</v>
      </c>
      <c r="I51" s="582"/>
      <c r="J51" s="583"/>
    </row>
    <row r="52" spans="2:10">
      <c r="B52" s="1027" t="str">
        <f>B41</f>
        <v xml:space="preserve">Unmetered Loads </v>
      </c>
      <c r="C52" s="872"/>
      <c r="D52" s="1028" t="str">
        <f>D41</f>
        <v>kWh</v>
      </c>
      <c r="E52" s="872">
        <f>E41</f>
        <v>591132.84960000007</v>
      </c>
      <c r="F52" s="1029">
        <v>5.5999999999999999E-3</v>
      </c>
      <c r="G52" s="1017">
        <f t="shared" si="13"/>
        <v>3310.3439577600002</v>
      </c>
    </row>
    <row r="53" spans="2:10">
      <c r="B53" s="1018" t="s">
        <v>66</v>
      </c>
      <c r="C53" s="1019"/>
      <c r="D53" s="1020"/>
      <c r="E53" s="1019"/>
      <c r="F53" s="1021" t="s">
        <v>295</v>
      </c>
      <c r="G53" s="1015">
        <f>SUM(G46:G52)</f>
        <v>658049.63999147655</v>
      </c>
    </row>
    <row r="54" spans="2:10" ht="13.5" thickBot="1"/>
    <row r="55" spans="2:10" ht="13.5" thickTop="1">
      <c r="B55" s="1022" t="s">
        <v>75</v>
      </c>
      <c r="C55" s="1023"/>
      <c r="D55" s="1031" t="s">
        <v>72</v>
      </c>
      <c r="E55" s="1232">
        <v>2017</v>
      </c>
      <c r="F55" s="1233"/>
      <c r="G55" s="1234"/>
    </row>
    <row r="56" spans="2:10">
      <c r="B56" s="1009" t="s">
        <v>70</v>
      </c>
      <c r="C56" s="1025"/>
      <c r="D56" s="1030" t="s">
        <v>73</v>
      </c>
      <c r="E56" s="1010" t="s">
        <v>72</v>
      </c>
      <c r="F56" s="1006" t="s">
        <v>448</v>
      </c>
      <c r="G56" s="1007" t="s">
        <v>449</v>
      </c>
    </row>
    <row r="57" spans="2:10">
      <c r="B57" s="862" t="str">
        <f>B46</f>
        <v xml:space="preserve">Residential </v>
      </c>
      <c r="C57" s="863"/>
      <c r="D57" s="864" t="s">
        <v>64</v>
      </c>
      <c r="E57" s="863">
        <f t="shared" ref="E57:E62" si="14">E15+E25</f>
        <v>43795358.877645105</v>
      </c>
      <c r="F57" s="1029">
        <v>3.5999999999999999E-3</v>
      </c>
      <c r="G57" s="866">
        <f t="shared" ref="G57:G62" si="15">E57*F57</f>
        <v>157663.29195952238</v>
      </c>
    </row>
    <row r="58" spans="2:10">
      <c r="B58" s="862" t="str">
        <f>B47</f>
        <v>General Service &lt; 50 kW</v>
      </c>
      <c r="C58" s="863"/>
      <c r="D58" s="864" t="s">
        <v>64</v>
      </c>
      <c r="E58" s="863">
        <f t="shared" si="14"/>
        <v>22015175.175014503</v>
      </c>
      <c r="F58" s="1029">
        <f>F57</f>
        <v>3.5999999999999999E-3</v>
      </c>
      <c r="G58" s="866">
        <f t="shared" si="15"/>
        <v>79254.630630052212</v>
      </c>
    </row>
    <row r="59" spans="2:10">
      <c r="B59" s="862" t="str">
        <f>B48</f>
        <v>General Service 50 to 4,999 kW</v>
      </c>
      <c r="C59" s="863"/>
      <c r="D59" s="864" t="s">
        <v>64</v>
      </c>
      <c r="E59" s="863">
        <f t="shared" si="14"/>
        <v>42687466.956100002</v>
      </c>
      <c r="F59" s="1029">
        <f>F58</f>
        <v>3.5999999999999999E-3</v>
      </c>
      <c r="G59" s="866">
        <f t="shared" si="15"/>
        <v>153674.88104196</v>
      </c>
    </row>
    <row r="60" spans="2:10">
      <c r="B60" s="862" t="str">
        <f>B50</f>
        <v xml:space="preserve">Street Lights </v>
      </c>
      <c r="C60" s="863"/>
      <c r="D60" s="864" t="s">
        <v>64</v>
      </c>
      <c r="E60" s="863">
        <f t="shared" si="14"/>
        <v>836479.64020000002</v>
      </c>
      <c r="F60" s="1029">
        <f>F59</f>
        <v>3.5999999999999999E-3</v>
      </c>
      <c r="G60" s="866">
        <f t="shared" si="15"/>
        <v>3011.3267047200002</v>
      </c>
    </row>
    <row r="61" spans="2:10">
      <c r="B61" s="862" t="str">
        <f>B51</f>
        <v>Sentinel Lights</v>
      </c>
      <c r="C61" s="863"/>
      <c r="D61" s="864" t="s">
        <v>64</v>
      </c>
      <c r="E61" s="863">
        <f t="shared" si="14"/>
        <v>115537.18290000001</v>
      </c>
      <c r="F61" s="1029">
        <f>F60</f>
        <v>3.5999999999999999E-3</v>
      </c>
      <c r="G61" s="866">
        <f t="shared" si="15"/>
        <v>415.93385844000005</v>
      </c>
    </row>
    <row r="62" spans="2:10">
      <c r="B62" s="862" t="str">
        <f>B52</f>
        <v xml:space="preserve">Unmetered Loads </v>
      </c>
      <c r="C62" s="863"/>
      <c r="D62" s="864" t="s">
        <v>64</v>
      </c>
      <c r="E62" s="863">
        <f t="shared" si="14"/>
        <v>591132.84960000007</v>
      </c>
      <c r="F62" s="1029">
        <f>F61</f>
        <v>3.5999999999999999E-3</v>
      </c>
      <c r="G62" s="866">
        <f t="shared" si="15"/>
        <v>2128.07825856</v>
      </c>
    </row>
    <row r="63" spans="2:10">
      <c r="B63" s="867" t="s">
        <v>66</v>
      </c>
      <c r="C63" s="868"/>
      <c r="D63" s="869"/>
      <c r="E63" s="868">
        <f>SUM(E57:E62)</f>
        <v>110041150.68145962</v>
      </c>
      <c r="F63" s="870"/>
      <c r="G63" s="871">
        <f>SUM(G57:G62)</f>
        <v>396148.14245325455</v>
      </c>
    </row>
    <row r="64" spans="2:10" ht="13.5" thickBot="1">
      <c r="B64" s="41"/>
      <c r="C64" s="42"/>
      <c r="D64" s="43"/>
      <c r="E64" s="42"/>
      <c r="F64" s="44"/>
      <c r="G64" s="465"/>
    </row>
    <row r="65" spans="2:7" ht="13.5" thickTop="1">
      <c r="B65" s="1022" t="s">
        <v>450</v>
      </c>
      <c r="C65" s="1023"/>
      <c r="D65" s="1031" t="s">
        <v>72</v>
      </c>
      <c r="E65" s="1232">
        <v>2017</v>
      </c>
      <c r="F65" s="1233"/>
      <c r="G65" s="1234"/>
    </row>
    <row r="66" spans="2:7">
      <c r="B66" s="1009" t="s">
        <v>70</v>
      </c>
      <c r="C66" s="1025"/>
      <c r="D66" s="1030" t="s">
        <v>73</v>
      </c>
      <c r="E66" s="1010" t="s">
        <v>72</v>
      </c>
      <c r="F66" s="1006" t="s">
        <v>448</v>
      </c>
      <c r="G66" s="1007" t="s">
        <v>449</v>
      </c>
    </row>
    <row r="67" spans="2:7">
      <c r="B67" s="862" t="str">
        <f>B56</f>
        <v>Class per Load Forecast</v>
      </c>
      <c r="C67" s="863"/>
      <c r="D67" s="864" t="s">
        <v>64</v>
      </c>
      <c r="E67" s="863">
        <f t="shared" ref="E67:E72" si="16">E57</f>
        <v>43795358.877645105</v>
      </c>
      <c r="F67" s="1029">
        <v>0</v>
      </c>
      <c r="G67" s="866">
        <f t="shared" ref="G67:G72" si="17">E67*F67</f>
        <v>0</v>
      </c>
    </row>
    <row r="68" spans="2:7">
      <c r="B68" s="862" t="str">
        <f>B57</f>
        <v xml:space="preserve">Residential </v>
      </c>
      <c r="C68" s="863"/>
      <c r="D68" s="864" t="s">
        <v>64</v>
      </c>
      <c r="E68" s="863">
        <f t="shared" si="16"/>
        <v>22015175.175014503</v>
      </c>
      <c r="F68" s="1029">
        <f>F67</f>
        <v>0</v>
      </c>
      <c r="G68" s="866">
        <f t="shared" si="17"/>
        <v>0</v>
      </c>
    </row>
    <row r="69" spans="2:7">
      <c r="B69" s="862" t="str">
        <f>B58</f>
        <v>General Service &lt; 50 kW</v>
      </c>
      <c r="C69" s="863"/>
      <c r="D69" s="864" t="s">
        <v>64</v>
      </c>
      <c r="E69" s="863">
        <f t="shared" si="16"/>
        <v>42687466.956100002</v>
      </c>
      <c r="F69" s="1029">
        <f>F68</f>
        <v>0</v>
      </c>
      <c r="G69" s="866">
        <f t="shared" si="17"/>
        <v>0</v>
      </c>
    </row>
    <row r="70" spans="2:7">
      <c r="B70" s="862" t="str">
        <f>B60</f>
        <v xml:space="preserve">Street Lights </v>
      </c>
      <c r="C70" s="863"/>
      <c r="D70" s="864" t="s">
        <v>64</v>
      </c>
      <c r="E70" s="863">
        <f t="shared" si="16"/>
        <v>836479.64020000002</v>
      </c>
      <c r="F70" s="1029">
        <f>F69</f>
        <v>0</v>
      </c>
      <c r="G70" s="866">
        <f t="shared" si="17"/>
        <v>0</v>
      </c>
    </row>
    <row r="71" spans="2:7">
      <c r="B71" s="862" t="str">
        <f>B61</f>
        <v>Sentinel Lights</v>
      </c>
      <c r="C71" s="863"/>
      <c r="D71" s="864" t="s">
        <v>64</v>
      </c>
      <c r="E71" s="863">
        <f t="shared" si="16"/>
        <v>115537.18290000001</v>
      </c>
      <c r="F71" s="1029">
        <f>F70</f>
        <v>0</v>
      </c>
      <c r="G71" s="866">
        <f t="shared" si="17"/>
        <v>0</v>
      </c>
    </row>
    <row r="72" spans="2:7">
      <c r="B72" s="862" t="str">
        <f>B62</f>
        <v xml:space="preserve">Unmetered Loads </v>
      </c>
      <c r="C72" s="863"/>
      <c r="D72" s="864" t="s">
        <v>64</v>
      </c>
      <c r="E72" s="863">
        <f t="shared" si="16"/>
        <v>591132.84960000007</v>
      </c>
      <c r="F72" s="1029">
        <f>F71</f>
        <v>0</v>
      </c>
      <c r="G72" s="866">
        <f t="shared" si="17"/>
        <v>0</v>
      </c>
    </row>
    <row r="73" spans="2:7">
      <c r="B73" s="867" t="s">
        <v>66</v>
      </c>
      <c r="C73" s="868"/>
      <c r="D73" s="869"/>
      <c r="E73" s="868">
        <f>SUM(E67:E72)</f>
        <v>110041150.68145962</v>
      </c>
      <c r="F73" s="870"/>
      <c r="G73" s="871">
        <f>SUM(G67:G72)</f>
        <v>0</v>
      </c>
    </row>
    <row r="74" spans="2:7" ht="13.5" thickBot="1">
      <c r="B74" s="41"/>
      <c r="C74" s="42"/>
      <c r="D74" s="43"/>
      <c r="E74" s="42"/>
      <c r="F74" s="44"/>
      <c r="G74" s="465"/>
    </row>
    <row r="75" spans="2:7" ht="13.5" thickTop="1">
      <c r="B75" s="1022" t="s">
        <v>76</v>
      </c>
      <c r="C75" s="1023"/>
      <c r="D75" s="1031" t="s">
        <v>72</v>
      </c>
      <c r="E75" s="1232">
        <v>2017</v>
      </c>
      <c r="F75" s="1233"/>
      <c r="G75" s="1234"/>
    </row>
    <row r="76" spans="2:7">
      <c r="B76" s="1009" t="s">
        <v>70</v>
      </c>
      <c r="C76" s="1025"/>
      <c r="D76" s="1030" t="s">
        <v>73</v>
      </c>
      <c r="E76" s="1010" t="s">
        <v>72</v>
      </c>
      <c r="F76" s="1006" t="s">
        <v>448</v>
      </c>
      <c r="G76" s="1007" t="s">
        <v>449</v>
      </c>
    </row>
    <row r="77" spans="2:7">
      <c r="B77" s="862" t="str">
        <f t="shared" ref="B77:B82" si="18">B57</f>
        <v xml:space="preserve">Residential </v>
      </c>
      <c r="C77" s="863"/>
      <c r="D77" s="864" t="str">
        <f t="shared" ref="D77:E82" si="19">D57</f>
        <v>kWh</v>
      </c>
      <c r="E77" s="863">
        <f t="shared" si="19"/>
        <v>43795358.877645105</v>
      </c>
      <c r="F77" s="865">
        <v>2.0999999999999999E-3</v>
      </c>
      <c r="G77" s="866">
        <f t="shared" ref="G77:G82" si="20">E77*F77</f>
        <v>91970.253643054719</v>
      </c>
    </row>
    <row r="78" spans="2:7">
      <c r="B78" s="862" t="str">
        <f t="shared" si="18"/>
        <v>General Service &lt; 50 kW</v>
      </c>
      <c r="C78" s="863"/>
      <c r="D78" s="864" t="str">
        <f t="shared" si="19"/>
        <v>kWh</v>
      </c>
      <c r="E78" s="863">
        <f t="shared" si="19"/>
        <v>22015175.175014503</v>
      </c>
      <c r="F78" s="1029">
        <f>F77</f>
        <v>2.0999999999999999E-3</v>
      </c>
      <c r="G78" s="866">
        <f t="shared" si="20"/>
        <v>46231.867867530455</v>
      </c>
    </row>
    <row r="79" spans="2:7">
      <c r="B79" s="862" t="str">
        <f t="shared" si="18"/>
        <v>General Service 50 to 4,999 kW</v>
      </c>
      <c r="C79" s="863"/>
      <c r="D79" s="864" t="str">
        <f t="shared" si="19"/>
        <v>kWh</v>
      </c>
      <c r="E79" s="863">
        <f t="shared" si="19"/>
        <v>42687466.956100002</v>
      </c>
      <c r="F79" s="1029">
        <f>F78</f>
        <v>2.0999999999999999E-3</v>
      </c>
      <c r="G79" s="866">
        <f t="shared" si="20"/>
        <v>89643.680607810005</v>
      </c>
    </row>
    <row r="80" spans="2:7">
      <c r="B80" s="862" t="str">
        <f t="shared" si="18"/>
        <v xml:space="preserve">Street Lights </v>
      </c>
      <c r="C80" s="863"/>
      <c r="D80" s="864" t="str">
        <f t="shared" si="19"/>
        <v>kWh</v>
      </c>
      <c r="E80" s="863">
        <f t="shared" si="19"/>
        <v>836479.64020000002</v>
      </c>
      <c r="F80" s="1029">
        <f>F79</f>
        <v>2.0999999999999999E-3</v>
      </c>
      <c r="G80" s="866">
        <f t="shared" si="20"/>
        <v>1756.6072444199999</v>
      </c>
    </row>
    <row r="81" spans="2:9">
      <c r="B81" s="862" t="str">
        <f t="shared" si="18"/>
        <v>Sentinel Lights</v>
      </c>
      <c r="C81" s="863"/>
      <c r="D81" s="864" t="str">
        <f t="shared" si="19"/>
        <v>kWh</v>
      </c>
      <c r="E81" s="863">
        <f t="shared" si="19"/>
        <v>115537.18290000001</v>
      </c>
      <c r="F81" s="1029">
        <f>F80</f>
        <v>2.0999999999999999E-3</v>
      </c>
      <c r="G81" s="866">
        <f t="shared" si="20"/>
        <v>242.62808409000002</v>
      </c>
    </row>
    <row r="82" spans="2:9">
      <c r="B82" s="862" t="str">
        <f t="shared" si="18"/>
        <v xml:space="preserve">Unmetered Loads </v>
      </c>
      <c r="C82" s="863"/>
      <c r="D82" s="864" t="str">
        <f t="shared" si="19"/>
        <v>kWh</v>
      </c>
      <c r="E82" s="863">
        <f t="shared" si="19"/>
        <v>591132.84960000007</v>
      </c>
      <c r="F82" s="1029">
        <f>F81</f>
        <v>2.0999999999999999E-3</v>
      </c>
      <c r="G82" s="866">
        <f t="shared" si="20"/>
        <v>1241.3789841600001</v>
      </c>
    </row>
    <row r="83" spans="2:9" ht="13.5" customHeight="1">
      <c r="B83" s="867" t="s">
        <v>66</v>
      </c>
      <c r="C83" s="868"/>
      <c r="D83" s="869"/>
      <c r="E83" s="868">
        <f>SUM(E77:E82)</f>
        <v>110041150.68145962</v>
      </c>
      <c r="F83" s="870"/>
      <c r="G83" s="871">
        <f>SUM(G77:G82)</f>
        <v>231086.41643106521</v>
      </c>
    </row>
    <row r="84" spans="2:9" ht="13.5" customHeight="1" thickBot="1">
      <c r="B84" s="41"/>
      <c r="C84" s="42"/>
      <c r="D84" s="43"/>
      <c r="E84" s="42"/>
      <c r="F84" s="44"/>
      <c r="G84" s="465"/>
    </row>
    <row r="85" spans="2:9" ht="13.5" customHeight="1" thickTop="1">
      <c r="B85" s="1022" t="s">
        <v>271</v>
      </c>
      <c r="C85" s="1023"/>
      <c r="D85" s="1031" t="s">
        <v>72</v>
      </c>
      <c r="E85" s="1232">
        <v>2017</v>
      </c>
      <c r="F85" s="1233"/>
      <c r="G85" s="1234"/>
    </row>
    <row r="86" spans="2:9" ht="13.5" customHeight="1">
      <c r="B86" s="1009" t="s">
        <v>70</v>
      </c>
      <c r="C86" s="1025"/>
      <c r="D86" s="1030" t="s">
        <v>73</v>
      </c>
      <c r="E86" s="1010" t="s">
        <v>72</v>
      </c>
      <c r="F86" s="1006" t="s">
        <v>448</v>
      </c>
      <c r="G86" s="1007" t="s">
        <v>449</v>
      </c>
    </row>
    <row r="87" spans="2:9" ht="13.5" customHeight="1">
      <c r="B87" s="862" t="str">
        <f t="shared" ref="B87:B92" si="21">B77</f>
        <v xml:space="preserve">Residential </v>
      </c>
      <c r="C87" s="863"/>
      <c r="D87" s="864" t="str">
        <f>D35</f>
        <v>kWh</v>
      </c>
      <c r="E87" s="863">
        <f>C4</f>
        <v>40480043.329000004</v>
      </c>
      <c r="F87" s="865">
        <f>+'[29]Low Voltage Rates'!$E$6</f>
        <v>4.8948843975143612E-3</v>
      </c>
      <c r="G87" s="866">
        <f t="shared" ref="G87:G92" si="22">E87*F87</f>
        <v>198145.13250182741</v>
      </c>
    </row>
    <row r="88" spans="2:9" ht="13.5" customHeight="1">
      <c r="B88" s="862" t="str">
        <f t="shared" si="21"/>
        <v>General Service &lt; 50 kW</v>
      </c>
      <c r="C88" s="863"/>
      <c r="D88" s="864" t="str">
        <f>D36</f>
        <v>kWh</v>
      </c>
      <c r="E88" s="863">
        <f>C5</f>
        <v>20348622.955000002</v>
      </c>
      <c r="F88" s="865">
        <f>+'[29]Low Voltage Rates'!$E$7</f>
        <v>4.4936643184716098E-3</v>
      </c>
      <c r="G88" s="866">
        <f t="shared" si="22"/>
        <v>91439.880902915844</v>
      </c>
    </row>
    <row r="89" spans="2:9" ht="13.5" customHeight="1">
      <c r="B89" s="862" t="str">
        <f t="shared" si="21"/>
        <v>General Service 50 to 4,999 kW</v>
      </c>
      <c r="C89" s="863"/>
      <c r="D89" s="864" t="str">
        <f>D37</f>
        <v>kW</v>
      </c>
      <c r="E89" s="863">
        <f>D6</f>
        <v>115477</v>
      </c>
      <c r="F89" s="865">
        <f>+'[29]Low Voltage Rates'!$E$8</f>
        <v>1.6712439414846383</v>
      </c>
      <c r="G89" s="866">
        <f t="shared" si="22"/>
        <v>192990.23663082157</v>
      </c>
    </row>
    <row r="90" spans="2:9" ht="13.5" customHeight="1">
      <c r="B90" s="862" t="str">
        <f t="shared" si="21"/>
        <v xml:space="preserve">Street Lights </v>
      </c>
      <c r="C90" s="863"/>
      <c r="D90" s="864" t="str">
        <f>D39</f>
        <v>kW</v>
      </c>
      <c r="E90" s="863">
        <f>D7</f>
        <v>2070</v>
      </c>
      <c r="F90" s="865">
        <f>+'[29]Low Voltage Rates'!$E$9</f>
        <v>1.2789792375696041</v>
      </c>
      <c r="G90" s="866">
        <f t="shared" si="22"/>
        <v>2647.4870217690805</v>
      </c>
    </row>
    <row r="91" spans="2:9" ht="13.5" customHeight="1">
      <c r="B91" s="862" t="str">
        <f t="shared" si="21"/>
        <v>Sentinel Lights</v>
      </c>
      <c r="C91" s="863"/>
      <c r="D91" s="864" t="str">
        <f>D40</f>
        <v>kW</v>
      </c>
      <c r="E91" s="863">
        <f>D8</f>
        <v>302</v>
      </c>
      <c r="F91" s="865">
        <f>+'[29]Low Voltage Rates'!$E$10</f>
        <v>1.3055319264497893</v>
      </c>
      <c r="G91" s="866">
        <f t="shared" si="22"/>
        <v>394.27064178783638</v>
      </c>
    </row>
    <row r="92" spans="2:9" ht="13.5" customHeight="1">
      <c r="B92" s="862" t="str">
        <f t="shared" si="21"/>
        <v xml:space="preserve">Unmetered Loads </v>
      </c>
      <c r="C92" s="863"/>
      <c r="D92" s="864" t="str">
        <f>D41</f>
        <v>kWh</v>
      </c>
      <c r="E92" s="863">
        <f>C9</f>
        <v>546384</v>
      </c>
      <c r="F92" s="865">
        <f>+'[29]Low Voltage Rates'!$E$11</f>
        <v>4.493664328409132E-3</v>
      </c>
      <c r="G92" s="866">
        <f t="shared" si="22"/>
        <v>2455.266290413495</v>
      </c>
      <c r="H92" s="21"/>
      <c r="I92" s="584" t="s">
        <v>11</v>
      </c>
    </row>
    <row r="93" spans="2:9" ht="13.5" customHeight="1">
      <c r="B93" s="867" t="s">
        <v>66</v>
      </c>
      <c r="C93" s="868"/>
      <c r="D93" s="869"/>
      <c r="E93" s="868"/>
      <c r="F93" s="870"/>
      <c r="G93" s="871">
        <f>SUM(G87:G92)</f>
        <v>488072.27398953534</v>
      </c>
      <c r="H93" s="21">
        <f>'[18]Low Voltage Rates'!$B$12</f>
        <v>488072.27258133341</v>
      </c>
      <c r="I93" s="517">
        <f>G93-H93</f>
        <v>1.4082019333727658E-3</v>
      </c>
    </row>
    <row r="94" spans="2:9" ht="13.5" thickBot="1">
      <c r="B94" s="41"/>
      <c r="C94" s="42"/>
      <c r="D94" s="43"/>
      <c r="E94" s="42"/>
      <c r="F94" s="44"/>
      <c r="G94" s="465"/>
    </row>
    <row r="95" spans="2:9" ht="13.5" thickTop="1">
      <c r="B95" s="1022" t="s">
        <v>286</v>
      </c>
      <c r="C95" s="1023"/>
      <c r="D95" s="1031"/>
      <c r="E95" s="1232">
        <v>2017</v>
      </c>
      <c r="F95" s="1233"/>
      <c r="G95" s="1234"/>
    </row>
    <row r="96" spans="2:9">
      <c r="B96" s="1009" t="s">
        <v>70</v>
      </c>
      <c r="C96" s="1025"/>
      <c r="D96" s="1030" t="s">
        <v>272</v>
      </c>
      <c r="E96" s="1010" t="s">
        <v>72</v>
      </c>
      <c r="F96" s="1006" t="s">
        <v>448</v>
      </c>
      <c r="G96" s="1007" t="s">
        <v>449</v>
      </c>
    </row>
    <row r="97" spans="2:7">
      <c r="B97" s="1027" t="s">
        <v>1</v>
      </c>
      <c r="C97" s="1032"/>
      <c r="D97" s="1033"/>
      <c r="E97" s="872">
        <f>'Rate Class Customer Model'!B15</f>
        <v>5071</v>
      </c>
      <c r="F97" s="1034">
        <f>'2015 COP Forecast'!F85</f>
        <v>0.79</v>
      </c>
      <c r="G97" s="1017">
        <f>E97*F97*12</f>
        <v>48073.08</v>
      </c>
    </row>
    <row r="98" spans="2:7">
      <c r="B98" s="1027" t="s">
        <v>116</v>
      </c>
      <c r="C98" s="1032"/>
      <c r="D98" s="1035"/>
      <c r="E98" s="872">
        <f>'Rate Class Customer Model'!C15</f>
        <v>740</v>
      </c>
      <c r="F98" s="1034">
        <f>'2015 COP Forecast'!F86</f>
        <v>0.79</v>
      </c>
      <c r="G98" s="1017">
        <f>E98*F98*12</f>
        <v>7015.2000000000007</v>
      </c>
    </row>
    <row r="99" spans="2:7">
      <c r="B99" s="1018" t="s">
        <v>66</v>
      </c>
      <c r="C99" s="1036"/>
      <c r="D99" s="1037"/>
      <c r="E99" s="1036"/>
      <c r="F99" s="1038"/>
      <c r="G99" s="1015">
        <f>SUM(G97:G98)</f>
        <v>55088.28</v>
      </c>
    </row>
    <row r="100" spans="2:7" ht="13.5" customHeight="1">
      <c r="B100" s="41"/>
      <c r="C100" s="42"/>
      <c r="D100" s="43"/>
      <c r="E100" s="42"/>
      <c r="F100" s="44"/>
      <c r="G100" s="465"/>
    </row>
    <row r="101" spans="2:7" ht="13.5" thickBot="1">
      <c r="B101" s="41"/>
      <c r="C101" s="42"/>
      <c r="D101" s="43"/>
      <c r="E101" s="42"/>
      <c r="F101" s="44"/>
      <c r="G101" s="465"/>
    </row>
    <row r="102" spans="2:7" ht="13.5" thickTop="1">
      <c r="B102" s="1106" t="s">
        <v>533</v>
      </c>
      <c r="C102" s="1109" t="s">
        <v>449</v>
      </c>
    </row>
    <row r="103" spans="2:7">
      <c r="B103" s="1107"/>
      <c r="C103" s="872"/>
    </row>
    <row r="104" spans="2:7">
      <c r="B104" s="1107" t="s">
        <v>77</v>
      </c>
      <c r="C104" s="1017">
        <f>G21+G31</f>
        <v>12119847.856629074</v>
      </c>
    </row>
    <row r="105" spans="2:7">
      <c r="B105" s="1107" t="s">
        <v>79</v>
      </c>
      <c r="C105" s="1017">
        <f>G42</f>
        <v>802540.03077172651</v>
      </c>
    </row>
    <row r="106" spans="2:7">
      <c r="B106" s="1107" t="s">
        <v>80</v>
      </c>
      <c r="C106" s="1017">
        <f>G53</f>
        <v>658049.63999147655</v>
      </c>
    </row>
    <row r="107" spans="2:7">
      <c r="B107" s="1107" t="s">
        <v>78</v>
      </c>
      <c r="C107" s="1017">
        <f>G63</f>
        <v>396148.14245325455</v>
      </c>
    </row>
    <row r="108" spans="2:7">
      <c r="B108" s="1108" t="s">
        <v>451</v>
      </c>
      <c r="C108" s="1017">
        <f>G73</f>
        <v>0</v>
      </c>
    </row>
    <row r="109" spans="2:7">
      <c r="B109" s="1107" t="s">
        <v>81</v>
      </c>
      <c r="C109" s="1017">
        <f>G83</f>
        <v>231086.41643106521</v>
      </c>
    </row>
    <row r="110" spans="2:7">
      <c r="B110" s="1107" t="s">
        <v>82</v>
      </c>
      <c r="C110" s="1017">
        <f>G93</f>
        <v>488072.27398953534</v>
      </c>
    </row>
    <row r="111" spans="2:7">
      <c r="B111" s="1108" t="s">
        <v>115</v>
      </c>
      <c r="C111" s="1017">
        <f>G99</f>
        <v>55088.28</v>
      </c>
    </row>
    <row r="112" spans="2:7">
      <c r="B112" s="1108"/>
      <c r="C112" s="1017"/>
    </row>
    <row r="113" spans="2:5">
      <c r="B113" s="1039" t="s">
        <v>532</v>
      </c>
      <c r="C113" s="1019">
        <f>SUM(C104:C111)</f>
        <v>14750832.640266133</v>
      </c>
    </row>
    <row r="114" spans="2:5">
      <c r="D114" s="495"/>
    </row>
    <row r="115" spans="2:5">
      <c r="C115" s="495">
        <v>14946516.902720146</v>
      </c>
      <c r="D115" s="1131"/>
      <c r="E115" s="1105"/>
    </row>
  </sheetData>
  <mergeCells count="14">
    <mergeCell ref="E95:G95"/>
    <mergeCell ref="B1:E1"/>
    <mergeCell ref="C13:C14"/>
    <mergeCell ref="D13:D14"/>
    <mergeCell ref="C23:C24"/>
    <mergeCell ref="D23:D24"/>
    <mergeCell ref="E23:G23"/>
    <mergeCell ref="E13:G13"/>
    <mergeCell ref="E33:G33"/>
    <mergeCell ref="E44:G44"/>
    <mergeCell ref="E55:G55"/>
    <mergeCell ref="E75:G75"/>
    <mergeCell ref="E85:G85"/>
    <mergeCell ref="E65:G65"/>
  </mergeCells>
  <pageMargins left="0.7" right="0.7" top="0.75" bottom="0.75" header="0.3" footer="0.3"/>
  <pageSetup scale="32" orientation="portrait" r:id="rId1"/>
  <headerFooter>
    <oddFooter>&amp;Z&amp;F</oddFooter>
  </headerFooter>
  <legacyDrawing r:id="rId2"/>
</worksheet>
</file>

<file path=xl/worksheets/sheet13.xml><?xml version="1.0" encoding="utf-8"?>
<worksheet xmlns="http://schemas.openxmlformats.org/spreadsheetml/2006/main" xmlns:r="http://schemas.openxmlformats.org/officeDocument/2006/relationships">
  <sheetPr>
    <tabColor theme="9" tint="0.39997558519241921"/>
  </sheetPr>
  <dimension ref="A1:G50"/>
  <sheetViews>
    <sheetView topLeftCell="A7" workbookViewId="0">
      <selection activeCell="D21" sqref="D21"/>
    </sheetView>
  </sheetViews>
  <sheetFormatPr defaultRowHeight="12.75"/>
  <cols>
    <col min="1" max="1" width="4.140625" style="52" customWidth="1"/>
    <col min="2" max="2" width="68.85546875" style="52" customWidth="1"/>
    <col min="3" max="3" width="8.140625" style="52" customWidth="1"/>
    <col min="4" max="4" width="10.7109375" style="52" customWidth="1"/>
    <col min="5" max="16384" width="9.140625" style="52"/>
  </cols>
  <sheetData>
    <row r="1" spans="1:7">
      <c r="B1" s="6" t="s">
        <v>541</v>
      </c>
    </row>
    <row r="2" spans="1:7">
      <c r="B2" s="6"/>
    </row>
    <row r="3" spans="1:7">
      <c r="B3" s="1134" t="s">
        <v>538</v>
      </c>
    </row>
    <row r="4" spans="1:7">
      <c r="B4" s="1136" t="s">
        <v>568</v>
      </c>
    </row>
    <row r="5" spans="1:7">
      <c r="B5" s="1134" t="s">
        <v>537</v>
      </c>
    </row>
    <row r="6" spans="1:7">
      <c r="B6" s="1135" t="s">
        <v>569</v>
      </c>
    </row>
    <row r="7" spans="1:7" ht="15.75" thickBot="1">
      <c r="B7" s="1132"/>
    </row>
    <row r="8" spans="1:7" ht="17.100000000000001" customHeight="1" thickTop="1">
      <c r="A8" s="1110"/>
      <c r="B8" s="1111" t="s">
        <v>521</v>
      </c>
      <c r="C8" s="1112"/>
      <c r="D8" s="1113"/>
      <c r="G8" s="52" t="s">
        <v>535</v>
      </c>
    </row>
    <row r="9" spans="1:7" ht="17.100000000000001" customHeight="1">
      <c r="A9" s="1114"/>
      <c r="B9" s="1115" t="s">
        <v>570</v>
      </c>
      <c r="C9" s="575"/>
      <c r="D9" s="1116"/>
      <c r="G9" s="1133">
        <v>42309</v>
      </c>
    </row>
    <row r="10" spans="1:7" ht="17.100000000000001" customHeight="1">
      <c r="A10" s="1117"/>
      <c r="B10" s="1118" t="s">
        <v>529</v>
      </c>
      <c r="C10" s="1118"/>
      <c r="D10" s="1119">
        <v>22.59</v>
      </c>
      <c r="G10" s="52" t="s">
        <v>536</v>
      </c>
    </row>
    <row r="11" spans="1:7" ht="17.100000000000001" customHeight="1">
      <c r="A11" s="1114" t="s">
        <v>522</v>
      </c>
      <c r="B11" s="575"/>
      <c r="C11" s="575"/>
      <c r="D11" s="1120">
        <v>24.63</v>
      </c>
      <c r="G11" s="1133">
        <v>42674</v>
      </c>
    </row>
    <row r="12" spans="1:7" ht="17.100000000000001" customHeight="1">
      <c r="A12" s="1114"/>
      <c r="B12" s="575" t="s">
        <v>523</v>
      </c>
      <c r="C12" s="1121" t="s">
        <v>524</v>
      </c>
      <c r="D12" s="1120">
        <v>84.5</v>
      </c>
      <c r="G12" s="52" t="s">
        <v>537</v>
      </c>
    </row>
    <row r="13" spans="1:7" ht="17.100000000000001" customHeight="1">
      <c r="A13" s="1114"/>
      <c r="B13" s="575" t="s">
        <v>525</v>
      </c>
      <c r="C13" s="1121" t="s">
        <v>524</v>
      </c>
      <c r="D13" s="1120">
        <v>1</v>
      </c>
      <c r="G13" s="1133">
        <v>42292</v>
      </c>
    </row>
    <row r="14" spans="1:7" ht="17.100000000000001" customHeight="1">
      <c r="A14" s="1114"/>
      <c r="B14" s="575" t="s">
        <v>526</v>
      </c>
      <c r="C14" s="1121" t="s">
        <v>524</v>
      </c>
      <c r="D14" s="1120">
        <v>2.2599999999999998</v>
      </c>
    </row>
    <row r="15" spans="1:7" ht="17.100000000000001" customHeight="1" thickBot="1">
      <c r="A15" s="1122" t="s">
        <v>528</v>
      </c>
      <c r="B15" s="1123"/>
      <c r="C15" s="1124" t="s">
        <v>527</v>
      </c>
      <c r="D15" s="1125">
        <v>112.39</v>
      </c>
      <c r="E15" s="1126">
        <f>SUM(D11:D14)</f>
        <v>112.39</v>
      </c>
      <c r="G15" s="1126"/>
    </row>
    <row r="16" spans="1:7" ht="17.100000000000001" customHeight="1" thickTop="1">
      <c r="A16" s="1114"/>
      <c r="B16" s="575"/>
      <c r="C16" s="575"/>
      <c r="D16" s="1116"/>
    </row>
    <row r="17" spans="1:4" ht="17.100000000000001" customHeight="1">
      <c r="A17" s="1114"/>
      <c r="B17" s="1127" t="s">
        <v>530</v>
      </c>
      <c r="C17" s="575"/>
      <c r="D17" s="1116"/>
    </row>
    <row r="18" spans="1:4" ht="17.100000000000001" customHeight="1">
      <c r="A18" s="1114"/>
      <c r="B18" s="1115" t="s">
        <v>570</v>
      </c>
      <c r="C18" s="575"/>
      <c r="D18" s="1116"/>
    </row>
    <row r="19" spans="1:4" ht="17.100000000000001" customHeight="1">
      <c r="A19" s="1117"/>
      <c r="B19" s="1118" t="s">
        <v>529</v>
      </c>
      <c r="C19" s="1118"/>
      <c r="D19" s="1119">
        <f>D10</f>
        <v>22.59</v>
      </c>
    </row>
    <row r="20" spans="1:4" ht="17.100000000000001" customHeight="1">
      <c r="A20" s="1114" t="s">
        <v>522</v>
      </c>
      <c r="B20" s="575"/>
      <c r="C20" s="575"/>
      <c r="D20" s="1120"/>
    </row>
    <row r="21" spans="1:4" ht="17.100000000000001" customHeight="1">
      <c r="A21" s="1114"/>
      <c r="B21" s="575" t="s">
        <v>523</v>
      </c>
      <c r="C21" s="1121" t="s">
        <v>524</v>
      </c>
      <c r="D21" s="1120">
        <f>D12</f>
        <v>84.5</v>
      </c>
    </row>
    <row r="22" spans="1:4" ht="17.100000000000001" customHeight="1">
      <c r="A22" s="1114"/>
      <c r="B22" s="575" t="s">
        <v>525</v>
      </c>
      <c r="C22" s="1121"/>
      <c r="D22" s="1120"/>
    </row>
    <row r="23" spans="1:4" ht="17.100000000000001" customHeight="1">
      <c r="A23" s="1114"/>
      <c r="B23" s="575" t="s">
        <v>526</v>
      </c>
      <c r="C23" s="1121"/>
      <c r="D23" s="1120"/>
    </row>
    <row r="24" spans="1:4" ht="17.100000000000001" customHeight="1" thickBot="1">
      <c r="A24" s="1122" t="s">
        <v>528</v>
      </c>
      <c r="B24" s="1123"/>
      <c r="C24" s="1124" t="s">
        <v>527</v>
      </c>
      <c r="D24" s="1137">
        <f>SUM(D19:D23)</f>
        <v>107.09</v>
      </c>
    </row>
    <row r="25" spans="1:4" ht="17.100000000000001" customHeight="1" thickTop="1">
      <c r="A25" s="1128"/>
      <c r="B25" s="1129"/>
      <c r="C25" s="1129"/>
      <c r="D25" s="1130"/>
    </row>
    <row r="26" spans="1:4" ht="17.100000000000001" customHeight="1">
      <c r="A26" s="575"/>
      <c r="B26" s="575"/>
      <c r="C26" s="575"/>
      <c r="D26" s="575"/>
    </row>
    <row r="28" spans="1:4">
      <c r="B28" s="1134" t="s">
        <v>538</v>
      </c>
    </row>
    <row r="29" spans="1:4">
      <c r="B29" s="1136" t="s">
        <v>540</v>
      </c>
    </row>
    <row r="30" spans="1:4">
      <c r="B30" s="1134" t="s">
        <v>537</v>
      </c>
    </row>
    <row r="31" spans="1:4">
      <c r="B31" s="1135" t="s">
        <v>539</v>
      </c>
    </row>
    <row r="32" spans="1:4" ht="13.5" thickBot="1">
      <c r="B32" s="1135"/>
    </row>
    <row r="33" spans="1:5" ht="13.5" thickTop="1">
      <c r="A33" s="1110"/>
      <c r="B33" s="1111" t="s">
        <v>521</v>
      </c>
      <c r="C33" s="1112"/>
      <c r="D33" s="1113"/>
    </row>
    <row r="34" spans="1:5">
      <c r="A34" s="1114"/>
      <c r="B34" s="1115" t="s">
        <v>534</v>
      </c>
      <c r="C34" s="575"/>
      <c r="D34" s="1116"/>
    </row>
    <row r="35" spans="1:5">
      <c r="A35" s="1117"/>
      <c r="B35" s="1118" t="s">
        <v>529</v>
      </c>
      <c r="C35" s="1118"/>
      <c r="D35" s="1119">
        <v>18.82</v>
      </c>
    </row>
    <row r="36" spans="1:5">
      <c r="A36" s="1114" t="s">
        <v>522</v>
      </c>
      <c r="B36" s="575"/>
      <c r="C36" s="575"/>
      <c r="D36" s="1120">
        <v>20.57</v>
      </c>
    </row>
    <row r="37" spans="1:5">
      <c r="A37" s="1114"/>
      <c r="B37" s="575" t="s">
        <v>523</v>
      </c>
      <c r="C37" s="1121" t="s">
        <v>524</v>
      </c>
      <c r="D37" s="1120">
        <v>87.92</v>
      </c>
    </row>
    <row r="38" spans="1:5">
      <c r="A38" s="1114"/>
      <c r="B38" s="575" t="s">
        <v>525</v>
      </c>
      <c r="C38" s="1121" t="s">
        <v>524</v>
      </c>
      <c r="D38" s="1120">
        <v>1</v>
      </c>
    </row>
    <row r="39" spans="1:5">
      <c r="A39" s="1114"/>
      <c r="B39" s="575" t="s">
        <v>526</v>
      </c>
      <c r="C39" s="1121" t="s">
        <v>524</v>
      </c>
      <c r="D39" s="1120">
        <v>-2.2200000000000002</v>
      </c>
    </row>
    <row r="40" spans="1:5" ht="13.5" thickBot="1">
      <c r="A40" s="1122" t="s">
        <v>528</v>
      </c>
      <c r="B40" s="1123"/>
      <c r="C40" s="1124" t="s">
        <v>527</v>
      </c>
      <c r="D40" s="1137">
        <v>107.28</v>
      </c>
      <c r="E40" s="1126">
        <f>SUM(D36:D39)</f>
        <v>107.27000000000001</v>
      </c>
    </row>
    <row r="41" spans="1:5" ht="13.5" thickTop="1">
      <c r="A41" s="1114"/>
      <c r="B41" s="575"/>
      <c r="C41" s="575"/>
      <c r="D41" s="1116"/>
    </row>
    <row r="42" spans="1:5">
      <c r="A42" s="1114"/>
      <c r="B42" s="1127" t="s">
        <v>530</v>
      </c>
      <c r="C42" s="575"/>
      <c r="D42" s="1116"/>
    </row>
    <row r="43" spans="1:5">
      <c r="A43" s="1114"/>
      <c r="B43" s="1115" t="str">
        <f>B34</f>
        <v>for the period from November 1, 2015 through October 31, 2016</v>
      </c>
      <c r="C43" s="575"/>
      <c r="D43" s="1116"/>
    </row>
    <row r="44" spans="1:5">
      <c r="A44" s="1117"/>
      <c r="B44" s="1118" t="s">
        <v>529</v>
      </c>
      <c r="C44" s="1118"/>
      <c r="D44" s="1119">
        <f>D35</f>
        <v>18.82</v>
      </c>
    </row>
    <row r="45" spans="1:5">
      <c r="A45" s="1114" t="s">
        <v>522</v>
      </c>
      <c r="B45" s="575"/>
      <c r="C45" s="575"/>
      <c r="D45" s="1120"/>
    </row>
    <row r="46" spans="1:5">
      <c r="A46" s="1114"/>
      <c r="B46" s="575" t="s">
        <v>523</v>
      </c>
      <c r="C46" s="1121" t="s">
        <v>524</v>
      </c>
      <c r="D46" s="1120">
        <f>D37</f>
        <v>87.92</v>
      </c>
    </row>
    <row r="47" spans="1:5">
      <c r="A47" s="1114"/>
      <c r="B47" s="575" t="s">
        <v>525</v>
      </c>
      <c r="C47" s="1121"/>
      <c r="D47" s="1120"/>
    </row>
    <row r="48" spans="1:5">
      <c r="A48" s="1114"/>
      <c r="B48" s="575" t="s">
        <v>526</v>
      </c>
      <c r="C48" s="1121"/>
      <c r="D48" s="1120"/>
    </row>
    <row r="49" spans="1:4" ht="13.5" thickBot="1">
      <c r="A49" s="1122" t="s">
        <v>528</v>
      </c>
      <c r="B49" s="1123"/>
      <c r="C49" s="1124" t="s">
        <v>527</v>
      </c>
      <c r="D49" s="1125">
        <f>SUM(D44:D48)</f>
        <v>106.74000000000001</v>
      </c>
    </row>
    <row r="50" spans="1:4" ht="13.5" thickTop="1">
      <c r="A50" s="1128"/>
      <c r="B50" s="1129"/>
      <c r="C50" s="1129"/>
      <c r="D50" s="1130"/>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sheetPr>
    <tabColor theme="9" tint="0.39997558519241921"/>
  </sheetPr>
  <dimension ref="B1:BK171"/>
  <sheetViews>
    <sheetView topLeftCell="A10" zoomScaleNormal="100" workbookViewId="0">
      <pane xSplit="2" topLeftCell="C1" activePane="topRight" state="frozen"/>
      <selection activeCell="A4" sqref="A4"/>
      <selection pane="topRight" activeCell="Y42" sqref="Y42"/>
    </sheetView>
  </sheetViews>
  <sheetFormatPr defaultRowHeight="12.75"/>
  <cols>
    <col min="1" max="1" width="2.7109375" style="82" customWidth="1"/>
    <col min="2" max="2" width="15.7109375" style="79" customWidth="1"/>
    <col min="3" max="3" width="14.42578125" style="80" customWidth="1"/>
    <col min="4" max="5" width="14.42578125" style="79" customWidth="1"/>
    <col min="6" max="7" width="14.42578125" style="79" hidden="1" customWidth="1"/>
    <col min="8" max="8" width="15" style="79" customWidth="1"/>
    <col min="9" max="9" width="3.28515625" style="149" customWidth="1"/>
    <col min="10" max="10" width="13.28515625" style="81" customWidth="1"/>
    <col min="11" max="11" width="11.85546875" style="81" customWidth="1"/>
    <col min="12" max="12" width="14.42578125" style="81" customWidth="1"/>
    <col min="13" max="13" width="13" style="81" customWidth="1"/>
    <col min="14" max="16" width="12.7109375" style="81" customWidth="1"/>
    <col min="17" max="17" width="5.7109375" style="1083" customWidth="1"/>
    <col min="18" max="18" width="12.42578125" style="81" customWidth="1"/>
    <col min="19" max="22" width="14.42578125" style="81" hidden="1" customWidth="1"/>
    <col min="23" max="25" width="14.42578125" style="81" customWidth="1"/>
    <col min="26" max="26" width="11.5703125" style="82" customWidth="1"/>
    <col min="27" max="27" width="25" style="82" customWidth="1"/>
    <col min="28" max="28" width="25.5703125" style="82" customWidth="1"/>
    <col min="29" max="29" width="18" style="82" bestFit="1" customWidth="1"/>
    <col min="30" max="30" width="14.5703125" style="82" customWidth="1"/>
    <col min="31" max="31" width="13.42578125" style="82" customWidth="1"/>
    <col min="32" max="33" width="14.85546875" style="82" customWidth="1"/>
    <col min="34" max="34" width="12.7109375" style="82" customWidth="1"/>
    <col min="35" max="35" width="12.28515625" style="82" bestFit="1" customWidth="1"/>
    <col min="36" max="36" width="11.85546875" style="82" bestFit="1" customWidth="1"/>
    <col min="37" max="16384" width="9.140625" style="82"/>
  </cols>
  <sheetData>
    <row r="1" spans="2:47">
      <c r="AL1" s="83"/>
      <c r="AM1" s="83"/>
      <c r="AN1" s="83"/>
      <c r="AO1" s="83"/>
      <c r="AP1" s="83"/>
      <c r="AQ1" s="83"/>
      <c r="AR1" s="83"/>
      <c r="AS1" s="83"/>
      <c r="AT1" s="83"/>
    </row>
    <row r="2" spans="2:47" ht="23.25">
      <c r="B2" s="84" t="s">
        <v>127</v>
      </c>
      <c r="C2" s="85"/>
      <c r="D2" s="86"/>
      <c r="E2" s="481" t="s">
        <v>277</v>
      </c>
      <c r="F2" s="86"/>
      <c r="G2" s="86"/>
      <c r="H2" s="86"/>
      <c r="I2" s="367"/>
      <c r="J2" s="87"/>
      <c r="K2" s="87"/>
      <c r="L2" s="87"/>
      <c r="M2" s="87"/>
      <c r="N2" s="87"/>
      <c r="O2" s="87"/>
      <c r="P2" s="87"/>
      <c r="Q2" s="1084"/>
      <c r="R2" s="87"/>
      <c r="S2" s="87"/>
      <c r="T2" s="87"/>
      <c r="U2" s="87"/>
      <c r="V2" s="87"/>
      <c r="W2" s="87"/>
      <c r="X2" s="87"/>
      <c r="Y2" s="87"/>
      <c r="AA2" s="89"/>
      <c r="AB2" s="88"/>
      <c r="AC2" s="88"/>
      <c r="AD2" s="88"/>
      <c r="AE2" s="88"/>
      <c r="AF2" s="88"/>
      <c r="AG2" s="88"/>
      <c r="AH2" s="88"/>
      <c r="AI2" s="88"/>
      <c r="AJ2" s="88"/>
      <c r="AK2" s="88"/>
      <c r="AL2" s="83"/>
      <c r="AM2" s="83"/>
      <c r="AN2" s="83"/>
      <c r="AO2" s="83"/>
      <c r="AP2" s="83"/>
      <c r="AQ2" s="83"/>
      <c r="AR2" s="83"/>
      <c r="AS2" s="83"/>
      <c r="AT2" s="83"/>
    </row>
    <row r="3" spans="2:47" ht="15">
      <c r="C3" s="85"/>
      <c r="D3" s="86"/>
      <c r="E3" s="86"/>
      <c r="F3" s="86"/>
      <c r="G3" s="86"/>
      <c r="H3" s="86"/>
      <c r="I3" s="367"/>
      <c r="J3" s="87"/>
      <c r="K3" s="87"/>
      <c r="L3" s="87"/>
      <c r="M3" s="87"/>
      <c r="N3" s="87"/>
      <c r="O3" s="87"/>
      <c r="P3" s="87"/>
      <c r="Q3" s="1084"/>
      <c r="R3" s="87"/>
      <c r="S3" s="87"/>
      <c r="T3" s="87"/>
      <c r="U3" s="87"/>
      <c r="V3" s="87"/>
      <c r="W3" s="87"/>
      <c r="X3" s="87"/>
      <c r="Y3" s="87"/>
      <c r="Z3" s="88"/>
      <c r="AA3" s="89"/>
      <c r="AB3" s="89"/>
      <c r="AC3" s="89"/>
      <c r="AD3" s="88"/>
      <c r="AE3" s="88"/>
      <c r="AF3" s="88"/>
      <c r="AG3" s="88"/>
      <c r="AH3" s="88"/>
      <c r="AI3" s="88"/>
      <c r="AJ3" s="88"/>
      <c r="AK3" s="88"/>
      <c r="AL3" s="83"/>
      <c r="AM3" s="83"/>
      <c r="AN3" s="83"/>
      <c r="AO3" s="83"/>
      <c r="AP3" s="83"/>
      <c r="AQ3" s="83"/>
      <c r="AR3" s="83"/>
      <c r="AS3" s="83"/>
      <c r="AT3" s="83"/>
    </row>
    <row r="4" spans="2:47" ht="13.5" customHeight="1">
      <c r="C4" s="90"/>
      <c r="D4" s="84"/>
      <c r="E4" s="84"/>
      <c r="F4" s="84"/>
      <c r="G4" s="84"/>
      <c r="H4" s="86"/>
      <c r="I4" s="367"/>
      <c r="J4" s="87"/>
      <c r="K4" s="87"/>
      <c r="L4" s="87"/>
      <c r="M4" s="87"/>
      <c r="N4" s="87"/>
      <c r="O4" s="87"/>
      <c r="P4" s="87"/>
      <c r="Q4" s="1084"/>
      <c r="R4" s="87"/>
      <c r="S4" s="87"/>
      <c r="T4" s="87"/>
      <c r="U4" s="87"/>
      <c r="V4" s="87"/>
      <c r="W4" s="87"/>
      <c r="X4" s="87"/>
      <c r="Y4" s="87"/>
      <c r="Z4" s="88"/>
      <c r="AA4" s="88"/>
      <c r="AB4" s="88"/>
      <c r="AC4" s="88"/>
      <c r="AD4" s="88"/>
      <c r="AE4" s="88"/>
      <c r="AF4" s="88"/>
      <c r="AG4" s="88"/>
      <c r="AH4" s="88"/>
      <c r="AI4" s="88"/>
      <c r="AJ4" s="88"/>
      <c r="AK4" s="88"/>
      <c r="AL4" s="83"/>
      <c r="AM4" s="83"/>
      <c r="AN4" s="83"/>
      <c r="AO4" s="83"/>
      <c r="AP4" s="83"/>
      <c r="AQ4" s="83"/>
      <c r="AR4" s="83"/>
      <c r="AS4" s="83"/>
      <c r="AT4" s="83"/>
    </row>
    <row r="5" spans="2:47" s="92" customFormat="1" ht="21" customHeight="1">
      <c r="B5" s="93"/>
      <c r="C5" s="482" t="s">
        <v>276</v>
      </c>
      <c r="D5" s="482" t="s">
        <v>163</v>
      </c>
      <c r="E5" s="482" t="s">
        <v>129</v>
      </c>
      <c r="F5" s="94" t="s">
        <v>130</v>
      </c>
      <c r="G5" s="95" t="s">
        <v>130</v>
      </c>
      <c r="H5" s="96" t="s">
        <v>265</v>
      </c>
      <c r="I5" s="368"/>
      <c r="J5" s="482" t="s">
        <v>131</v>
      </c>
      <c r="K5" s="482" t="s">
        <v>132</v>
      </c>
      <c r="L5" s="482" t="s">
        <v>3</v>
      </c>
      <c r="M5" s="482" t="s">
        <v>133</v>
      </c>
      <c r="N5" s="482" t="s">
        <v>134</v>
      </c>
      <c r="O5" s="1096"/>
      <c r="P5" s="1086"/>
      <c r="Q5" s="1087"/>
      <c r="R5" s="1088" t="s">
        <v>97</v>
      </c>
      <c r="S5" s="98"/>
      <c r="T5" s="1089"/>
      <c r="U5" s="1089"/>
      <c r="V5" s="98"/>
      <c r="W5" s="482" t="s">
        <v>515</v>
      </c>
      <c r="X5" s="482" t="s">
        <v>516</v>
      </c>
      <c r="Y5" s="1090"/>
      <c r="Z5" s="1102" t="s">
        <v>517</v>
      </c>
      <c r="AA5" t="s">
        <v>14</v>
      </c>
      <c r="AB5"/>
      <c r="AC5"/>
      <c r="AD5"/>
      <c r="AE5"/>
      <c r="AF5"/>
      <c r="AG5"/>
      <c r="AH5"/>
      <c r="AI5"/>
      <c r="AJ5" s="99"/>
      <c r="AK5" s="91"/>
      <c r="AL5" s="83"/>
      <c r="AM5" s="83"/>
      <c r="AN5" s="83"/>
      <c r="AO5" s="83"/>
      <c r="AP5" s="83"/>
      <c r="AQ5" s="83"/>
      <c r="AR5" s="83"/>
      <c r="AS5" s="83"/>
      <c r="AT5" s="83"/>
      <c r="AU5" s="82"/>
    </row>
    <row r="6" spans="2:47" ht="13.5" thickBot="1">
      <c r="B6" s="373">
        <v>38353</v>
      </c>
      <c r="C6" s="101">
        <f>[21]Sheet1!G5</f>
        <v>14043460</v>
      </c>
      <c r="D6" s="108">
        <f>[21]Sheet1!F5</f>
        <v>-444000</v>
      </c>
      <c r="E6" s="102"/>
      <c r="F6" s="102"/>
      <c r="G6" s="103"/>
      <c r="H6" s="104">
        <f t="shared" ref="H6:H37" si="0">SUM(C6:G6)</f>
        <v>13599460</v>
      </c>
      <c r="I6" s="369"/>
      <c r="J6" s="214">
        <f>'HDD &amp; CDD'!L6</f>
        <v>920.6999999999997</v>
      </c>
      <c r="K6" s="214">
        <f>'HDD &amp; CDD'!L24</f>
        <v>0</v>
      </c>
      <c r="L6" s="485">
        <f>DAY(EOMONTH(B6,0))</f>
        <v>31</v>
      </c>
      <c r="M6" s="214">
        <v>0</v>
      </c>
      <c r="N6" s="485">
        <f>[22]Sheet1!C4</f>
        <v>1</v>
      </c>
      <c r="O6" s="1095"/>
      <c r="P6" s="1082"/>
      <c r="Q6" s="1091"/>
      <c r="R6" s="163">
        <v>0</v>
      </c>
      <c r="S6" s="105"/>
      <c r="T6" s="105"/>
      <c r="U6" s="105"/>
      <c r="V6" s="1092"/>
      <c r="W6" s="1093">
        <f>[30]GDP!D29</f>
        <v>100.23851279739272</v>
      </c>
      <c r="X6" s="1097">
        <f>'[30]Customer Count'!L25</f>
        <v>5705.666666666667</v>
      </c>
      <c r="Y6" s="1098"/>
      <c r="Z6" s="375"/>
      <c r="AA6"/>
      <c r="AB6"/>
      <c r="AC6"/>
      <c r="AD6"/>
      <c r="AE6"/>
      <c r="AF6"/>
      <c r="AG6"/>
      <c r="AH6"/>
      <c r="AI6"/>
      <c r="AJ6" s="107"/>
      <c r="AK6" s="88"/>
      <c r="AL6" s="83"/>
      <c r="AM6" s="83"/>
      <c r="AN6" s="83"/>
      <c r="AO6" s="83"/>
      <c r="AP6" s="83"/>
      <c r="AQ6" s="83"/>
      <c r="AR6" s="83"/>
      <c r="AS6" s="83"/>
      <c r="AT6" s="83"/>
    </row>
    <row r="7" spans="2:47">
      <c r="B7" s="100">
        <f>EOMONTH(B6,1)</f>
        <v>38411</v>
      </c>
      <c r="C7" s="108">
        <f>[21]Sheet1!G6</f>
        <v>12095730</v>
      </c>
      <c r="D7" s="108">
        <f>[21]Sheet1!F6</f>
        <v>-498000</v>
      </c>
      <c r="E7" s="102"/>
      <c r="F7" s="109"/>
      <c r="G7" s="109"/>
      <c r="H7" s="110">
        <f t="shared" si="0"/>
        <v>11597730</v>
      </c>
      <c r="I7" s="369"/>
      <c r="J7" s="214">
        <f>'HDD &amp; CDD'!L7</f>
        <v>700.60000000000014</v>
      </c>
      <c r="K7" s="214">
        <f>'HDD &amp; CDD'!L25</f>
        <v>0</v>
      </c>
      <c r="L7" s="485">
        <f t="shared" ref="L7:L70" si="1">DAY(EOMONTH(B7,0))</f>
        <v>28</v>
      </c>
      <c r="M7" s="214">
        <v>0</v>
      </c>
      <c r="N7" s="485">
        <f>[22]Sheet1!C5</f>
        <v>0</v>
      </c>
      <c r="O7" s="1095"/>
      <c r="P7" s="1082"/>
      <c r="Q7" s="1091"/>
      <c r="R7" s="163">
        <v>0</v>
      </c>
      <c r="S7" s="105"/>
      <c r="T7" s="105"/>
      <c r="U7" s="105"/>
      <c r="V7" s="1092"/>
      <c r="W7" s="1093">
        <f>[30]GDP!D30</f>
        <v>100.47759447833063</v>
      </c>
      <c r="X7" s="1097">
        <f>'[30]Customer Count'!L26</f>
        <v>5711.3333333333339</v>
      </c>
      <c r="Y7" s="1098"/>
      <c r="Z7" s="375"/>
      <c r="AA7" s="19" t="s">
        <v>15</v>
      </c>
      <c r="AB7" s="19"/>
      <c r="AC7"/>
      <c r="AD7"/>
      <c r="AE7"/>
      <c r="AF7"/>
      <c r="AG7"/>
      <c r="AH7"/>
      <c r="AI7"/>
      <c r="AJ7" s="107"/>
      <c r="AK7" s="88"/>
      <c r="AL7" s="83"/>
      <c r="AM7" s="83"/>
      <c r="AN7" s="83"/>
      <c r="AO7" s="83"/>
      <c r="AP7" s="83"/>
      <c r="AQ7" s="83"/>
      <c r="AR7" s="83"/>
      <c r="AS7" s="83"/>
      <c r="AT7" s="83"/>
    </row>
    <row r="8" spans="2:47">
      <c r="B8" s="100">
        <f t="shared" ref="B8:B71" si="2">EOMONTH(B7,1)</f>
        <v>38442</v>
      </c>
      <c r="C8" s="108">
        <f>[21]Sheet1!G7</f>
        <v>12289830</v>
      </c>
      <c r="D8" s="108">
        <f>[21]Sheet1!F7</f>
        <v>-484000</v>
      </c>
      <c r="E8" s="102"/>
      <c r="F8" s="111"/>
      <c r="G8" s="112"/>
      <c r="H8" s="110">
        <f t="shared" si="0"/>
        <v>11805830</v>
      </c>
      <c r="I8" s="369"/>
      <c r="J8" s="214">
        <f>'HDD &amp; CDD'!L8</f>
        <v>668.8</v>
      </c>
      <c r="K8" s="214">
        <f>'HDD &amp; CDD'!L26</f>
        <v>0</v>
      </c>
      <c r="L8" s="485">
        <f t="shared" si="1"/>
        <v>31</v>
      </c>
      <c r="M8" s="214">
        <v>1</v>
      </c>
      <c r="N8" s="485">
        <f>[22]Sheet1!C6</f>
        <v>2</v>
      </c>
      <c r="O8" s="1095"/>
      <c r="P8" s="1082"/>
      <c r="Q8" s="1091"/>
      <c r="R8" s="163">
        <v>0</v>
      </c>
      <c r="S8" s="105"/>
      <c r="T8" s="105"/>
      <c r="U8" s="105"/>
      <c r="V8" s="1092"/>
      <c r="W8" s="1093">
        <f>[30]GDP!D31</f>
        <v>100.7172463996738</v>
      </c>
      <c r="X8" s="1097">
        <f>'[30]Customer Count'!L27</f>
        <v>5717.0000000000009</v>
      </c>
      <c r="Y8" s="1098"/>
      <c r="Z8" s="375"/>
      <c r="AA8" s="16" t="s">
        <v>16</v>
      </c>
      <c r="AB8" s="16">
        <v>0.97502373573057544</v>
      </c>
      <c r="AC8"/>
      <c r="AD8"/>
      <c r="AE8"/>
      <c r="AF8"/>
      <c r="AG8"/>
      <c r="AH8"/>
      <c r="AI8"/>
      <c r="AJ8" s="107"/>
      <c r="AK8" s="88"/>
      <c r="AL8" s="83"/>
      <c r="AM8" s="83"/>
      <c r="AN8" s="83"/>
      <c r="AO8" s="83"/>
      <c r="AP8" s="83"/>
      <c r="AQ8" s="83"/>
      <c r="AR8" s="83"/>
      <c r="AS8" s="83"/>
      <c r="AT8" s="83"/>
    </row>
    <row r="9" spans="2:47">
      <c r="B9" s="100">
        <f t="shared" si="2"/>
        <v>38472</v>
      </c>
      <c r="C9" s="108">
        <f>[21]Sheet1!G8</f>
        <v>10028980</v>
      </c>
      <c r="D9" s="108">
        <f>[21]Sheet1!F8</f>
        <v>-330000</v>
      </c>
      <c r="E9" s="102"/>
      <c r="F9" s="111"/>
      <c r="G9" s="112"/>
      <c r="H9" s="110">
        <f t="shared" si="0"/>
        <v>9698980</v>
      </c>
      <c r="I9" s="369"/>
      <c r="J9" s="214">
        <f>'HDD &amp; CDD'!L9</f>
        <v>324.8</v>
      </c>
      <c r="K9" s="214">
        <f>'HDD &amp; CDD'!L27</f>
        <v>0</v>
      </c>
      <c r="L9" s="485">
        <f t="shared" si="1"/>
        <v>30</v>
      </c>
      <c r="M9" s="214">
        <v>1</v>
      </c>
      <c r="N9" s="485">
        <f>[22]Sheet1!C7</f>
        <v>0</v>
      </c>
      <c r="O9" s="1095"/>
      <c r="P9" s="1082"/>
      <c r="Q9" s="1091"/>
      <c r="R9" s="163">
        <v>0</v>
      </c>
      <c r="S9" s="105"/>
      <c r="T9" s="105"/>
      <c r="U9" s="105"/>
      <c r="V9" s="1092"/>
      <c r="W9" s="1093">
        <f>[30]GDP!D32</f>
        <v>100.95746992151857</v>
      </c>
      <c r="X9" s="1097">
        <f>'[30]Customer Count'!L28</f>
        <v>5722.6666666666679</v>
      </c>
      <c r="Y9" s="1098"/>
      <c r="Z9" s="375"/>
      <c r="AA9" s="16" t="s">
        <v>17</v>
      </c>
      <c r="AB9" s="16">
        <v>0.95067128523800704</v>
      </c>
      <c r="AC9"/>
      <c r="AD9"/>
      <c r="AE9"/>
      <c r="AF9"/>
      <c r="AG9"/>
      <c r="AH9"/>
      <c r="AI9"/>
      <c r="AJ9" s="107"/>
      <c r="AK9" s="88"/>
      <c r="AL9" s="83"/>
      <c r="AM9" s="83"/>
      <c r="AN9" s="83"/>
      <c r="AO9" s="83"/>
      <c r="AP9" s="83"/>
      <c r="AQ9" s="83"/>
      <c r="AR9" s="83"/>
      <c r="AS9" s="83"/>
      <c r="AT9" s="83"/>
    </row>
    <row r="10" spans="2:47">
      <c r="B10" s="100">
        <f t="shared" si="2"/>
        <v>38503</v>
      </c>
      <c r="C10" s="108">
        <f>[21]Sheet1!G9</f>
        <v>9635640</v>
      </c>
      <c r="D10" s="108">
        <f>[21]Sheet1!F9</f>
        <v>-432000</v>
      </c>
      <c r="E10" s="102"/>
      <c r="F10" s="111"/>
      <c r="G10" s="112"/>
      <c r="H10" s="110">
        <f t="shared" si="0"/>
        <v>9203640</v>
      </c>
      <c r="I10" s="369"/>
      <c r="J10" s="214">
        <f>'HDD &amp; CDD'!L10</f>
        <v>205</v>
      </c>
      <c r="K10" s="214">
        <f>'HDD &amp; CDD'!L28</f>
        <v>1.9</v>
      </c>
      <c r="L10" s="485">
        <f t="shared" si="1"/>
        <v>31</v>
      </c>
      <c r="M10" s="214">
        <v>1</v>
      </c>
      <c r="N10" s="485">
        <f>[22]Sheet1!C8</f>
        <v>1</v>
      </c>
      <c r="O10" s="1095"/>
      <c r="P10" s="1082"/>
      <c r="Q10" s="1091"/>
      <c r="R10" s="163">
        <v>0</v>
      </c>
      <c r="S10" s="105"/>
      <c r="T10" s="105"/>
      <c r="U10" s="105"/>
      <c r="V10" s="1092"/>
      <c r="W10" s="1093">
        <f>[30]GDP!D33</f>
        <v>101.19826640720528</v>
      </c>
      <c r="X10" s="1097">
        <f>'[30]Customer Count'!L29</f>
        <v>5728.3333333333348</v>
      </c>
      <c r="Y10" s="1098"/>
      <c r="Z10" s="375"/>
      <c r="AA10" s="16" t="s">
        <v>18</v>
      </c>
      <c r="AB10" s="16">
        <v>0.94805206144533483</v>
      </c>
      <c r="AC10"/>
      <c r="AD10"/>
      <c r="AE10"/>
      <c r="AF10"/>
      <c r="AG10"/>
      <c r="AH10"/>
      <c r="AI10"/>
      <c r="AJ10" s="107"/>
      <c r="AK10" s="88"/>
      <c r="AL10" s="83"/>
      <c r="AM10" s="83"/>
      <c r="AN10" s="83"/>
      <c r="AO10" s="83"/>
      <c r="AP10" s="83"/>
      <c r="AQ10" s="83"/>
      <c r="AR10" s="83"/>
      <c r="AS10" s="83"/>
      <c r="AT10" s="83"/>
    </row>
    <row r="11" spans="2:47">
      <c r="B11" s="100">
        <f t="shared" si="2"/>
        <v>38533</v>
      </c>
      <c r="C11" s="108">
        <f>[21]Sheet1!G10</f>
        <v>10690860</v>
      </c>
      <c r="D11" s="108">
        <f>[21]Sheet1!F10</f>
        <v>-500000</v>
      </c>
      <c r="E11" s="102"/>
      <c r="F11" s="111"/>
      <c r="G11" s="112"/>
      <c r="H11" s="110">
        <f t="shared" si="0"/>
        <v>10190860</v>
      </c>
      <c r="I11" s="369"/>
      <c r="J11" s="214">
        <f>'HDD &amp; CDD'!L11</f>
        <v>16.099999999999998</v>
      </c>
      <c r="K11" s="214">
        <f>'HDD &amp; CDD'!L29</f>
        <v>111.6</v>
      </c>
      <c r="L11" s="485">
        <f t="shared" si="1"/>
        <v>30</v>
      </c>
      <c r="M11" s="214">
        <v>0</v>
      </c>
      <c r="N11" s="485">
        <f>[22]Sheet1!C9</f>
        <v>0</v>
      </c>
      <c r="O11" s="1095"/>
      <c r="P11" s="1082"/>
      <c r="Q11" s="1091"/>
      <c r="R11" s="163">
        <v>0</v>
      </c>
      <c r="S11" s="105"/>
      <c r="T11" s="105"/>
      <c r="U11" s="105"/>
      <c r="V11" s="1092"/>
      <c r="W11" s="1093">
        <f>[30]GDP!D34</f>
        <v>101.43963722332603</v>
      </c>
      <c r="X11" s="1097">
        <f>'[30]Customer Count'!L30</f>
        <v>5734.0000000000018</v>
      </c>
      <c r="Y11" s="1098"/>
      <c r="Z11" s="375"/>
      <c r="AA11" s="16" t="s">
        <v>19</v>
      </c>
      <c r="AB11" s="16">
        <v>290075.02354577521</v>
      </c>
      <c r="AC11"/>
      <c r="AD11"/>
      <c r="AE11"/>
      <c r="AF11"/>
      <c r="AG11"/>
      <c r="AH11"/>
      <c r="AI11"/>
      <c r="AJ11" s="107"/>
      <c r="AK11" s="88"/>
      <c r="AL11" s="83"/>
      <c r="AM11" s="83"/>
      <c r="AN11" s="83"/>
      <c r="AO11" s="83"/>
      <c r="AP11" s="83"/>
      <c r="AQ11" s="83"/>
      <c r="AR11" s="83"/>
      <c r="AS11" s="83"/>
      <c r="AT11" s="83"/>
    </row>
    <row r="12" spans="2:47" ht="13.5" thickBot="1">
      <c r="B12" s="100">
        <f t="shared" si="2"/>
        <v>38564</v>
      </c>
      <c r="C12" s="108">
        <f>[21]Sheet1!G11</f>
        <v>11192530</v>
      </c>
      <c r="D12" s="108">
        <f>[21]Sheet1!F11</f>
        <v>-676000</v>
      </c>
      <c r="E12" s="102"/>
      <c r="F12" s="111"/>
      <c r="G12" s="112"/>
      <c r="H12" s="110">
        <f t="shared" si="0"/>
        <v>10516530</v>
      </c>
      <c r="I12" s="369"/>
      <c r="J12" s="214">
        <f>'HDD &amp; CDD'!L12</f>
        <v>2.9000000000000004</v>
      </c>
      <c r="K12" s="214">
        <f>'HDD &amp; CDD'!L30</f>
        <v>128.6</v>
      </c>
      <c r="L12" s="485">
        <f t="shared" si="1"/>
        <v>31</v>
      </c>
      <c r="M12" s="214">
        <v>0</v>
      </c>
      <c r="N12" s="485">
        <f>[22]Sheet1!C10</f>
        <v>1</v>
      </c>
      <c r="O12" s="1095"/>
      <c r="P12" s="1082"/>
      <c r="Q12" s="1091"/>
      <c r="R12" s="163">
        <v>0</v>
      </c>
      <c r="S12" s="105"/>
      <c r="T12" s="105"/>
      <c r="U12" s="105"/>
      <c r="V12" s="1092"/>
      <c r="W12" s="1093">
        <f>[30]GDP!D35</f>
        <v>101.6815837397324</v>
      </c>
      <c r="X12" s="1097">
        <f>'[30]Customer Count'!L31</f>
        <v>5739.6666666666688</v>
      </c>
      <c r="Y12" s="1098"/>
      <c r="Z12" s="375"/>
      <c r="AA12" s="17" t="s">
        <v>20</v>
      </c>
      <c r="AB12" s="17">
        <v>120</v>
      </c>
      <c r="AC12"/>
      <c r="AD12"/>
      <c r="AE12"/>
      <c r="AF12"/>
      <c r="AG12"/>
      <c r="AH12"/>
      <c r="AI12"/>
      <c r="AJ12" s="107"/>
      <c r="AK12" s="88"/>
      <c r="AL12" s="83"/>
      <c r="AM12" s="83"/>
      <c r="AN12" s="83"/>
      <c r="AO12" s="83"/>
      <c r="AP12" s="83"/>
      <c r="AQ12" s="83"/>
      <c r="AR12" s="83"/>
      <c r="AS12" s="83"/>
      <c r="AT12" s="83"/>
    </row>
    <row r="13" spans="2:47">
      <c r="B13" s="100">
        <f t="shared" si="2"/>
        <v>38595</v>
      </c>
      <c r="C13" s="108">
        <f>[21]Sheet1!G12</f>
        <v>11098410</v>
      </c>
      <c r="D13" s="108">
        <f>[21]Sheet1!F12</f>
        <v>-600000</v>
      </c>
      <c r="E13" s="102"/>
      <c r="F13" s="111"/>
      <c r="G13" s="112"/>
      <c r="H13" s="110">
        <f t="shared" si="0"/>
        <v>10498410</v>
      </c>
      <c r="I13" s="369"/>
      <c r="J13" s="214">
        <f>'HDD &amp; CDD'!L13</f>
        <v>8.3999999999999986</v>
      </c>
      <c r="K13" s="214">
        <f>'HDD &amp; CDD'!L31</f>
        <v>115.39999999999999</v>
      </c>
      <c r="L13" s="485">
        <f t="shared" si="1"/>
        <v>31</v>
      </c>
      <c r="M13" s="214">
        <v>0</v>
      </c>
      <c r="N13" s="485">
        <f>[22]Sheet1!C11</f>
        <v>1</v>
      </c>
      <c r="O13" s="1095"/>
      <c r="P13" s="1082"/>
      <c r="Q13" s="1091"/>
      <c r="R13" s="163">
        <v>0</v>
      </c>
      <c r="S13" s="105"/>
      <c r="T13" s="105"/>
      <c r="U13" s="105"/>
      <c r="V13" s="1092"/>
      <c r="W13" s="1093">
        <f>[30]GDP!D36</f>
        <v>101.92410732954325</v>
      </c>
      <c r="X13" s="1097">
        <f>'[30]Customer Count'!L32</f>
        <v>5745.3333333333358</v>
      </c>
      <c r="Y13" s="1098"/>
      <c r="Z13" s="375"/>
      <c r="AA13"/>
      <c r="AB13"/>
      <c r="AC13"/>
      <c r="AD13"/>
      <c r="AE13"/>
      <c r="AF13"/>
      <c r="AG13"/>
      <c r="AH13"/>
      <c r="AI13"/>
      <c r="AJ13" s="107"/>
      <c r="AK13" s="88"/>
      <c r="AL13" s="83"/>
      <c r="AM13" s="83"/>
      <c r="AN13" s="83"/>
      <c r="AO13" s="83"/>
      <c r="AP13" s="83"/>
      <c r="AQ13" s="83"/>
      <c r="AR13" s="83"/>
      <c r="AS13" s="83"/>
      <c r="AT13" s="83"/>
    </row>
    <row r="14" spans="2:47" ht="13.5" thickBot="1">
      <c r="B14" s="100">
        <f t="shared" si="2"/>
        <v>38625</v>
      </c>
      <c r="C14" s="108">
        <f>[21]Sheet1!G13</f>
        <v>9976880</v>
      </c>
      <c r="D14" s="108">
        <f>[21]Sheet1!F13</f>
        <v>-472000</v>
      </c>
      <c r="E14" s="102"/>
      <c r="F14" s="111"/>
      <c r="G14" s="112"/>
      <c r="H14" s="110">
        <f t="shared" si="0"/>
        <v>9504880</v>
      </c>
      <c r="I14" s="369"/>
      <c r="J14" s="214">
        <f>'HDD &amp; CDD'!L14</f>
        <v>59.2</v>
      </c>
      <c r="K14" s="214">
        <f>'HDD &amp; CDD'!L32</f>
        <v>33.099999999999994</v>
      </c>
      <c r="L14" s="485">
        <f t="shared" si="1"/>
        <v>30</v>
      </c>
      <c r="M14" s="214">
        <v>1</v>
      </c>
      <c r="N14" s="485">
        <f>[22]Sheet1!C12</f>
        <v>1</v>
      </c>
      <c r="O14" s="1095"/>
      <c r="P14" s="1082"/>
      <c r="Q14" s="1091"/>
      <c r="R14" s="163">
        <v>0</v>
      </c>
      <c r="S14" s="105"/>
      <c r="T14" s="105"/>
      <c r="U14" s="105"/>
      <c r="V14" s="1092"/>
      <c r="W14" s="1093">
        <f>[30]GDP!D37</f>
        <v>102.16720936915249</v>
      </c>
      <c r="X14" s="1097">
        <f>'[30]Customer Count'!L33</f>
        <v>5751.0000000000027</v>
      </c>
      <c r="Y14" s="1098"/>
      <c r="Z14" s="375"/>
      <c r="AA14" t="s">
        <v>21</v>
      </c>
      <c r="AB14"/>
      <c r="AC14"/>
      <c r="AD14"/>
      <c r="AE14"/>
      <c r="AF14"/>
      <c r="AG14"/>
      <c r="AH14"/>
      <c r="AI14"/>
      <c r="AJ14" s="107"/>
      <c r="AK14" s="88"/>
      <c r="AL14" s="88"/>
      <c r="AM14" s="88"/>
      <c r="AN14" s="88"/>
      <c r="AO14" s="88"/>
      <c r="AP14" s="88"/>
      <c r="AQ14" s="88"/>
      <c r="AR14" s="88"/>
      <c r="AS14" s="88"/>
    </row>
    <row r="15" spans="2:47">
      <c r="B15" s="100">
        <f t="shared" si="2"/>
        <v>38656</v>
      </c>
      <c r="C15" s="108">
        <f>[21]Sheet1!G14</f>
        <v>10338960</v>
      </c>
      <c r="D15" s="108">
        <f>[21]Sheet1!F14</f>
        <v>-416000</v>
      </c>
      <c r="E15" s="102"/>
      <c r="F15" s="111"/>
      <c r="G15" s="112"/>
      <c r="H15" s="110">
        <f t="shared" si="0"/>
        <v>9922960</v>
      </c>
      <c r="I15" s="369"/>
      <c r="J15" s="214">
        <f>'HDD &amp; CDD'!L15</f>
        <v>269.70000000000005</v>
      </c>
      <c r="K15" s="214">
        <f>'HDD &amp; CDD'!L33</f>
        <v>6.4</v>
      </c>
      <c r="L15" s="485">
        <f t="shared" si="1"/>
        <v>31</v>
      </c>
      <c r="M15" s="214">
        <v>1</v>
      </c>
      <c r="N15" s="485">
        <f>[22]Sheet1!C13</f>
        <v>1</v>
      </c>
      <c r="O15" s="1095"/>
      <c r="P15" s="1082"/>
      <c r="Q15" s="1091"/>
      <c r="R15" s="163">
        <v>0</v>
      </c>
      <c r="S15" s="105"/>
      <c r="T15" s="105"/>
      <c r="U15" s="105"/>
      <c r="V15" s="1092"/>
      <c r="W15" s="1093">
        <f>[30]GDP!D38</f>
        <v>102.41089123823691</v>
      </c>
      <c r="X15" s="1097">
        <f>'[30]Customer Count'!L34</f>
        <v>5756.6666666666697</v>
      </c>
      <c r="Y15" s="1098"/>
      <c r="Z15" s="375"/>
      <c r="AA15" s="18"/>
      <c r="AB15" s="18" t="s">
        <v>25</v>
      </c>
      <c r="AC15" s="18" t="s">
        <v>26</v>
      </c>
      <c r="AD15" s="18" t="s">
        <v>27</v>
      </c>
      <c r="AE15" s="18" t="s">
        <v>28</v>
      </c>
      <c r="AF15" s="18" t="s">
        <v>29</v>
      </c>
      <c r="AG15"/>
      <c r="AH15"/>
      <c r="AI15"/>
      <c r="AJ15" s="107"/>
      <c r="AK15" s="88"/>
      <c r="AL15" s="88"/>
      <c r="AM15" s="88"/>
      <c r="AN15" s="88"/>
      <c r="AO15" s="88"/>
      <c r="AP15" s="88"/>
      <c r="AQ15" s="88"/>
      <c r="AR15" s="88"/>
      <c r="AS15" s="88"/>
    </row>
    <row r="16" spans="2:47">
      <c r="B16" s="100">
        <f t="shared" si="2"/>
        <v>38686</v>
      </c>
      <c r="C16" s="108">
        <f>[21]Sheet1!G15</f>
        <v>11286470</v>
      </c>
      <c r="D16" s="108">
        <f>[21]Sheet1!F15</f>
        <v>-634000</v>
      </c>
      <c r="E16" s="102"/>
      <c r="F16" s="111"/>
      <c r="G16" s="112"/>
      <c r="H16" s="110">
        <f t="shared" si="0"/>
        <v>10652470</v>
      </c>
      <c r="I16" s="369"/>
      <c r="J16" s="214">
        <f>'HDD &amp; CDD'!L16</f>
        <v>484.2</v>
      </c>
      <c r="K16" s="214">
        <f>'HDD &amp; CDD'!L34</f>
        <v>0</v>
      </c>
      <c r="L16" s="485">
        <f t="shared" si="1"/>
        <v>30</v>
      </c>
      <c r="M16" s="214">
        <v>1</v>
      </c>
      <c r="N16" s="485">
        <f>[22]Sheet1!C14</f>
        <v>0</v>
      </c>
      <c r="O16" s="1095"/>
      <c r="P16" s="1082"/>
      <c r="Q16" s="1091"/>
      <c r="R16" s="163">
        <v>0</v>
      </c>
      <c r="S16" s="105"/>
      <c r="T16" s="105"/>
      <c r="U16" s="105"/>
      <c r="V16" s="1092"/>
      <c r="W16" s="1093">
        <f>[30]GDP!D39</f>
        <v>102.65515431976404</v>
      </c>
      <c r="X16" s="1097">
        <f>'[30]Customer Count'!L35</f>
        <v>5762.3333333333367</v>
      </c>
      <c r="Y16" s="1098"/>
      <c r="Z16" s="375"/>
      <c r="AA16" s="16" t="s">
        <v>22</v>
      </c>
      <c r="AB16" s="16">
        <v>6</v>
      </c>
      <c r="AC16" s="16">
        <v>183243969866937.37</v>
      </c>
      <c r="AD16" s="16">
        <v>30540661644489.562</v>
      </c>
      <c r="AE16" s="16">
        <v>362.95916671866814</v>
      </c>
      <c r="AF16" s="16">
        <v>2.2017955470778606E-71</v>
      </c>
      <c r="AG16"/>
      <c r="AH16"/>
      <c r="AI16"/>
      <c r="AJ16" s="107"/>
      <c r="AK16" s="88"/>
      <c r="AL16" s="88"/>
      <c r="AM16" s="88"/>
      <c r="AN16" s="88"/>
      <c r="AO16" s="88"/>
      <c r="AP16" s="88"/>
      <c r="AQ16" s="88"/>
      <c r="AR16" s="88"/>
      <c r="AS16" s="88"/>
    </row>
    <row r="17" spans="2:45">
      <c r="B17" s="217">
        <f t="shared" si="2"/>
        <v>38717</v>
      </c>
      <c r="C17" s="113">
        <f>[21]Sheet1!G16</f>
        <v>12985440</v>
      </c>
      <c r="D17" s="124">
        <f>[21]Sheet1!F16</f>
        <v>-608000</v>
      </c>
      <c r="E17" s="115"/>
      <c r="F17" s="114"/>
      <c r="G17" s="116"/>
      <c r="H17" s="117">
        <f t="shared" si="0"/>
        <v>12377440</v>
      </c>
      <c r="I17" s="370"/>
      <c r="J17" s="165">
        <f>'HDD &amp; CDD'!L17</f>
        <v>761.99999999999989</v>
      </c>
      <c r="K17" s="165">
        <f>'HDD &amp; CDD'!L35</f>
        <v>0</v>
      </c>
      <c r="L17" s="486">
        <f t="shared" si="1"/>
        <v>31</v>
      </c>
      <c r="M17" s="165">
        <v>0</v>
      </c>
      <c r="N17" s="486">
        <f>[22]Sheet1!C15</f>
        <v>2</v>
      </c>
      <c r="O17" s="1095"/>
      <c r="P17" s="1082"/>
      <c r="Q17" s="1091"/>
      <c r="R17" s="163">
        <v>0</v>
      </c>
      <c r="S17" s="105"/>
      <c r="T17" s="105"/>
      <c r="U17" s="105"/>
      <c r="V17" s="1092"/>
      <c r="W17" s="1093">
        <f>[30]GDP!D40</f>
        <v>102.89999999999991</v>
      </c>
      <c r="X17" s="1097">
        <f>'[30]Customer Count'!L36</f>
        <v>5768</v>
      </c>
      <c r="Y17" s="1098"/>
      <c r="Z17" s="375"/>
      <c r="AA17" s="16" t="s">
        <v>23</v>
      </c>
      <c r="AB17" s="16">
        <v>113</v>
      </c>
      <c r="AC17" s="16">
        <v>9508217679214.2715</v>
      </c>
      <c r="AD17" s="16">
        <v>84143519285.082047</v>
      </c>
      <c r="AE17" s="16"/>
      <c r="AF17" s="16"/>
      <c r="AG17"/>
      <c r="AH17"/>
      <c r="AI17"/>
      <c r="AJ17" s="107"/>
      <c r="AK17" s="88"/>
      <c r="AL17" s="88"/>
      <c r="AM17" s="88"/>
      <c r="AN17" s="88"/>
      <c r="AO17" s="88"/>
      <c r="AP17" s="88"/>
      <c r="AQ17" s="88"/>
      <c r="AR17" s="88"/>
      <c r="AS17" s="88"/>
    </row>
    <row r="18" spans="2:45" ht="13.5" thickBot="1">
      <c r="B18" s="100">
        <f t="shared" si="2"/>
        <v>38748</v>
      </c>
      <c r="C18" s="108">
        <f>[21]Sheet1!G17</f>
        <v>12900470</v>
      </c>
      <c r="D18" s="108">
        <f>[21]Sheet1!F17</f>
        <v>-392000</v>
      </c>
      <c r="E18" s="102"/>
      <c r="F18" s="111"/>
      <c r="G18" s="112"/>
      <c r="H18" s="110">
        <f t="shared" si="0"/>
        <v>12508470</v>
      </c>
      <c r="I18" s="369"/>
      <c r="J18" s="214">
        <f>'HDD &amp; CDD'!M6</f>
        <v>733.50000000000023</v>
      </c>
      <c r="K18" s="214">
        <f>'HDD &amp; CDD'!M24</f>
        <v>0</v>
      </c>
      <c r="L18" s="485">
        <f t="shared" si="1"/>
        <v>31</v>
      </c>
      <c r="M18" s="214">
        <v>0</v>
      </c>
      <c r="N18" s="485">
        <f>[22]Sheet1!C16</f>
        <v>1</v>
      </c>
      <c r="O18" s="1095"/>
      <c r="P18" s="1082"/>
      <c r="Q18" s="1091"/>
      <c r="R18" s="1094">
        <f>'CDM Activity'!C66</f>
        <v>2663.7993261078232</v>
      </c>
      <c r="S18" s="105"/>
      <c r="T18" s="105"/>
      <c r="U18" s="105"/>
      <c r="V18" s="1092"/>
      <c r="W18" s="1093">
        <f>[30]GDP!D41</f>
        <v>103.10357031534689</v>
      </c>
      <c r="X18" s="1097">
        <f>'[30]Customer Count'!L37</f>
        <v>5770.5</v>
      </c>
      <c r="Y18" s="1098"/>
      <c r="Z18" s="375"/>
      <c r="AA18" s="17" t="s">
        <v>5</v>
      </c>
      <c r="AB18" s="17">
        <v>119</v>
      </c>
      <c r="AC18" s="17">
        <v>192752187546151.66</v>
      </c>
      <c r="AD18" s="17"/>
      <c r="AE18" s="17"/>
      <c r="AF18" s="17"/>
      <c r="AG18"/>
      <c r="AH18"/>
      <c r="AI18"/>
      <c r="AJ18" s="107"/>
      <c r="AK18" s="88"/>
      <c r="AL18" s="88"/>
      <c r="AM18" s="88"/>
      <c r="AN18" s="88"/>
      <c r="AO18" s="88"/>
      <c r="AP18" s="88"/>
      <c r="AQ18" s="88"/>
      <c r="AR18" s="88"/>
      <c r="AS18" s="88"/>
    </row>
    <row r="19" spans="2:45" ht="13.5" thickBot="1">
      <c r="B19" s="100">
        <f t="shared" si="2"/>
        <v>38776</v>
      </c>
      <c r="C19" s="108">
        <v>11727560</v>
      </c>
      <c r="D19" s="111"/>
      <c r="E19" s="111"/>
      <c r="F19" s="111"/>
      <c r="G19" s="112"/>
      <c r="H19" s="110">
        <f t="shared" si="0"/>
        <v>11727560</v>
      </c>
      <c r="I19" s="369"/>
      <c r="J19" s="214">
        <f>'HDD &amp; CDD'!M7</f>
        <v>720.9</v>
      </c>
      <c r="K19" s="214">
        <f>'HDD &amp; CDD'!M25</f>
        <v>0</v>
      </c>
      <c r="L19" s="485">
        <f t="shared" si="1"/>
        <v>28</v>
      </c>
      <c r="M19" s="214">
        <v>0</v>
      </c>
      <c r="N19" s="485">
        <f>[22]Sheet1!C17</f>
        <v>0</v>
      </c>
      <c r="O19" s="1095"/>
      <c r="P19" s="1082"/>
      <c r="Q19" s="1091"/>
      <c r="R19" s="1094">
        <f>'CDM Activity'!C67</f>
        <v>5327.5986522156463</v>
      </c>
      <c r="S19" s="105"/>
      <c r="T19" s="105"/>
      <c r="U19" s="105"/>
      <c r="V19" s="1092"/>
      <c r="W19" s="1093">
        <f>[30]GDP!D42</f>
        <v>103.30754336026908</v>
      </c>
      <c r="X19" s="1097">
        <f>'[30]Customer Count'!L38</f>
        <v>5773</v>
      </c>
      <c r="Y19" s="1098"/>
      <c r="Z19" s="375"/>
      <c r="AA19"/>
      <c r="AB19"/>
      <c r="AC19"/>
      <c r="AD19"/>
      <c r="AE19"/>
      <c r="AF19"/>
      <c r="AG19"/>
      <c r="AH19"/>
      <c r="AI19"/>
      <c r="AJ19" s="107"/>
      <c r="AK19" s="88"/>
      <c r="AL19" s="88"/>
      <c r="AM19" s="88"/>
      <c r="AN19" s="88"/>
      <c r="AO19" s="88"/>
      <c r="AP19" s="88"/>
      <c r="AQ19" s="88"/>
      <c r="AR19" s="88"/>
      <c r="AS19" s="88"/>
    </row>
    <row r="20" spans="2:45">
      <c r="B20" s="100">
        <f t="shared" si="2"/>
        <v>38807</v>
      </c>
      <c r="C20" s="108">
        <v>11784150</v>
      </c>
      <c r="D20" s="111"/>
      <c r="E20" s="123"/>
      <c r="F20" s="111"/>
      <c r="G20" s="112"/>
      <c r="H20" s="110">
        <f t="shared" si="0"/>
        <v>11784150</v>
      </c>
      <c r="I20" s="369"/>
      <c r="J20" s="214">
        <f>'HDD &amp; CDD'!M8</f>
        <v>600.4</v>
      </c>
      <c r="K20" s="214">
        <f>'HDD &amp; CDD'!M26</f>
        <v>0</v>
      </c>
      <c r="L20" s="485">
        <f t="shared" si="1"/>
        <v>31</v>
      </c>
      <c r="M20" s="214">
        <v>1</v>
      </c>
      <c r="N20" s="485">
        <f>[22]Sheet1!C18</f>
        <v>0</v>
      </c>
      <c r="O20" s="1095"/>
      <c r="P20" s="1082"/>
      <c r="Q20" s="1091"/>
      <c r="R20" s="1094">
        <f>'CDM Activity'!C68</f>
        <v>7991.3979783234699</v>
      </c>
      <c r="S20" s="105"/>
      <c r="T20" s="105"/>
      <c r="U20" s="105"/>
      <c r="V20" s="1092"/>
      <c r="W20" s="1093">
        <f>[30]GDP!D43</f>
        <v>103.51191993149912</v>
      </c>
      <c r="X20" s="1097">
        <f>'[30]Customer Count'!L39</f>
        <v>5775.5</v>
      </c>
      <c r="Y20" s="1098"/>
      <c r="Z20" s="375"/>
      <c r="AA20" s="18"/>
      <c r="AB20" s="18" t="s">
        <v>30</v>
      </c>
      <c r="AC20" s="18" t="s">
        <v>19</v>
      </c>
      <c r="AD20" s="18" t="s">
        <v>31</v>
      </c>
      <c r="AE20" s="18" t="s">
        <v>32</v>
      </c>
      <c r="AF20" s="18" t="s">
        <v>33</v>
      </c>
      <c r="AG20" s="18" t="s">
        <v>34</v>
      </c>
      <c r="AH20" s="18" t="s">
        <v>125</v>
      </c>
      <c r="AI20" s="18" t="s">
        <v>126</v>
      </c>
      <c r="AJ20" s="107"/>
      <c r="AK20" s="88"/>
      <c r="AL20" s="88"/>
      <c r="AM20" s="88"/>
      <c r="AN20" s="88"/>
      <c r="AO20" s="88"/>
      <c r="AP20" s="88"/>
      <c r="AQ20" s="88"/>
      <c r="AR20" s="88"/>
      <c r="AS20" s="88"/>
    </row>
    <row r="21" spans="2:45">
      <c r="B21" s="100">
        <f t="shared" si="2"/>
        <v>38837</v>
      </c>
      <c r="C21" s="108">
        <v>9406440</v>
      </c>
      <c r="D21" s="111"/>
      <c r="E21" s="123"/>
      <c r="F21" s="111"/>
      <c r="G21" s="112"/>
      <c r="H21" s="110">
        <f t="shared" si="0"/>
        <v>9406440</v>
      </c>
      <c r="I21" s="369"/>
      <c r="J21" s="214">
        <f>'HDD &amp; CDD'!M9</f>
        <v>321.59999999999991</v>
      </c>
      <c r="K21" s="214">
        <f>'HDD &amp; CDD'!M27</f>
        <v>0</v>
      </c>
      <c r="L21" s="485">
        <f t="shared" si="1"/>
        <v>30</v>
      </c>
      <c r="M21" s="214">
        <v>1</v>
      </c>
      <c r="N21" s="485">
        <f>[22]Sheet1!C19</f>
        <v>2</v>
      </c>
      <c r="O21" s="1095"/>
      <c r="P21" s="1082"/>
      <c r="Q21" s="1091"/>
      <c r="R21" s="1094">
        <f>'CDM Activity'!C69</f>
        <v>10655.197304431293</v>
      </c>
      <c r="S21" s="105"/>
      <c r="T21" s="105"/>
      <c r="U21" s="105"/>
      <c r="V21" s="1092"/>
      <c r="W21" s="1093">
        <f>[30]GDP!D44</f>
        <v>103.71670082734583</v>
      </c>
      <c r="X21" s="1097">
        <f>'[30]Customer Count'!L40</f>
        <v>5778</v>
      </c>
      <c r="Y21" s="1098"/>
      <c r="Z21" s="375"/>
      <c r="AA21" s="16" t="s">
        <v>24</v>
      </c>
      <c r="AB21" s="16">
        <v>54003814.392439984</v>
      </c>
      <c r="AC21" s="16">
        <v>4382340.8287311187</v>
      </c>
      <c r="AD21" s="16">
        <v>12.323052109134212</v>
      </c>
      <c r="AE21" s="16">
        <v>1.2336417017658451E-22</v>
      </c>
      <c r="AF21" s="16">
        <v>45321606.814296916</v>
      </c>
      <c r="AG21" s="16">
        <v>62686021.970583051</v>
      </c>
      <c r="AH21" s="16">
        <v>45321606.814296916</v>
      </c>
      <c r="AI21" s="16">
        <v>62686021.970583051</v>
      </c>
      <c r="AJ21" s="107"/>
      <c r="AK21" s="88"/>
      <c r="AL21" s="88"/>
      <c r="AM21" s="88"/>
      <c r="AN21" s="88"/>
      <c r="AO21" s="88"/>
      <c r="AP21" s="88"/>
      <c r="AQ21" s="88"/>
      <c r="AR21" s="88"/>
      <c r="AS21" s="88"/>
    </row>
    <row r="22" spans="2:45">
      <c r="B22" s="100">
        <f t="shared" si="2"/>
        <v>38868</v>
      </c>
      <c r="C22" s="108">
        <v>9293920</v>
      </c>
      <c r="D22" s="111"/>
      <c r="E22" s="123"/>
      <c r="F22" s="111"/>
      <c r="G22" s="112"/>
      <c r="H22" s="110">
        <f t="shared" si="0"/>
        <v>9293920</v>
      </c>
      <c r="I22" s="369"/>
      <c r="J22" s="214">
        <f>'HDD &amp; CDD'!M10</f>
        <v>128.19999999999999</v>
      </c>
      <c r="K22" s="214">
        <f>'HDD &amp; CDD'!M28</f>
        <v>16.899999999999999</v>
      </c>
      <c r="L22" s="485">
        <f t="shared" si="1"/>
        <v>31</v>
      </c>
      <c r="M22" s="214">
        <v>1</v>
      </c>
      <c r="N22" s="485">
        <f>[22]Sheet1!C20</f>
        <v>1</v>
      </c>
      <c r="O22" s="1095"/>
      <c r="P22" s="1082"/>
      <c r="Q22" s="1091"/>
      <c r="R22" s="1094">
        <f>'CDM Activity'!C70</f>
        <v>13318.996630539115</v>
      </c>
      <c r="S22" s="105"/>
      <c r="T22" s="105"/>
      <c r="U22" s="105"/>
      <c r="V22" s="1092"/>
      <c r="W22" s="1093">
        <f>[30]GDP!D45</f>
        <v>103.92188684769735</v>
      </c>
      <c r="X22" s="1097">
        <f>'[30]Customer Count'!L41</f>
        <v>5780.5</v>
      </c>
      <c r="Y22" s="1098"/>
      <c r="Z22" s="375"/>
      <c r="AA22" s="16" t="s">
        <v>131</v>
      </c>
      <c r="AB22" s="16">
        <v>4570.0358823452207</v>
      </c>
      <c r="AC22" s="16">
        <v>155.69582901018646</v>
      </c>
      <c r="AD22" s="16">
        <v>29.352333401598216</v>
      </c>
      <c r="AE22" s="16">
        <v>1.0763858615464535E-54</v>
      </c>
      <c r="AF22" s="16">
        <v>4261.5743638674558</v>
      </c>
      <c r="AG22" s="16">
        <v>4878.4974008229856</v>
      </c>
      <c r="AH22" s="16">
        <v>4261.5743638674558</v>
      </c>
      <c r="AI22" s="16">
        <v>4878.4974008229856</v>
      </c>
      <c r="AJ22" s="107"/>
      <c r="AK22" s="88"/>
      <c r="AL22" s="88"/>
      <c r="AM22" s="88"/>
      <c r="AN22" s="88"/>
      <c r="AO22" s="88"/>
      <c r="AP22" s="88"/>
      <c r="AQ22" s="88"/>
      <c r="AR22" s="88"/>
      <c r="AS22" s="88"/>
    </row>
    <row r="23" spans="2:45">
      <c r="B23" s="100">
        <f t="shared" si="2"/>
        <v>38898</v>
      </c>
      <c r="C23" s="108">
        <v>9564320</v>
      </c>
      <c r="D23" s="111"/>
      <c r="E23" s="123"/>
      <c r="F23" s="111"/>
      <c r="G23" s="112"/>
      <c r="H23" s="110">
        <f t="shared" si="0"/>
        <v>9564320</v>
      </c>
      <c r="I23" s="369"/>
      <c r="J23" s="214">
        <f>'HDD &amp; CDD'!M11</f>
        <v>27.599999999999998</v>
      </c>
      <c r="K23" s="214">
        <f>'HDD &amp; CDD'!M29</f>
        <v>48.199999999999996</v>
      </c>
      <c r="L23" s="485">
        <f t="shared" si="1"/>
        <v>30</v>
      </c>
      <c r="M23" s="214">
        <v>0</v>
      </c>
      <c r="N23" s="485">
        <f>[22]Sheet1!C21</f>
        <v>0</v>
      </c>
      <c r="O23" s="1095"/>
      <c r="P23" s="1082"/>
      <c r="Q23" s="1091"/>
      <c r="R23" s="1094">
        <f>'CDM Activity'!C71</f>
        <v>15982.795956646938</v>
      </c>
      <c r="S23" s="105"/>
      <c r="T23" s="105"/>
      <c r="U23" s="105"/>
      <c r="V23" s="1092"/>
      <c r="W23" s="1093">
        <f>[30]GDP!D46</f>
        <v>104.12747879402426</v>
      </c>
      <c r="X23" s="1097">
        <f>'[30]Customer Count'!L42</f>
        <v>5783</v>
      </c>
      <c r="Y23" s="1098"/>
      <c r="Z23" s="375"/>
      <c r="AA23" s="16" t="s">
        <v>132</v>
      </c>
      <c r="AB23" s="16">
        <v>12896.804584326379</v>
      </c>
      <c r="AC23" s="16">
        <v>1435.5560796692907</v>
      </c>
      <c r="AD23" s="16">
        <v>8.9838389227520938</v>
      </c>
      <c r="AE23" s="16">
        <v>6.8286956689244859E-15</v>
      </c>
      <c r="AF23" s="16">
        <v>10052.70907444727</v>
      </c>
      <c r="AG23" s="16">
        <v>15740.900094205488</v>
      </c>
      <c r="AH23" s="16">
        <v>10052.70907444727</v>
      </c>
      <c r="AI23" s="16">
        <v>15740.900094205488</v>
      </c>
      <c r="AJ23" s="107"/>
      <c r="AK23" s="88"/>
      <c r="AL23" s="88"/>
      <c r="AM23" s="88"/>
      <c r="AN23" s="88"/>
      <c r="AO23" s="88"/>
      <c r="AP23" s="88"/>
      <c r="AQ23" s="88"/>
      <c r="AR23" s="88"/>
      <c r="AS23" s="88"/>
    </row>
    <row r="24" spans="2:45">
      <c r="B24" s="100">
        <f t="shared" si="2"/>
        <v>38929</v>
      </c>
      <c r="C24" s="108">
        <v>10639870</v>
      </c>
      <c r="D24" s="111"/>
      <c r="E24" s="123"/>
      <c r="F24" s="111"/>
      <c r="G24" s="112"/>
      <c r="H24" s="110">
        <f t="shared" si="0"/>
        <v>10639870</v>
      </c>
      <c r="I24" s="369"/>
      <c r="J24" s="214">
        <f>'HDD &amp; CDD'!M12</f>
        <v>0.3</v>
      </c>
      <c r="K24" s="214">
        <f>'HDD &amp; CDD'!M30</f>
        <v>130.59999999999997</v>
      </c>
      <c r="L24" s="485">
        <f t="shared" si="1"/>
        <v>31</v>
      </c>
      <c r="M24" s="214">
        <v>0</v>
      </c>
      <c r="N24" s="485">
        <f>[22]Sheet1!C22</f>
        <v>1</v>
      </c>
      <c r="O24" s="1095"/>
      <c r="P24" s="1082"/>
      <c r="Q24" s="1091"/>
      <c r="R24" s="1094">
        <f>'CDM Activity'!C72</f>
        <v>18646.595282754763</v>
      </c>
      <c r="S24" s="105"/>
      <c r="T24" s="105"/>
      <c r="U24" s="105"/>
      <c r="V24" s="1092"/>
      <c r="W24" s="1093">
        <f>[30]GDP!D47</f>
        <v>104.33347746938271</v>
      </c>
      <c r="X24" s="1097">
        <f>'[30]Customer Count'!L43</f>
        <v>5785.5</v>
      </c>
      <c r="Y24" s="1098"/>
      <c r="Z24" s="375"/>
      <c r="AA24" s="16" t="s">
        <v>3</v>
      </c>
      <c r="AB24" s="16">
        <v>260155.6215307611</v>
      </c>
      <c r="AC24" s="16">
        <v>35696.323563837148</v>
      </c>
      <c r="AD24" s="16">
        <v>7.2880228426189184</v>
      </c>
      <c r="AE24" s="16">
        <v>4.5722226048745525E-11</v>
      </c>
      <c r="AF24" s="16">
        <v>189434.76638277614</v>
      </c>
      <c r="AG24" s="16">
        <v>330876.47667874605</v>
      </c>
      <c r="AH24" s="16">
        <v>189434.76638277614</v>
      </c>
      <c r="AI24" s="16">
        <v>330876.47667874605</v>
      </c>
      <c r="AJ24" s="107"/>
      <c r="AK24" s="88"/>
      <c r="AL24" s="88"/>
      <c r="AM24" s="88"/>
      <c r="AN24" s="88"/>
      <c r="AO24" s="88"/>
      <c r="AP24" s="88"/>
      <c r="AQ24" s="88"/>
      <c r="AR24" s="88"/>
      <c r="AS24" s="88"/>
    </row>
    <row r="25" spans="2:45">
      <c r="B25" s="100">
        <f t="shared" si="2"/>
        <v>38960</v>
      </c>
      <c r="C25" s="108">
        <v>10096480</v>
      </c>
      <c r="D25" s="111"/>
      <c r="E25" s="123"/>
      <c r="F25" s="111"/>
      <c r="G25" s="112"/>
      <c r="H25" s="110">
        <f t="shared" si="0"/>
        <v>10096480</v>
      </c>
      <c r="I25" s="369"/>
      <c r="J25" s="214">
        <f>'HDD &amp; CDD'!M13</f>
        <v>18.200000000000003</v>
      </c>
      <c r="K25" s="214">
        <f>'HDD &amp; CDD'!M31</f>
        <v>68.099999999999994</v>
      </c>
      <c r="L25" s="485">
        <f t="shared" si="1"/>
        <v>31</v>
      </c>
      <c r="M25" s="214">
        <v>0</v>
      </c>
      <c r="N25" s="485">
        <f>[22]Sheet1!C23</f>
        <v>1</v>
      </c>
      <c r="O25" s="1095"/>
      <c r="P25" s="1082"/>
      <c r="Q25" s="1091"/>
      <c r="R25" s="1094">
        <f>'CDM Activity'!C73</f>
        <v>21310.394608862585</v>
      </c>
      <c r="S25" s="105"/>
      <c r="T25" s="105"/>
      <c r="U25" s="105"/>
      <c r="V25" s="1092"/>
      <c r="W25" s="1093">
        <f>[30]GDP!D48</f>
        <v>104.5398836784176</v>
      </c>
      <c r="X25" s="1097">
        <f>'[30]Customer Count'!L44</f>
        <v>5788</v>
      </c>
      <c r="Y25" s="1098"/>
      <c r="Z25" s="375"/>
      <c r="AA25" s="16" t="s">
        <v>133</v>
      </c>
      <c r="AB25" s="16">
        <v>-409437.75312933663</v>
      </c>
      <c r="AC25" s="16">
        <v>80050.472550921477</v>
      </c>
      <c r="AD25" s="16">
        <v>-5.1147449862820764</v>
      </c>
      <c r="AE25" s="16">
        <v>1.2960006474668467E-6</v>
      </c>
      <c r="AF25" s="16">
        <v>-568032.17710908479</v>
      </c>
      <c r="AG25" s="16">
        <v>-250843.32914958848</v>
      </c>
      <c r="AH25" s="16">
        <v>-568032.17710908479</v>
      </c>
      <c r="AI25" s="16">
        <v>-250843.32914958848</v>
      </c>
      <c r="AJ25" s="107"/>
      <c r="AK25" s="88"/>
      <c r="AL25" s="88"/>
      <c r="AM25" s="88"/>
      <c r="AN25" s="88"/>
      <c r="AO25" s="88"/>
      <c r="AP25" s="88"/>
      <c r="AQ25" s="88"/>
      <c r="AR25" s="88"/>
      <c r="AS25" s="88"/>
    </row>
    <row r="26" spans="2:45">
      <c r="B26" s="100">
        <f t="shared" si="2"/>
        <v>38990</v>
      </c>
      <c r="C26" s="108">
        <v>8938560</v>
      </c>
      <c r="D26" s="111"/>
      <c r="E26" s="123"/>
      <c r="F26" s="111"/>
      <c r="G26" s="112"/>
      <c r="H26" s="110">
        <f t="shared" si="0"/>
        <v>8938560</v>
      </c>
      <c r="I26" s="369"/>
      <c r="J26" s="214">
        <f>'HDD &amp; CDD'!M14</f>
        <v>120.99999999999997</v>
      </c>
      <c r="K26" s="214">
        <f>'HDD &amp; CDD'!M32</f>
        <v>5.3</v>
      </c>
      <c r="L26" s="485">
        <f t="shared" si="1"/>
        <v>30</v>
      </c>
      <c r="M26" s="214">
        <v>1</v>
      </c>
      <c r="N26" s="485">
        <f>[22]Sheet1!C24</f>
        <v>1</v>
      </c>
      <c r="O26" s="1095"/>
      <c r="P26" s="1082"/>
      <c r="Q26" s="1091"/>
      <c r="R26" s="1094">
        <f>'CDM Activity'!C74</f>
        <v>23974.193934970408</v>
      </c>
      <c r="S26" s="105"/>
      <c r="T26" s="105"/>
      <c r="U26" s="105"/>
      <c r="V26" s="1092"/>
      <c r="W26" s="1093">
        <f>[30]GDP!D49</f>
        <v>104.74669822736561</v>
      </c>
      <c r="X26" s="1097">
        <f>'[30]Customer Count'!L45</f>
        <v>5790.5</v>
      </c>
      <c r="Y26" s="1098"/>
      <c r="Z26" s="375"/>
      <c r="AA26" s="16" t="s">
        <v>134</v>
      </c>
      <c r="AB26" s="16">
        <v>-112987.42395236721</v>
      </c>
      <c r="AC26" s="16">
        <v>44403.873549250966</v>
      </c>
      <c r="AD26" s="16">
        <v>-2.5445398097318281</v>
      </c>
      <c r="AE26" s="16">
        <v>1.2291585748279776E-2</v>
      </c>
      <c r="AF26" s="16">
        <v>-200959.50611007545</v>
      </c>
      <c r="AG26" s="16">
        <v>-25015.341794658976</v>
      </c>
      <c r="AH26" s="16">
        <v>-200959.50611007545</v>
      </c>
      <c r="AI26" s="16">
        <v>-25015.341794658976</v>
      </c>
      <c r="AJ26" s="107"/>
      <c r="AK26" s="88"/>
      <c r="AL26" s="88"/>
      <c r="AM26" s="88"/>
      <c r="AN26" s="88"/>
      <c r="AO26" s="88"/>
      <c r="AP26" s="88"/>
      <c r="AQ26" s="88"/>
      <c r="AR26" s="88"/>
      <c r="AS26" s="88"/>
    </row>
    <row r="27" spans="2:45" ht="13.5" thickBot="1">
      <c r="B27" s="100">
        <f t="shared" si="2"/>
        <v>39021</v>
      </c>
      <c r="C27" s="108">
        <v>9952100</v>
      </c>
      <c r="D27" s="111"/>
      <c r="E27" s="123"/>
      <c r="F27" s="111"/>
      <c r="G27" s="112"/>
      <c r="H27" s="110">
        <f t="shared" si="0"/>
        <v>9952100</v>
      </c>
      <c r="I27" s="369"/>
      <c r="J27" s="214">
        <f>'HDD &amp; CDD'!M15</f>
        <v>335.70000000000005</v>
      </c>
      <c r="K27" s="214">
        <f>'HDD &amp; CDD'!M33</f>
        <v>0</v>
      </c>
      <c r="L27" s="485">
        <f t="shared" si="1"/>
        <v>31</v>
      </c>
      <c r="M27" s="214">
        <v>1</v>
      </c>
      <c r="N27" s="485">
        <f>[22]Sheet1!C25</f>
        <v>1</v>
      </c>
      <c r="O27" s="1095"/>
      <c r="P27" s="1082"/>
      <c r="Q27" s="1091"/>
      <c r="R27" s="1094">
        <f>'CDM Activity'!C75</f>
        <v>26637.993261078231</v>
      </c>
      <c r="S27" s="105"/>
      <c r="T27" s="105"/>
      <c r="U27" s="105"/>
      <c r="V27" s="1092"/>
      <c r="W27" s="1093">
        <f>[30]GDP!D50</f>
        <v>104.95392192405851</v>
      </c>
      <c r="X27" s="1097">
        <f>'[30]Customer Count'!L46</f>
        <v>5793</v>
      </c>
      <c r="Y27" s="1098"/>
      <c r="Z27" s="375"/>
      <c r="AA27" s="17" t="s">
        <v>516</v>
      </c>
      <c r="AB27" s="490">
        <v>-9204.6138113234774</v>
      </c>
      <c r="AC27" s="17">
        <v>737.38119419030591</v>
      </c>
      <c r="AD27" s="17">
        <v>-12.482843180494672</v>
      </c>
      <c r="AE27" s="17">
        <v>5.3013733133421642E-23</v>
      </c>
      <c r="AF27" s="17">
        <v>-10665.498950655041</v>
      </c>
      <c r="AG27" s="17">
        <v>-7743.7286719919139</v>
      </c>
      <c r="AH27" s="17">
        <v>-10665.498950655041</v>
      </c>
      <c r="AI27" s="17">
        <v>-7743.7286719919139</v>
      </c>
      <c r="AJ27" s="107"/>
      <c r="AK27" s="88"/>
      <c r="AL27" s="88"/>
      <c r="AM27" s="88"/>
      <c r="AN27" s="88"/>
      <c r="AO27" s="88"/>
      <c r="AP27" s="88"/>
      <c r="AQ27" s="88"/>
      <c r="AR27" s="88"/>
      <c r="AS27" s="88"/>
    </row>
    <row r="28" spans="2:45">
      <c r="B28" s="100">
        <f t="shared" si="2"/>
        <v>39051</v>
      </c>
      <c r="C28" s="108">
        <v>10436420</v>
      </c>
      <c r="D28" s="111"/>
      <c r="E28" s="123"/>
      <c r="F28" s="111"/>
      <c r="G28" s="112"/>
      <c r="H28" s="110">
        <f t="shared" si="0"/>
        <v>10436420</v>
      </c>
      <c r="I28" s="369"/>
      <c r="J28" s="214">
        <f>'HDD &amp; CDD'!M16</f>
        <v>417.3</v>
      </c>
      <c r="K28" s="214">
        <f>'HDD &amp; CDD'!M34</f>
        <v>0</v>
      </c>
      <c r="L28" s="485">
        <f t="shared" si="1"/>
        <v>30</v>
      </c>
      <c r="M28" s="214">
        <v>1</v>
      </c>
      <c r="N28" s="485">
        <f>[22]Sheet1!C26</f>
        <v>0</v>
      </c>
      <c r="O28" s="1095"/>
      <c r="P28" s="1082"/>
      <c r="Q28" s="1091"/>
      <c r="R28" s="1094">
        <f>'CDM Activity'!C76</f>
        <v>29301.792587186053</v>
      </c>
      <c r="S28" s="105"/>
      <c r="T28" s="105"/>
      <c r="U28" s="105"/>
      <c r="V28" s="1092"/>
      <c r="W28" s="1093">
        <f>[30]GDP!D51</f>
        <v>105.16155557792617</v>
      </c>
      <c r="X28" s="1097">
        <f>'[30]Customer Count'!L47</f>
        <v>5795.5</v>
      </c>
      <c r="Y28" s="1098"/>
      <c r="Z28" s="375"/>
      <c r="AA28"/>
      <c r="AB28"/>
      <c r="AC28"/>
      <c r="AD28"/>
      <c r="AE28"/>
      <c r="AF28"/>
      <c r="AG28"/>
      <c r="AH28"/>
      <c r="AI28"/>
      <c r="AJ28" s="107"/>
      <c r="AK28" s="88"/>
      <c r="AL28" s="88"/>
      <c r="AM28" s="88"/>
      <c r="AN28" s="88"/>
      <c r="AO28" s="88"/>
      <c r="AP28" s="88"/>
      <c r="AQ28" s="88"/>
      <c r="AR28" s="88"/>
      <c r="AS28" s="88"/>
    </row>
    <row r="29" spans="2:45" ht="13.5" customHeight="1" thickBot="1">
      <c r="B29" s="217">
        <f t="shared" si="2"/>
        <v>39082</v>
      </c>
      <c r="C29" s="124">
        <v>11345280</v>
      </c>
      <c r="D29" s="125"/>
      <c r="E29" s="125"/>
      <c r="F29" s="125"/>
      <c r="G29" s="126"/>
      <c r="H29" s="117">
        <f t="shared" si="0"/>
        <v>11345280</v>
      </c>
      <c r="I29" s="370"/>
      <c r="J29" s="165">
        <f>'HDD &amp; CDD'!M17</f>
        <v>609.99999999999989</v>
      </c>
      <c r="K29" s="165">
        <f>'HDD &amp; CDD'!M35</f>
        <v>0</v>
      </c>
      <c r="L29" s="486">
        <f t="shared" si="1"/>
        <v>31</v>
      </c>
      <c r="M29" s="165">
        <v>0</v>
      </c>
      <c r="N29" s="486">
        <f>[22]Sheet1!C27</f>
        <v>2</v>
      </c>
      <c r="O29" s="1095"/>
      <c r="P29" s="1082"/>
      <c r="Q29" s="1091"/>
      <c r="R29" s="1094">
        <f>'CDM Activity'!C77</f>
        <v>31965.591913293876</v>
      </c>
      <c r="S29" s="105"/>
      <c r="T29" s="105"/>
      <c r="U29" s="105"/>
      <c r="V29" s="1092"/>
      <c r="W29" s="1093">
        <f>[30]GDP!D52</f>
        <v>105.36959999999981</v>
      </c>
      <c r="X29" s="1097">
        <f>'[30]Customer Count'!L48</f>
        <v>5798</v>
      </c>
      <c r="Y29" s="1098"/>
      <c r="Z29" s="375"/>
      <c r="AA29"/>
      <c r="AB29"/>
      <c r="AC29"/>
      <c r="AD29"/>
      <c r="AE29"/>
      <c r="AF29"/>
      <c r="AG29"/>
      <c r="AH29"/>
      <c r="AI29"/>
      <c r="AJ29" s="107"/>
      <c r="AK29" s="88"/>
      <c r="AL29" s="88"/>
      <c r="AM29" s="88"/>
      <c r="AN29" s="88"/>
      <c r="AO29" s="88"/>
      <c r="AP29" s="88"/>
      <c r="AQ29" s="88"/>
      <c r="AR29" s="88"/>
      <c r="AS29" s="88"/>
    </row>
    <row r="30" spans="2:45" ht="13.5" thickBot="1">
      <c r="B30" s="100">
        <f t="shared" si="2"/>
        <v>39113</v>
      </c>
      <c r="C30" s="108">
        <v>12568180</v>
      </c>
      <c r="D30" s="111"/>
      <c r="E30" s="123"/>
      <c r="F30" s="111"/>
      <c r="G30" s="112"/>
      <c r="H30" s="110">
        <f t="shared" si="0"/>
        <v>12568180</v>
      </c>
      <c r="I30" s="369"/>
      <c r="J30" s="214">
        <f>'HDD &amp; CDD'!N6</f>
        <v>797.09999999999991</v>
      </c>
      <c r="K30" s="214">
        <f>'HDD &amp; CDD'!N24</f>
        <v>0</v>
      </c>
      <c r="L30" s="485">
        <f t="shared" si="1"/>
        <v>31</v>
      </c>
      <c r="M30" s="214">
        <v>0</v>
      </c>
      <c r="N30" s="485">
        <f>[22]Sheet1!C28</f>
        <v>1</v>
      </c>
      <c r="O30" s="1095"/>
      <c r="P30" s="1082"/>
      <c r="Q30" s="1091"/>
      <c r="R30" s="1094">
        <f>'CDM Activity'!C78</f>
        <v>34513.571109379933</v>
      </c>
      <c r="S30" s="105"/>
      <c r="T30" s="105"/>
      <c r="U30" s="105"/>
      <c r="V30" s="1092"/>
      <c r="W30" s="1093">
        <f>[30]GDP!D53</f>
        <v>105.55224543423039</v>
      </c>
      <c r="X30" s="1097">
        <f>'[30]Customer Count'!L49</f>
        <v>5799.5</v>
      </c>
      <c r="Y30" s="1098"/>
      <c r="Z30" s="1085" t="s">
        <v>518</v>
      </c>
      <c r="AA30" t="s">
        <v>14</v>
      </c>
      <c r="AB30"/>
      <c r="AC30"/>
      <c r="AD30"/>
      <c r="AE30"/>
      <c r="AF30"/>
      <c r="AG30"/>
      <c r="AH30"/>
      <c r="AI30"/>
    </row>
    <row r="31" spans="2:45" ht="13.5" thickBot="1">
      <c r="B31" s="100">
        <f t="shared" si="2"/>
        <v>39141</v>
      </c>
      <c r="C31" s="108">
        <v>12210720</v>
      </c>
      <c r="D31" s="111"/>
      <c r="E31" s="123"/>
      <c r="F31" s="111"/>
      <c r="G31" s="112"/>
      <c r="H31" s="110">
        <f t="shared" si="0"/>
        <v>12210720</v>
      </c>
      <c r="I31" s="369"/>
      <c r="J31" s="214">
        <f>'HDD &amp; CDD'!N7</f>
        <v>820</v>
      </c>
      <c r="K31" s="214">
        <f>'HDD &amp; CDD'!N25</f>
        <v>0</v>
      </c>
      <c r="L31" s="485">
        <f t="shared" si="1"/>
        <v>28</v>
      </c>
      <c r="M31" s="214">
        <v>0</v>
      </c>
      <c r="N31" s="485">
        <f>[22]Sheet1!C29</f>
        <v>0</v>
      </c>
      <c r="O31" s="1095"/>
      <c r="P31" s="1082"/>
      <c r="Q31" s="1091"/>
      <c r="R31" s="1094">
        <f>'CDM Activity'!C79</f>
        <v>37061.550305465986</v>
      </c>
      <c r="S31" s="105"/>
      <c r="T31" s="105"/>
      <c r="U31" s="105"/>
      <c r="V31" s="1092"/>
      <c r="W31" s="1093">
        <f>[30]GDP!D54</f>
        <v>105.73520746219052</v>
      </c>
      <c r="X31" s="1097">
        <f>'[30]Customer Count'!L50</f>
        <v>5801</v>
      </c>
      <c r="Y31" s="1098"/>
      <c r="Z31" s="375"/>
      <c r="AA31"/>
      <c r="AB31"/>
      <c r="AC31"/>
      <c r="AD31"/>
      <c r="AE31"/>
      <c r="AF31"/>
      <c r="AG31"/>
      <c r="AH31"/>
      <c r="AI31"/>
    </row>
    <row r="32" spans="2:45">
      <c r="B32" s="100">
        <f t="shared" si="2"/>
        <v>39172</v>
      </c>
      <c r="C32" s="108">
        <v>11873120</v>
      </c>
      <c r="D32" s="111"/>
      <c r="E32" s="123"/>
      <c r="F32" s="111"/>
      <c r="G32" s="112"/>
      <c r="H32" s="110">
        <f t="shared" si="0"/>
        <v>11873120</v>
      </c>
      <c r="I32" s="369"/>
      <c r="J32" s="214">
        <f>'HDD &amp; CDD'!N8</f>
        <v>643.00000000000023</v>
      </c>
      <c r="K32" s="214">
        <f>'HDD &amp; CDD'!N26</f>
        <v>0</v>
      </c>
      <c r="L32" s="485">
        <f t="shared" si="1"/>
        <v>31</v>
      </c>
      <c r="M32" s="214">
        <v>1</v>
      </c>
      <c r="N32" s="485">
        <f>[22]Sheet1!C30</f>
        <v>0</v>
      </c>
      <c r="O32" s="1095"/>
      <c r="P32" s="1082"/>
      <c r="Q32" s="1091"/>
      <c r="R32" s="1094">
        <f>'CDM Activity'!C80</f>
        <v>39609.529501552039</v>
      </c>
      <c r="S32" s="105"/>
      <c r="T32" s="105"/>
      <c r="U32" s="105"/>
      <c r="V32" s="1092"/>
      <c r="W32" s="1093">
        <f>[30]GDP!D55</f>
        <v>105.91848663265708</v>
      </c>
      <c r="X32" s="1097">
        <f>'[30]Customer Count'!L51</f>
        <v>5802.5</v>
      </c>
      <c r="Y32" s="1098"/>
      <c r="Z32" s="375"/>
      <c r="AA32" s="19" t="s">
        <v>15</v>
      </c>
      <c r="AB32" s="19"/>
      <c r="AC32"/>
      <c r="AD32"/>
      <c r="AE32"/>
      <c r="AF32"/>
      <c r="AG32"/>
      <c r="AH32"/>
      <c r="AI32"/>
      <c r="AJ32" s="107"/>
      <c r="AK32" s="88"/>
      <c r="AL32" s="88"/>
      <c r="AM32" s="88"/>
      <c r="AN32" s="88"/>
      <c r="AO32" s="88"/>
      <c r="AP32" s="88"/>
      <c r="AQ32" s="88"/>
      <c r="AR32" s="88"/>
      <c r="AS32" s="88"/>
    </row>
    <row r="33" spans="2:45">
      <c r="B33" s="100">
        <f t="shared" si="2"/>
        <v>39202</v>
      </c>
      <c r="C33" s="108">
        <v>9854780</v>
      </c>
      <c r="D33" s="111"/>
      <c r="E33" s="123"/>
      <c r="F33" s="111"/>
      <c r="G33" s="112"/>
      <c r="H33" s="110">
        <f t="shared" si="0"/>
        <v>9854780</v>
      </c>
      <c r="I33" s="369"/>
      <c r="J33" s="214">
        <f>'HDD &amp; CDD'!N9</f>
        <v>361.1</v>
      </c>
      <c r="K33" s="214">
        <f>'HDD &amp; CDD'!N27</f>
        <v>0</v>
      </c>
      <c r="L33" s="485">
        <f t="shared" si="1"/>
        <v>30</v>
      </c>
      <c r="M33" s="214">
        <v>1</v>
      </c>
      <c r="N33" s="485">
        <f>[22]Sheet1!C31</f>
        <v>2</v>
      </c>
      <c r="O33" s="1095"/>
      <c r="P33" s="1082"/>
      <c r="Q33" s="1091"/>
      <c r="R33" s="1094">
        <f>'CDM Activity'!C81</f>
        <v>42157.508697638092</v>
      </c>
      <c r="S33" s="105"/>
      <c r="T33" s="105"/>
      <c r="U33" s="105"/>
      <c r="V33" s="1092"/>
      <c r="W33" s="1093">
        <f>[30]GDP!D56</f>
        <v>106.10208349535816</v>
      </c>
      <c r="X33" s="1097">
        <f>'[30]Customer Count'!L52</f>
        <v>5804</v>
      </c>
      <c r="Y33" s="1098"/>
      <c r="Z33" s="375"/>
      <c r="AA33" s="16" t="s">
        <v>16</v>
      </c>
      <c r="AB33" s="16">
        <v>0.96713269141444147</v>
      </c>
      <c r="AC33"/>
      <c r="AD33"/>
      <c r="AE33"/>
      <c r="AF33"/>
      <c r="AG33"/>
      <c r="AH33"/>
      <c r="AI33"/>
      <c r="AJ33" s="107"/>
      <c r="AK33" s="88"/>
      <c r="AL33" s="88"/>
      <c r="AM33" s="88"/>
      <c r="AN33" s="88"/>
      <c r="AO33" s="88"/>
      <c r="AP33" s="88"/>
      <c r="AQ33" s="88"/>
      <c r="AR33" s="88"/>
      <c r="AS33" s="88"/>
    </row>
    <row r="34" spans="2:45">
      <c r="B34" s="100">
        <f t="shared" si="2"/>
        <v>39233</v>
      </c>
      <c r="C34" s="108">
        <v>9000430</v>
      </c>
      <c r="D34" s="111"/>
      <c r="E34" s="123"/>
      <c r="F34" s="111"/>
      <c r="G34" s="112"/>
      <c r="H34" s="110">
        <f t="shared" si="0"/>
        <v>9000430</v>
      </c>
      <c r="I34" s="369"/>
      <c r="J34" s="214">
        <f>'HDD &amp; CDD'!N10</f>
        <v>157.30000000000001</v>
      </c>
      <c r="K34" s="214">
        <f>'HDD &amp; CDD'!N28</f>
        <v>17.3</v>
      </c>
      <c r="L34" s="485">
        <f t="shared" si="1"/>
        <v>31</v>
      </c>
      <c r="M34" s="214">
        <v>1</v>
      </c>
      <c r="N34" s="485">
        <f>[22]Sheet1!C32</f>
        <v>1</v>
      </c>
      <c r="O34" s="1095"/>
      <c r="P34" s="1082"/>
      <c r="Q34" s="1091"/>
      <c r="R34" s="1094">
        <f>'CDM Activity'!C82</f>
        <v>44705.487893724145</v>
      </c>
      <c r="S34" s="105"/>
      <c r="T34" s="105"/>
      <c r="U34" s="105"/>
      <c r="V34" s="1092"/>
      <c r="W34" s="1093">
        <f>[30]GDP!D57</f>
        <v>106.28599860097476</v>
      </c>
      <c r="X34" s="1097">
        <f>'[30]Customer Count'!L53</f>
        <v>5805.5</v>
      </c>
      <c r="Y34" s="1098"/>
      <c r="Z34" s="375"/>
      <c r="AA34" s="16" t="s">
        <v>17</v>
      </c>
      <c r="AB34" s="16">
        <v>0.93534564280254118</v>
      </c>
      <c r="AC34"/>
      <c r="AD34"/>
      <c r="AE34"/>
      <c r="AF34"/>
      <c r="AG34"/>
      <c r="AH34"/>
      <c r="AI34"/>
      <c r="AJ34" s="107"/>
      <c r="AK34" s="88"/>
      <c r="AL34" s="88"/>
      <c r="AM34" s="88"/>
      <c r="AN34" s="88"/>
      <c r="AO34" s="88"/>
      <c r="AP34" s="88"/>
      <c r="AQ34" s="88"/>
      <c r="AR34" s="88"/>
      <c r="AS34" s="88"/>
    </row>
    <row r="35" spans="2:45">
      <c r="B35" s="100">
        <f t="shared" si="2"/>
        <v>39263</v>
      </c>
      <c r="C35" s="108">
        <v>9265780</v>
      </c>
      <c r="D35" s="111"/>
      <c r="E35" s="123"/>
      <c r="F35" s="111"/>
      <c r="G35" s="112"/>
      <c r="H35" s="110">
        <f t="shared" si="0"/>
        <v>9265780</v>
      </c>
      <c r="I35" s="369"/>
      <c r="J35" s="214">
        <f>'HDD &amp; CDD'!N11</f>
        <v>34.200000000000003</v>
      </c>
      <c r="K35" s="214">
        <f>'HDD &amp; CDD'!N29</f>
        <v>66.900000000000006</v>
      </c>
      <c r="L35" s="485">
        <f t="shared" si="1"/>
        <v>30</v>
      </c>
      <c r="M35" s="214">
        <v>0</v>
      </c>
      <c r="N35" s="485">
        <f>[22]Sheet1!C33</f>
        <v>0</v>
      </c>
      <c r="O35" s="1095"/>
      <c r="P35" s="1082"/>
      <c r="Q35" s="1091"/>
      <c r="R35" s="1094">
        <f>'CDM Activity'!C83</f>
        <v>47253.467089810198</v>
      </c>
      <c r="S35" s="105"/>
      <c r="T35" s="105"/>
      <c r="U35" s="105"/>
      <c r="V35" s="1092"/>
      <c r="W35" s="1093">
        <f>[30]GDP!D58</f>
        <v>106.47023250114242</v>
      </c>
      <c r="X35" s="1097">
        <f>'[30]Customer Count'!L54</f>
        <v>5807</v>
      </c>
      <c r="Y35" s="1098"/>
      <c r="Z35" s="375"/>
      <c r="AA35" s="16" t="s">
        <v>18</v>
      </c>
      <c r="AB35" s="16">
        <v>0.93191266808409212</v>
      </c>
      <c r="AC35"/>
      <c r="AD35"/>
      <c r="AE35"/>
      <c r="AF35"/>
      <c r="AG35"/>
      <c r="AH35"/>
      <c r="AI35"/>
      <c r="AJ35" s="107"/>
      <c r="AK35" s="88"/>
      <c r="AL35" s="88"/>
      <c r="AM35" s="88"/>
      <c r="AN35" s="88"/>
      <c r="AO35" s="88"/>
      <c r="AP35" s="88"/>
      <c r="AQ35" s="88"/>
      <c r="AR35" s="88"/>
      <c r="AS35" s="88"/>
    </row>
    <row r="36" spans="2:45">
      <c r="B36" s="100">
        <f t="shared" si="2"/>
        <v>39294</v>
      </c>
      <c r="C36" s="108">
        <v>9662330</v>
      </c>
      <c r="D36" s="111"/>
      <c r="E36" s="123"/>
      <c r="F36" s="111"/>
      <c r="G36" s="112"/>
      <c r="H36" s="110">
        <f t="shared" si="0"/>
        <v>9662330</v>
      </c>
      <c r="I36" s="369"/>
      <c r="J36" s="214">
        <f>'HDD &amp; CDD'!N12</f>
        <v>11.799999999999999</v>
      </c>
      <c r="K36" s="214">
        <f>'HDD &amp; CDD'!N30</f>
        <v>65.100000000000009</v>
      </c>
      <c r="L36" s="485">
        <f t="shared" si="1"/>
        <v>31</v>
      </c>
      <c r="M36" s="214">
        <v>0</v>
      </c>
      <c r="N36" s="485">
        <f>[22]Sheet1!C34</f>
        <v>1</v>
      </c>
      <c r="O36" s="1095"/>
      <c r="P36" s="1082"/>
      <c r="Q36" s="1091"/>
      <c r="R36" s="1094">
        <f>'CDM Activity'!C84</f>
        <v>49801.446285896251</v>
      </c>
      <c r="S36" s="105"/>
      <c r="T36" s="105"/>
      <c r="U36" s="105"/>
      <c r="V36" s="1092"/>
      <c r="W36" s="1093">
        <f>[30]GDP!D59</f>
        <v>106.65478574845287</v>
      </c>
      <c r="X36" s="1097">
        <f>'[30]Customer Count'!L55</f>
        <v>5808.5</v>
      </c>
      <c r="Y36" s="1098"/>
      <c r="Z36" s="375"/>
      <c r="AA36" s="16" t="s">
        <v>19</v>
      </c>
      <c r="AB36" s="16">
        <v>332092.70462018764</v>
      </c>
      <c r="AC36"/>
      <c r="AD36"/>
      <c r="AE36"/>
      <c r="AF36"/>
      <c r="AG36"/>
      <c r="AH36"/>
      <c r="AI36"/>
      <c r="AJ36" s="107"/>
      <c r="AK36" s="88"/>
      <c r="AL36" s="88"/>
      <c r="AM36" s="88"/>
      <c r="AN36" s="88"/>
      <c r="AO36" s="88"/>
      <c r="AP36" s="88"/>
      <c r="AQ36" s="88"/>
      <c r="AR36" s="88"/>
      <c r="AS36" s="88"/>
    </row>
    <row r="37" spans="2:45" ht="14.25" customHeight="1" thickBot="1">
      <c r="B37" s="100">
        <f t="shared" si="2"/>
        <v>39325</v>
      </c>
      <c r="C37" s="108">
        <v>9982760</v>
      </c>
      <c r="D37" s="111"/>
      <c r="E37" s="123"/>
      <c r="F37" s="111"/>
      <c r="G37" s="112"/>
      <c r="H37" s="110">
        <f t="shared" si="0"/>
        <v>9982760</v>
      </c>
      <c r="I37" s="369"/>
      <c r="J37" s="214">
        <f>'HDD &amp; CDD'!N13</f>
        <v>20.100000000000001</v>
      </c>
      <c r="K37" s="214">
        <f>'HDD &amp; CDD'!N31</f>
        <v>79.300000000000026</v>
      </c>
      <c r="L37" s="485">
        <f t="shared" si="1"/>
        <v>31</v>
      </c>
      <c r="M37" s="214">
        <v>0</v>
      </c>
      <c r="N37" s="485">
        <f>[22]Sheet1!C35</f>
        <v>1</v>
      </c>
      <c r="O37" s="1095"/>
      <c r="P37" s="1082"/>
      <c r="Q37" s="1091"/>
      <c r="R37" s="1094">
        <f>'CDM Activity'!C85</f>
        <v>52349.425481982304</v>
      </c>
      <c r="S37" s="105"/>
      <c r="T37" s="105"/>
      <c r="U37" s="105"/>
      <c r="V37" s="1092"/>
      <c r="W37" s="1093">
        <f>[30]GDP!D60</f>
        <v>106.83965889645567</v>
      </c>
      <c r="X37" s="1097">
        <f>'[30]Customer Count'!L56</f>
        <v>5810</v>
      </c>
      <c r="Y37" s="1098"/>
      <c r="Z37" s="375"/>
      <c r="AA37" s="17" t="s">
        <v>20</v>
      </c>
      <c r="AB37" s="17">
        <v>120</v>
      </c>
      <c r="AC37"/>
      <c r="AD37"/>
      <c r="AE37"/>
      <c r="AF37"/>
      <c r="AG37"/>
      <c r="AH37"/>
      <c r="AI37"/>
      <c r="AJ37" s="107"/>
      <c r="AK37" s="88"/>
      <c r="AL37" s="88"/>
      <c r="AM37" s="88"/>
      <c r="AN37" s="88"/>
      <c r="AO37" s="88"/>
      <c r="AP37" s="88"/>
      <c r="AQ37" s="88"/>
      <c r="AR37" s="88"/>
      <c r="AS37" s="88"/>
    </row>
    <row r="38" spans="2:45">
      <c r="B38" s="100">
        <f t="shared" si="2"/>
        <v>39355</v>
      </c>
      <c r="C38" s="108">
        <v>9063690</v>
      </c>
      <c r="D38" s="111"/>
      <c r="E38" s="123"/>
      <c r="F38" s="111"/>
      <c r="G38" s="112"/>
      <c r="H38" s="110">
        <f t="shared" ref="H38:H69" si="3">SUM(C38:G38)</f>
        <v>9063690</v>
      </c>
      <c r="I38" s="369"/>
      <c r="J38" s="214">
        <f>'HDD &amp; CDD'!N14</f>
        <v>75.999999999999986</v>
      </c>
      <c r="K38" s="214">
        <f>'HDD &amp; CDD'!N32</f>
        <v>25.7</v>
      </c>
      <c r="L38" s="485">
        <f t="shared" si="1"/>
        <v>30</v>
      </c>
      <c r="M38" s="214">
        <v>1</v>
      </c>
      <c r="N38" s="485">
        <f>[22]Sheet1!C36</f>
        <v>1</v>
      </c>
      <c r="O38" s="1095"/>
      <c r="P38" s="1082"/>
      <c r="Q38" s="1091"/>
      <c r="R38" s="1094">
        <f>'CDM Activity'!C86</f>
        <v>54897.404678068357</v>
      </c>
      <c r="S38" s="105"/>
      <c r="T38" s="105"/>
      <c r="U38" s="105"/>
      <c r="V38" s="1092"/>
      <c r="W38" s="1093">
        <f>[30]GDP!D61</f>
        <v>107.02485249965993</v>
      </c>
      <c r="X38" s="1097">
        <f>'[30]Customer Count'!L57</f>
        <v>5811.5</v>
      </c>
      <c r="Y38" s="1098"/>
      <c r="Z38" s="375"/>
      <c r="AA38"/>
      <c r="AB38"/>
      <c r="AC38"/>
      <c r="AD38"/>
      <c r="AE38"/>
      <c r="AF38"/>
      <c r="AG38"/>
      <c r="AH38"/>
      <c r="AI38"/>
      <c r="AJ38" s="107"/>
      <c r="AK38" s="88"/>
      <c r="AL38" s="88"/>
      <c r="AM38" s="88"/>
      <c r="AN38" s="88"/>
      <c r="AO38" s="88"/>
      <c r="AP38" s="88"/>
      <c r="AQ38" s="88"/>
      <c r="AR38" s="88"/>
      <c r="AS38" s="88"/>
    </row>
    <row r="39" spans="2:45" ht="13.5" thickBot="1">
      <c r="B39" s="100">
        <f t="shared" si="2"/>
        <v>39386</v>
      </c>
      <c r="C39" s="108">
        <v>9402850</v>
      </c>
      <c r="D39" s="111"/>
      <c r="E39" s="123"/>
      <c r="F39" s="111"/>
      <c r="G39" s="112"/>
      <c r="H39" s="110">
        <f t="shared" si="3"/>
        <v>9402850</v>
      </c>
      <c r="I39" s="369"/>
      <c r="J39" s="214">
        <f>'HDD &amp; CDD'!N15</f>
        <v>227.49999999999997</v>
      </c>
      <c r="K39" s="214">
        <f>'HDD &amp; CDD'!N33</f>
        <v>1.9</v>
      </c>
      <c r="L39" s="485">
        <f t="shared" si="1"/>
        <v>31</v>
      </c>
      <c r="M39" s="214">
        <v>1</v>
      </c>
      <c r="N39" s="485">
        <f>[22]Sheet1!C37</f>
        <v>1</v>
      </c>
      <c r="O39" s="1095"/>
      <c r="P39" s="1082"/>
      <c r="Q39" s="1091"/>
      <c r="R39" s="1094">
        <f>'CDM Activity'!C87</f>
        <v>57445.38387415441</v>
      </c>
      <c r="S39" s="105"/>
      <c r="T39" s="105"/>
      <c r="U39" s="105"/>
      <c r="V39" s="1092"/>
      <c r="W39" s="1093">
        <f>[30]GDP!D62</f>
        <v>107.2103671135359</v>
      </c>
      <c r="X39" s="1097">
        <f>'[30]Customer Count'!L58</f>
        <v>5813</v>
      </c>
      <c r="Y39" s="1098"/>
      <c r="Z39" s="375"/>
      <c r="AA39" t="s">
        <v>21</v>
      </c>
      <c r="AB39"/>
      <c r="AC39"/>
      <c r="AD39"/>
      <c r="AE39"/>
      <c r="AF39"/>
      <c r="AG39"/>
      <c r="AH39"/>
      <c r="AI39"/>
      <c r="AJ39" s="107"/>
      <c r="AK39" s="88"/>
      <c r="AL39" s="88"/>
      <c r="AM39" s="88"/>
      <c r="AN39" s="88"/>
      <c r="AO39" s="88"/>
      <c r="AP39" s="88"/>
      <c r="AQ39" s="88"/>
      <c r="AR39" s="88"/>
      <c r="AS39" s="88"/>
    </row>
    <row r="40" spans="2:45" ht="13.5" customHeight="1">
      <c r="B40" s="100">
        <f t="shared" si="2"/>
        <v>39416</v>
      </c>
      <c r="C40" s="108">
        <v>10423660</v>
      </c>
      <c r="D40" s="111"/>
      <c r="E40" s="123"/>
      <c r="F40" s="111"/>
      <c r="G40" s="112"/>
      <c r="H40" s="110">
        <f t="shared" si="3"/>
        <v>10423660</v>
      </c>
      <c r="I40" s="369"/>
      <c r="J40" s="214">
        <f>'HDD &amp; CDD'!N16</f>
        <v>517</v>
      </c>
      <c r="K40" s="214">
        <f>'HDD &amp; CDD'!N34</f>
        <v>0</v>
      </c>
      <c r="L40" s="485">
        <f t="shared" si="1"/>
        <v>30</v>
      </c>
      <c r="M40" s="214">
        <v>1</v>
      </c>
      <c r="N40" s="485">
        <f>[22]Sheet1!C38</f>
        <v>0</v>
      </c>
      <c r="O40" s="1095"/>
      <c r="P40" s="1082"/>
      <c r="Q40" s="1091"/>
      <c r="R40" s="1094">
        <f>'CDM Activity'!C88</f>
        <v>59993.363070240463</v>
      </c>
      <c r="S40" s="105"/>
      <c r="T40" s="105"/>
      <c r="U40" s="105"/>
      <c r="V40" s="1092"/>
      <c r="W40" s="1093">
        <f>[30]GDP!D63</f>
        <v>107.39620329451667</v>
      </c>
      <c r="X40" s="1097">
        <f>'[30]Customer Count'!L59</f>
        <v>5814.5</v>
      </c>
      <c r="Y40" s="1098"/>
      <c r="Z40" s="375"/>
      <c r="AA40" s="18"/>
      <c r="AB40" s="18" t="s">
        <v>25</v>
      </c>
      <c r="AC40" s="18" t="s">
        <v>26</v>
      </c>
      <c r="AD40" s="18" t="s">
        <v>27</v>
      </c>
      <c r="AE40" s="18" t="s">
        <v>28</v>
      </c>
      <c r="AF40" s="18" t="s">
        <v>29</v>
      </c>
      <c r="AG40"/>
      <c r="AH40"/>
      <c r="AI40"/>
      <c r="AJ40" s="107"/>
      <c r="AK40" s="88"/>
      <c r="AL40" s="88"/>
      <c r="AM40" s="88"/>
      <c r="AN40" s="88"/>
      <c r="AO40" s="88"/>
      <c r="AP40" s="88"/>
      <c r="AQ40" s="88"/>
      <c r="AR40" s="88"/>
      <c r="AS40" s="88"/>
    </row>
    <row r="41" spans="2:45">
      <c r="B41" s="217">
        <f t="shared" si="2"/>
        <v>39447</v>
      </c>
      <c r="C41" s="124">
        <v>12253260</v>
      </c>
      <c r="D41" s="125"/>
      <c r="E41" s="125"/>
      <c r="F41" s="125"/>
      <c r="G41" s="126"/>
      <c r="H41" s="117">
        <f t="shared" si="3"/>
        <v>12253260</v>
      </c>
      <c r="I41" s="370"/>
      <c r="J41" s="165">
        <f>'HDD &amp; CDD'!N17</f>
        <v>787.69999999999982</v>
      </c>
      <c r="K41" s="165">
        <f>'HDD &amp; CDD'!N35</f>
        <v>0</v>
      </c>
      <c r="L41" s="486">
        <f t="shared" si="1"/>
        <v>31</v>
      </c>
      <c r="M41" s="165">
        <v>0</v>
      </c>
      <c r="N41" s="486">
        <f>[22]Sheet1!C39</f>
        <v>2</v>
      </c>
      <c r="O41" s="1095"/>
      <c r="P41" s="1082"/>
      <c r="Q41" s="1091"/>
      <c r="R41" s="1094">
        <f>'CDM Activity'!C89</f>
        <v>62541.342266326516</v>
      </c>
      <c r="S41" s="105"/>
      <c r="T41" s="105"/>
      <c r="U41" s="105"/>
      <c r="V41" s="1092"/>
      <c r="W41" s="1093">
        <f>[30]GDP!D64</f>
        <v>107.58236159999987</v>
      </c>
      <c r="X41" s="1097">
        <f>'[30]Customer Count'!L60</f>
        <v>5816</v>
      </c>
      <c r="Y41" s="1098"/>
      <c r="Z41" s="375"/>
      <c r="AA41" s="16" t="s">
        <v>22</v>
      </c>
      <c r="AB41" s="16">
        <v>6</v>
      </c>
      <c r="AC41" s="16">
        <v>180289918761951.19</v>
      </c>
      <c r="AD41" s="16">
        <v>30048319793658.531</v>
      </c>
      <c r="AE41" s="16">
        <v>272.45922837004912</v>
      </c>
      <c r="AF41" s="16">
        <v>9.2802082289615509E-65</v>
      </c>
      <c r="AG41"/>
      <c r="AH41"/>
      <c r="AI41"/>
      <c r="AJ41" s="107"/>
      <c r="AK41" s="88"/>
      <c r="AL41" s="88"/>
      <c r="AM41" s="88"/>
      <c r="AN41" s="88"/>
      <c r="AO41" s="88"/>
      <c r="AP41" s="88"/>
      <c r="AQ41" s="88"/>
      <c r="AR41" s="88"/>
      <c r="AS41" s="88"/>
    </row>
    <row r="42" spans="2:45">
      <c r="B42" s="100">
        <f t="shared" si="2"/>
        <v>39478</v>
      </c>
      <c r="C42" s="108">
        <v>12288190</v>
      </c>
      <c r="D42" s="111"/>
      <c r="E42" s="123"/>
      <c r="F42" s="111"/>
      <c r="G42" s="112"/>
      <c r="H42" s="110">
        <f t="shared" si="3"/>
        <v>12288190</v>
      </c>
      <c r="I42" s="369"/>
      <c r="J42" s="214">
        <f>'HDD &amp; CDD'!O6</f>
        <v>754.20000000000016</v>
      </c>
      <c r="K42" s="214">
        <f>'HDD &amp; CDD'!O24</f>
        <v>0</v>
      </c>
      <c r="L42" s="485">
        <f t="shared" si="1"/>
        <v>31</v>
      </c>
      <c r="M42" s="214">
        <v>0</v>
      </c>
      <c r="N42" s="485">
        <f>[22]Sheet1!C40</f>
        <v>1</v>
      </c>
      <c r="O42" s="1095"/>
      <c r="P42" s="1082"/>
      <c r="Q42" s="1091"/>
      <c r="R42" s="1094">
        <f>'CDM Activity'!C90</f>
        <v>64386.233004899106</v>
      </c>
      <c r="S42" s="105"/>
      <c r="T42" s="105"/>
      <c r="U42" s="105"/>
      <c r="V42" s="1092"/>
      <c r="W42" s="1093">
        <f>[30]GDP!D65</f>
        <v>107.52842192391142</v>
      </c>
      <c r="X42" s="1097">
        <f>'[30]Customer Count'!L61</f>
        <v>5815.5</v>
      </c>
      <c r="Y42" s="1098"/>
      <c r="Z42" s="375"/>
      <c r="AA42" s="16" t="s">
        <v>23</v>
      </c>
      <c r="AB42" s="16">
        <v>113</v>
      </c>
      <c r="AC42" s="16">
        <v>12462268784200.484</v>
      </c>
      <c r="AD42" s="16">
        <v>110285564461.95119</v>
      </c>
      <c r="AE42" s="16"/>
      <c r="AF42" s="16"/>
      <c r="AG42"/>
      <c r="AH42"/>
      <c r="AI42"/>
      <c r="AJ42" s="107"/>
      <c r="AK42" s="88"/>
      <c r="AL42" s="88"/>
      <c r="AM42" s="88"/>
      <c r="AN42" s="88"/>
      <c r="AO42" s="88"/>
      <c r="AP42" s="88"/>
      <c r="AQ42" s="88"/>
      <c r="AR42" s="88"/>
      <c r="AS42" s="88"/>
    </row>
    <row r="43" spans="2:45" ht="13.5" thickBot="1">
      <c r="B43" s="100">
        <f t="shared" si="2"/>
        <v>39507</v>
      </c>
      <c r="C43" s="108">
        <v>11701800</v>
      </c>
      <c r="D43" s="111"/>
      <c r="E43" s="123"/>
      <c r="F43" s="111"/>
      <c r="G43" s="112"/>
      <c r="H43" s="110">
        <f t="shared" si="3"/>
        <v>11701800</v>
      </c>
      <c r="I43" s="369"/>
      <c r="J43" s="214">
        <f>'HDD &amp; CDD'!O7</f>
        <v>774.30000000000007</v>
      </c>
      <c r="K43" s="214">
        <f>'HDD &amp; CDD'!O25</f>
        <v>0</v>
      </c>
      <c r="L43" s="485">
        <f t="shared" si="1"/>
        <v>29</v>
      </c>
      <c r="M43" s="214">
        <v>0</v>
      </c>
      <c r="N43" s="485">
        <f>[22]Sheet1!C41</f>
        <v>1</v>
      </c>
      <c r="O43" s="1095"/>
      <c r="P43" s="1082"/>
      <c r="Q43" s="1091"/>
      <c r="R43" s="1094">
        <f>'CDM Activity'!C91</f>
        <v>66231.12374347169</v>
      </c>
      <c r="S43" s="105"/>
      <c r="T43" s="105"/>
      <c r="U43" s="105"/>
      <c r="V43" s="1092"/>
      <c r="W43" s="1093">
        <f>[30]GDP!D66</f>
        <v>107.47450929211362</v>
      </c>
      <c r="X43" s="1097">
        <f>'[30]Customer Count'!L62</f>
        <v>5815</v>
      </c>
      <c r="Y43" s="1098"/>
      <c r="Z43" s="375"/>
      <c r="AA43" s="17" t="s">
        <v>5</v>
      </c>
      <c r="AB43" s="17">
        <v>119</v>
      </c>
      <c r="AC43" s="17">
        <v>192752187546151.69</v>
      </c>
      <c r="AD43" s="17"/>
      <c r="AE43" s="17"/>
      <c r="AF43" s="17"/>
      <c r="AG43"/>
      <c r="AH43"/>
      <c r="AI43"/>
      <c r="AJ43" s="107"/>
      <c r="AK43" s="88"/>
      <c r="AL43" s="88"/>
      <c r="AM43" s="88"/>
      <c r="AN43" s="88"/>
      <c r="AO43" s="88"/>
      <c r="AP43" s="88"/>
      <c r="AQ43" s="88"/>
      <c r="AR43" s="88"/>
      <c r="AS43" s="88"/>
    </row>
    <row r="44" spans="2:45" ht="13.5" thickBot="1">
      <c r="B44" s="100">
        <f t="shared" si="2"/>
        <v>39538</v>
      </c>
      <c r="C44" s="108">
        <v>11663590</v>
      </c>
      <c r="D44" s="111"/>
      <c r="E44" s="123"/>
      <c r="F44" s="111"/>
      <c r="G44" s="112"/>
      <c r="H44" s="110">
        <f t="shared" si="3"/>
        <v>11663590</v>
      </c>
      <c r="I44" s="369"/>
      <c r="J44" s="214">
        <f>'HDD &amp; CDD'!O8</f>
        <v>721.1</v>
      </c>
      <c r="K44" s="214">
        <f>'HDD &amp; CDD'!O26</f>
        <v>0</v>
      </c>
      <c r="L44" s="485">
        <f t="shared" si="1"/>
        <v>31</v>
      </c>
      <c r="M44" s="214">
        <v>1</v>
      </c>
      <c r="N44" s="485">
        <f>[22]Sheet1!C42</f>
        <v>2</v>
      </c>
      <c r="O44" s="1095"/>
      <c r="P44" s="1082"/>
      <c r="Q44" s="1091"/>
      <c r="R44" s="1094">
        <f>'CDM Activity'!C92</f>
        <v>68076.01448204428</v>
      </c>
      <c r="S44" s="105"/>
      <c r="T44" s="105"/>
      <c r="U44" s="105"/>
      <c r="V44" s="1092"/>
      <c r="W44" s="1093">
        <f>[30]GDP!D67</f>
        <v>107.42062369104701</v>
      </c>
      <c r="X44" s="1097">
        <f>'[30]Customer Count'!L63</f>
        <v>5814.5</v>
      </c>
      <c r="Y44" s="1098"/>
      <c r="Z44" s="375"/>
      <c r="AA44"/>
      <c r="AB44"/>
      <c r="AC44"/>
      <c r="AD44"/>
      <c r="AE44"/>
      <c r="AF44"/>
      <c r="AG44"/>
      <c r="AH44"/>
      <c r="AI44"/>
      <c r="AJ44" s="107"/>
      <c r="AK44" s="88"/>
      <c r="AL44" s="88"/>
      <c r="AM44" s="88"/>
      <c r="AN44" s="88"/>
      <c r="AO44" s="88"/>
      <c r="AP44" s="88"/>
      <c r="AQ44" s="88"/>
      <c r="AR44" s="88"/>
      <c r="AS44" s="88"/>
    </row>
    <row r="45" spans="2:45">
      <c r="B45" s="100">
        <f t="shared" si="2"/>
        <v>39568</v>
      </c>
      <c r="C45" s="108">
        <v>9464610</v>
      </c>
      <c r="D45" s="111"/>
      <c r="E45" s="123"/>
      <c r="F45" s="111"/>
      <c r="G45" s="112"/>
      <c r="H45" s="110">
        <f t="shared" si="3"/>
        <v>9464610</v>
      </c>
      <c r="I45" s="369"/>
      <c r="J45" s="214">
        <f>'HDD &amp; CDD'!O9</f>
        <v>299.60000000000008</v>
      </c>
      <c r="K45" s="214">
        <f>'HDD &amp; CDD'!O27</f>
        <v>0</v>
      </c>
      <c r="L45" s="485">
        <f t="shared" si="1"/>
        <v>30</v>
      </c>
      <c r="M45" s="214">
        <v>1</v>
      </c>
      <c r="N45" s="485">
        <f>[22]Sheet1!C43</f>
        <v>0</v>
      </c>
      <c r="O45" s="1095"/>
      <c r="P45" s="1082"/>
      <c r="Q45" s="1091"/>
      <c r="R45" s="1094">
        <f>'CDM Activity'!C93</f>
        <v>69920.905220616871</v>
      </c>
      <c r="S45" s="105"/>
      <c r="T45" s="105"/>
      <c r="U45" s="105"/>
      <c r="V45" s="1092"/>
      <c r="W45" s="1093">
        <f>[30]GDP!D68</f>
        <v>107.3667651071589</v>
      </c>
      <c r="X45" s="1097">
        <f>'[30]Customer Count'!L64</f>
        <v>5814</v>
      </c>
      <c r="Y45" s="1098"/>
      <c r="Z45" s="375"/>
      <c r="AA45" s="18"/>
      <c r="AB45" s="18" t="s">
        <v>30</v>
      </c>
      <c r="AC45" s="18" t="s">
        <v>19</v>
      </c>
      <c r="AD45" s="18" t="s">
        <v>31</v>
      </c>
      <c r="AE45" s="18" t="s">
        <v>32</v>
      </c>
      <c r="AF45" s="18" t="s">
        <v>33</v>
      </c>
      <c r="AG45" s="18" t="s">
        <v>34</v>
      </c>
      <c r="AH45" s="18" t="s">
        <v>125</v>
      </c>
      <c r="AI45" s="18" t="s">
        <v>126</v>
      </c>
      <c r="AJ45" s="107"/>
      <c r="AK45" s="88"/>
      <c r="AL45" s="88"/>
      <c r="AM45" s="88"/>
      <c r="AN45" s="88"/>
      <c r="AO45" s="88"/>
      <c r="AP45" s="88"/>
      <c r="AQ45" s="88"/>
      <c r="AR45" s="88"/>
      <c r="AS45" s="88"/>
    </row>
    <row r="46" spans="2:45">
      <c r="B46" s="100">
        <f t="shared" si="2"/>
        <v>39599</v>
      </c>
      <c r="C46" s="108">
        <v>8709540</v>
      </c>
      <c r="D46" s="111"/>
      <c r="E46" s="123"/>
      <c r="F46" s="111"/>
      <c r="G46" s="112"/>
      <c r="H46" s="110">
        <f t="shared" si="3"/>
        <v>8709540</v>
      </c>
      <c r="I46" s="369"/>
      <c r="J46" s="214">
        <f>'HDD &amp; CDD'!O10</f>
        <v>185.40000000000003</v>
      </c>
      <c r="K46" s="214">
        <f>'HDD &amp; CDD'!O28</f>
        <v>0</v>
      </c>
      <c r="L46" s="485">
        <f t="shared" si="1"/>
        <v>31</v>
      </c>
      <c r="M46" s="214">
        <v>1</v>
      </c>
      <c r="N46" s="485">
        <f>[22]Sheet1!C44</f>
        <v>1</v>
      </c>
      <c r="O46" s="1095"/>
      <c r="P46" s="1082"/>
      <c r="Q46" s="1091"/>
      <c r="R46" s="1094">
        <f>'CDM Activity'!C94</f>
        <v>71765.795959189461</v>
      </c>
      <c r="S46" s="105"/>
      <c r="T46" s="105"/>
      <c r="U46" s="105"/>
      <c r="V46" s="1092"/>
      <c r="W46" s="1093">
        <f>[30]GDP!D69</f>
        <v>107.31293352690341</v>
      </c>
      <c r="X46" s="1097">
        <f>'[30]Customer Count'!L65</f>
        <v>5813.5</v>
      </c>
      <c r="Y46" s="1098"/>
      <c r="Z46" s="375"/>
      <c r="AA46" s="16" t="s">
        <v>24</v>
      </c>
      <c r="AB46" s="16">
        <v>9126795.7081660889</v>
      </c>
      <c r="AC46" s="16">
        <v>1481172.6923085351</v>
      </c>
      <c r="AD46" s="16">
        <v>6.1618714384621773</v>
      </c>
      <c r="AE46" s="16">
        <v>1.1360480861302509E-8</v>
      </c>
      <c r="AF46" s="16">
        <v>6192325.4612630829</v>
      </c>
      <c r="AG46" s="16">
        <v>12061265.955069095</v>
      </c>
      <c r="AH46" s="16">
        <v>6192325.4612630829</v>
      </c>
      <c r="AI46" s="16">
        <v>12061265.955069095</v>
      </c>
      <c r="AJ46" s="107"/>
      <c r="AK46" s="88"/>
      <c r="AL46" s="88"/>
      <c r="AM46" s="88"/>
      <c r="AN46" s="88"/>
      <c r="AO46" s="88"/>
      <c r="AP46" s="88"/>
      <c r="AQ46" s="88"/>
      <c r="AR46" s="88"/>
      <c r="AS46" s="88"/>
    </row>
    <row r="47" spans="2:45">
      <c r="B47" s="100">
        <f t="shared" si="2"/>
        <v>39629</v>
      </c>
      <c r="C47" s="108">
        <v>9032720</v>
      </c>
      <c r="D47" s="111"/>
      <c r="E47" s="123"/>
      <c r="F47" s="111"/>
      <c r="G47" s="112"/>
      <c r="H47" s="110">
        <f t="shared" si="3"/>
        <v>9032720</v>
      </c>
      <c r="I47" s="369"/>
      <c r="J47" s="214">
        <f>'HDD &amp; CDD'!O11</f>
        <v>22.400000000000002</v>
      </c>
      <c r="K47" s="214">
        <f>'HDD &amp; CDD'!O29</f>
        <v>60.5</v>
      </c>
      <c r="L47" s="485">
        <f t="shared" si="1"/>
        <v>30</v>
      </c>
      <c r="M47" s="214">
        <v>0</v>
      </c>
      <c r="N47" s="485">
        <f>[22]Sheet1!C45</f>
        <v>0</v>
      </c>
      <c r="O47" s="1095"/>
      <c r="P47" s="1082"/>
      <c r="Q47" s="1091"/>
      <c r="R47" s="1094">
        <f>'CDM Activity'!C95</f>
        <v>73610.686697762052</v>
      </c>
      <c r="S47" s="105"/>
      <c r="T47" s="105"/>
      <c r="U47" s="105"/>
      <c r="V47" s="1092"/>
      <c r="W47" s="1093">
        <f>[30]GDP!D70</f>
        <v>107.25912893674146</v>
      </c>
      <c r="X47" s="1097">
        <f>'[30]Customer Count'!L66</f>
        <v>5813</v>
      </c>
      <c r="Y47" s="1098"/>
      <c r="Z47" s="375"/>
      <c r="AA47" s="16" t="s">
        <v>131</v>
      </c>
      <c r="AB47" s="16">
        <v>4649.1937590470397</v>
      </c>
      <c r="AC47" s="16">
        <v>177.730461163017</v>
      </c>
      <c r="AD47" s="16">
        <v>26.158677182425869</v>
      </c>
      <c r="AE47" s="16">
        <v>9.2264831456770567E-50</v>
      </c>
      <c r="AF47" s="16">
        <v>4297.0776601211601</v>
      </c>
      <c r="AG47" s="16">
        <v>5001.3098579729194</v>
      </c>
      <c r="AH47" s="16">
        <v>4297.0776601211601</v>
      </c>
      <c r="AI47" s="16">
        <v>5001.3098579729194</v>
      </c>
      <c r="AJ47" s="107"/>
      <c r="AK47" s="88"/>
      <c r="AL47" s="88"/>
      <c r="AM47" s="88"/>
      <c r="AN47" s="88"/>
      <c r="AO47" s="88"/>
      <c r="AP47" s="88"/>
      <c r="AQ47" s="88"/>
      <c r="AR47" s="88"/>
      <c r="AS47" s="88"/>
    </row>
    <row r="48" spans="2:45">
      <c r="B48" s="100">
        <f t="shared" si="2"/>
        <v>39660</v>
      </c>
      <c r="C48" s="108">
        <v>9681910</v>
      </c>
      <c r="D48" s="111"/>
      <c r="E48" s="123"/>
      <c r="F48" s="111"/>
      <c r="G48" s="112"/>
      <c r="H48" s="110">
        <f t="shared" si="3"/>
        <v>9681910</v>
      </c>
      <c r="I48" s="369"/>
      <c r="J48" s="214">
        <f>'HDD &amp; CDD'!O12</f>
        <v>0.3</v>
      </c>
      <c r="K48" s="214">
        <f>'HDD &amp; CDD'!O30</f>
        <v>78.899999999999991</v>
      </c>
      <c r="L48" s="485">
        <f t="shared" si="1"/>
        <v>31</v>
      </c>
      <c r="M48" s="214">
        <v>0</v>
      </c>
      <c r="N48" s="485">
        <f>[22]Sheet1!C46</f>
        <v>1</v>
      </c>
      <c r="O48" s="1095"/>
      <c r="P48" s="1082"/>
      <c r="Q48" s="1091"/>
      <c r="R48" s="1094">
        <f>'CDM Activity'!C96</f>
        <v>75455.577436334643</v>
      </c>
      <c r="S48" s="105"/>
      <c r="T48" s="105"/>
      <c r="U48" s="105"/>
      <c r="V48" s="1092"/>
      <c r="W48" s="1093">
        <f>[30]GDP!D71</f>
        <v>107.20535132314075</v>
      </c>
      <c r="X48" s="1097">
        <f>'[30]Customer Count'!L67</f>
        <v>5812.5</v>
      </c>
      <c r="Y48" s="1098"/>
      <c r="Z48" s="375"/>
      <c r="AA48" s="16" t="s">
        <v>132</v>
      </c>
      <c r="AB48" s="16">
        <v>13506.877890034684</v>
      </c>
      <c r="AC48" s="16">
        <v>1639.7026109289666</v>
      </c>
      <c r="AD48" s="16">
        <v>8.2373948788081872</v>
      </c>
      <c r="AE48" s="16">
        <v>3.4756563003112549E-13</v>
      </c>
      <c r="AF48" s="16">
        <v>10258.331281981275</v>
      </c>
      <c r="AG48" s="16">
        <v>16755.424498088094</v>
      </c>
      <c r="AH48" s="16">
        <v>10258.331281981275</v>
      </c>
      <c r="AI48" s="16">
        <v>16755.424498088094</v>
      </c>
      <c r="AJ48" s="107"/>
      <c r="AK48" s="88"/>
      <c r="AL48" s="88"/>
      <c r="AM48" s="88"/>
      <c r="AN48" s="88"/>
      <c r="AO48" s="88"/>
      <c r="AP48" s="88"/>
      <c r="AQ48" s="88"/>
      <c r="AR48" s="88"/>
      <c r="AS48" s="88"/>
    </row>
    <row r="49" spans="2:46">
      <c r="B49" s="100">
        <f t="shared" si="2"/>
        <v>39691</v>
      </c>
      <c r="C49" s="108">
        <v>9241240</v>
      </c>
      <c r="D49" s="111"/>
      <c r="E49" s="123"/>
      <c r="F49" s="111"/>
      <c r="G49" s="112"/>
      <c r="H49" s="110">
        <f t="shared" si="3"/>
        <v>9241240</v>
      </c>
      <c r="I49" s="369"/>
      <c r="J49" s="214">
        <f>'HDD &amp; CDD'!O13</f>
        <v>14.399999999999999</v>
      </c>
      <c r="K49" s="214">
        <f>'HDD &amp; CDD'!O31</f>
        <v>49.499999999999993</v>
      </c>
      <c r="L49" s="485">
        <f t="shared" si="1"/>
        <v>31</v>
      </c>
      <c r="M49" s="214">
        <v>0</v>
      </c>
      <c r="N49" s="485">
        <f>[22]Sheet1!C47</f>
        <v>1</v>
      </c>
      <c r="O49" s="1095"/>
      <c r="P49" s="1082"/>
      <c r="Q49" s="1091"/>
      <c r="R49" s="1094">
        <f>'CDM Activity'!C97</f>
        <v>77300.468174907233</v>
      </c>
      <c r="S49" s="105"/>
      <c r="T49" s="105"/>
      <c r="U49" s="105"/>
      <c r="V49" s="1092"/>
      <c r="W49" s="1093">
        <f>[30]GDP!D72</f>
        <v>107.15160067257574</v>
      </c>
      <c r="X49" s="1097">
        <f>'[30]Customer Count'!L68</f>
        <v>5812</v>
      </c>
      <c r="Y49" s="1098"/>
      <c r="Z49" s="375"/>
      <c r="AA49" s="16" t="s">
        <v>3</v>
      </c>
      <c r="AB49" s="16">
        <v>257516.74369499242</v>
      </c>
      <c r="AC49" s="16">
        <v>40865.399210889729</v>
      </c>
      <c r="AD49" s="16">
        <v>6.3015839479764555</v>
      </c>
      <c r="AE49" s="16">
        <v>5.8504431591985984E-9</v>
      </c>
      <c r="AF49" s="16">
        <v>176555.01739873824</v>
      </c>
      <c r="AG49" s="16">
        <v>338478.46999124659</v>
      </c>
      <c r="AH49" s="16">
        <v>176555.01739873824</v>
      </c>
      <c r="AI49" s="16">
        <v>338478.46999124659</v>
      </c>
      <c r="AJ49" s="107"/>
      <c r="AK49" s="88"/>
      <c r="AL49" s="88"/>
      <c r="AM49" s="88"/>
      <c r="AN49" s="88"/>
      <c r="AO49" s="88"/>
      <c r="AP49" s="88"/>
      <c r="AQ49" s="88"/>
      <c r="AR49" s="88"/>
      <c r="AS49" s="88"/>
    </row>
    <row r="50" spans="2:46">
      <c r="B50" s="100">
        <f t="shared" si="2"/>
        <v>39721</v>
      </c>
      <c r="C50" s="108">
        <v>8800520</v>
      </c>
      <c r="D50" s="111"/>
      <c r="E50" s="123"/>
      <c r="F50" s="111"/>
      <c r="G50" s="112"/>
      <c r="H50" s="110">
        <f t="shared" si="3"/>
        <v>8800520</v>
      </c>
      <c r="I50" s="369"/>
      <c r="J50" s="214">
        <f>'HDD &amp; CDD'!O14</f>
        <v>95.4</v>
      </c>
      <c r="K50" s="214">
        <f>'HDD &amp; CDD'!O32</f>
        <v>25</v>
      </c>
      <c r="L50" s="485">
        <f t="shared" si="1"/>
        <v>30</v>
      </c>
      <c r="M50" s="214">
        <v>1</v>
      </c>
      <c r="N50" s="485">
        <f>[22]Sheet1!C48</f>
        <v>1</v>
      </c>
      <c r="O50" s="1095"/>
      <c r="P50" s="1082"/>
      <c r="Q50" s="1091"/>
      <c r="R50" s="1094">
        <f>'CDM Activity'!C98</f>
        <v>79145.358913479824</v>
      </c>
      <c r="S50" s="105"/>
      <c r="T50" s="105"/>
      <c r="U50" s="105"/>
      <c r="V50" s="1092"/>
      <c r="W50" s="1093">
        <f>[30]GDP!D73</f>
        <v>107.09787697152773</v>
      </c>
      <c r="X50" s="1097">
        <f>'[30]Customer Count'!L69</f>
        <v>5811.5</v>
      </c>
      <c r="Y50" s="1098"/>
      <c r="Z50" s="375"/>
      <c r="AA50" s="16" t="s">
        <v>133</v>
      </c>
      <c r="AB50" s="16">
        <v>-386334.5189030731</v>
      </c>
      <c r="AC50" s="16">
        <v>91553.49403598177</v>
      </c>
      <c r="AD50" s="16">
        <v>-4.2197681581790683</v>
      </c>
      <c r="AE50" s="16">
        <v>4.9601543113032908E-5</v>
      </c>
      <c r="AF50" s="16">
        <v>-567718.50312294764</v>
      </c>
      <c r="AG50" s="16">
        <v>-204950.53468319861</v>
      </c>
      <c r="AH50" s="16">
        <v>-567718.50312294764</v>
      </c>
      <c r="AI50" s="16">
        <v>-204950.53468319861</v>
      </c>
      <c r="AJ50" s="107"/>
      <c r="AK50" s="88"/>
      <c r="AL50" s="88"/>
      <c r="AM50" s="88"/>
      <c r="AN50" s="88"/>
      <c r="AO50" s="88"/>
      <c r="AP50" s="88"/>
      <c r="AQ50" s="88"/>
      <c r="AR50" s="88"/>
      <c r="AS50" s="88"/>
    </row>
    <row r="51" spans="2:46">
      <c r="B51" s="100">
        <f t="shared" si="2"/>
        <v>39752</v>
      </c>
      <c r="C51" s="108">
        <v>8997790</v>
      </c>
      <c r="D51" s="111"/>
      <c r="E51" s="123"/>
      <c r="F51" s="111"/>
      <c r="G51" s="112"/>
      <c r="H51" s="110">
        <f t="shared" si="3"/>
        <v>8997790</v>
      </c>
      <c r="I51" s="369"/>
      <c r="J51" s="214">
        <f>'HDD &amp; CDD'!O15</f>
        <v>321.80000000000007</v>
      </c>
      <c r="K51" s="214">
        <f>'HDD &amp; CDD'!O33</f>
        <v>0</v>
      </c>
      <c r="L51" s="485">
        <f t="shared" si="1"/>
        <v>31</v>
      </c>
      <c r="M51" s="214">
        <v>1</v>
      </c>
      <c r="N51" s="485">
        <f>[22]Sheet1!C49</f>
        <v>1</v>
      </c>
      <c r="O51" s="1095"/>
      <c r="P51" s="1082"/>
      <c r="Q51" s="1091"/>
      <c r="R51" s="1094">
        <f>'CDM Activity'!C99</f>
        <v>80990.249652052415</v>
      </c>
      <c r="S51" s="105"/>
      <c r="T51" s="105"/>
      <c r="U51" s="105"/>
      <c r="V51" s="1092"/>
      <c r="W51" s="1093">
        <f>[30]GDP!D74</f>
        <v>107.04418020648474</v>
      </c>
      <c r="X51" s="1097">
        <f>'[30]Customer Count'!L70</f>
        <v>5811</v>
      </c>
      <c r="Y51" s="1098"/>
      <c r="Z51" s="375"/>
      <c r="AA51" s="16" t="s">
        <v>134</v>
      </c>
      <c r="AB51" s="16">
        <v>-122889.52064029296</v>
      </c>
      <c r="AC51" s="16">
        <v>50805.732193975608</v>
      </c>
      <c r="AD51" s="16">
        <v>-2.418812116930082</v>
      </c>
      <c r="AE51" s="16">
        <v>1.7167715480563443E-2</v>
      </c>
      <c r="AF51" s="16">
        <v>-223544.83940867864</v>
      </c>
      <c r="AG51" s="16">
        <v>-22234.201871907295</v>
      </c>
      <c r="AH51" s="16">
        <v>-223544.83940867864</v>
      </c>
      <c r="AI51" s="16">
        <v>-22234.201871907295</v>
      </c>
      <c r="AJ51" s="107"/>
      <c r="AK51" s="88"/>
      <c r="AL51" s="88"/>
      <c r="AM51" s="88"/>
      <c r="AN51" s="88"/>
    </row>
    <row r="52" spans="2:46" ht="13.5" thickBot="1">
      <c r="B52" s="100">
        <f t="shared" si="2"/>
        <v>39782</v>
      </c>
      <c r="C52" s="108">
        <v>9775270</v>
      </c>
      <c r="D52" s="111"/>
      <c r="E52" s="123"/>
      <c r="F52" s="111"/>
      <c r="G52" s="112"/>
      <c r="H52" s="110">
        <f t="shared" si="3"/>
        <v>9775270</v>
      </c>
      <c r="I52" s="369"/>
      <c r="J52" s="214">
        <f>'HDD &amp; CDD'!O16</f>
        <v>502.8</v>
      </c>
      <c r="K52" s="214">
        <f>'HDD &amp; CDD'!O34</f>
        <v>0</v>
      </c>
      <c r="L52" s="485">
        <f t="shared" si="1"/>
        <v>30</v>
      </c>
      <c r="M52" s="214">
        <v>1</v>
      </c>
      <c r="N52" s="485">
        <f>[22]Sheet1!C50</f>
        <v>0</v>
      </c>
      <c r="O52" s="1095"/>
      <c r="P52" s="1082"/>
      <c r="Q52" s="1091"/>
      <c r="R52" s="1094">
        <f>'CDM Activity'!C100</f>
        <v>82835.140390625005</v>
      </c>
      <c r="S52" s="105"/>
      <c r="T52" s="105"/>
      <c r="U52" s="105"/>
      <c r="V52" s="1092"/>
      <c r="W52" s="1093">
        <f>[30]GDP!D75</f>
        <v>106.9905103639416</v>
      </c>
      <c r="X52" s="1097">
        <f>'[30]Customer Count'!L71</f>
        <v>5810.5</v>
      </c>
      <c r="Y52" s="1098"/>
      <c r="Z52" s="375"/>
      <c r="AA52" s="17" t="s">
        <v>515</v>
      </c>
      <c r="AB52" s="490">
        <v>-80344.19520679253</v>
      </c>
      <c r="AC52" s="17">
        <v>8371.909715278367</v>
      </c>
      <c r="AD52" s="17">
        <v>-9.596877885599735</v>
      </c>
      <c r="AE52" s="17">
        <v>2.609992577434715E-16</v>
      </c>
      <c r="AF52" s="17">
        <v>-96930.458305494831</v>
      </c>
      <c r="AG52" s="17">
        <v>-63757.93210809023</v>
      </c>
      <c r="AH52" s="17">
        <v>-96930.458305494831</v>
      </c>
      <c r="AI52" s="17">
        <v>-63757.93210809023</v>
      </c>
      <c r="AJ52" s="107"/>
      <c r="AK52" s="88"/>
      <c r="AL52" s="88"/>
      <c r="AM52" s="88"/>
      <c r="AN52" s="88"/>
    </row>
    <row r="53" spans="2:46">
      <c r="B53" s="217">
        <f t="shared" si="2"/>
        <v>39813</v>
      </c>
      <c r="C53" s="124">
        <v>11977460</v>
      </c>
      <c r="D53" s="125"/>
      <c r="E53" s="125"/>
      <c r="F53" s="125"/>
      <c r="G53" s="126"/>
      <c r="H53" s="117">
        <f t="shared" si="3"/>
        <v>11977460</v>
      </c>
      <c r="I53" s="370"/>
      <c r="J53" s="165">
        <f>'HDD &amp; CDD'!O17</f>
        <v>796.70000000000027</v>
      </c>
      <c r="K53" s="165">
        <f>'HDD &amp; CDD'!O35</f>
        <v>0</v>
      </c>
      <c r="L53" s="486">
        <f t="shared" si="1"/>
        <v>31</v>
      </c>
      <c r="M53" s="165">
        <v>0</v>
      </c>
      <c r="N53" s="486">
        <f>[22]Sheet1!C51</f>
        <v>2</v>
      </c>
      <c r="O53" s="1095"/>
      <c r="P53" s="1082"/>
      <c r="Q53" s="1091"/>
      <c r="R53" s="1094">
        <f>'CDM Activity'!C101</f>
        <v>84680.031129197596</v>
      </c>
      <c r="S53" s="105"/>
      <c r="T53" s="105"/>
      <c r="U53" s="105"/>
      <c r="V53" s="1092"/>
      <c r="W53" s="1093">
        <f>[30]GDP!D76</f>
        <v>106.93686743039989</v>
      </c>
      <c r="X53" s="1097">
        <f>'[30]Customer Count'!L72</f>
        <v>5810</v>
      </c>
      <c r="Y53" s="1098"/>
      <c r="Z53" s="375"/>
      <c r="AA53"/>
      <c r="AB53"/>
      <c r="AC53"/>
      <c r="AD53"/>
      <c r="AE53"/>
      <c r="AF53"/>
      <c r="AG53"/>
      <c r="AH53"/>
      <c r="AI53"/>
      <c r="AJ53" s="107"/>
      <c r="AK53" s="88"/>
      <c r="AL53" s="88"/>
      <c r="AM53" s="88"/>
      <c r="AN53" s="88"/>
      <c r="AO53" s="88"/>
      <c r="AP53" s="88"/>
      <c r="AQ53" s="88"/>
      <c r="AR53" s="88"/>
      <c r="AS53" s="88"/>
    </row>
    <row r="54" spans="2:46" ht="13.5" thickBot="1">
      <c r="B54" s="100">
        <f t="shared" si="2"/>
        <v>39844</v>
      </c>
      <c r="C54" s="108">
        <v>12715660</v>
      </c>
      <c r="D54" s="111"/>
      <c r="E54" s="123"/>
      <c r="F54" s="111"/>
      <c r="G54" s="112"/>
      <c r="H54" s="110">
        <f t="shared" si="3"/>
        <v>12715660</v>
      </c>
      <c r="I54" s="369"/>
      <c r="J54" s="214">
        <f>'HDD &amp; CDD'!P6</f>
        <v>979.5</v>
      </c>
      <c r="K54" s="214">
        <f>'HDD &amp; CDD'!P24</f>
        <v>0</v>
      </c>
      <c r="L54" s="485">
        <f t="shared" si="1"/>
        <v>31</v>
      </c>
      <c r="M54" s="214">
        <v>0</v>
      </c>
      <c r="N54" s="485">
        <f>[22]Sheet1!C52</f>
        <v>1</v>
      </c>
      <c r="O54" s="1095"/>
      <c r="P54" s="1082"/>
      <c r="Q54" s="1091"/>
      <c r="R54" s="1094">
        <f>'CDM Activity'!C102</f>
        <v>89869.377558430104</v>
      </c>
      <c r="S54" s="105"/>
      <c r="T54" s="105"/>
      <c r="U54" s="105"/>
      <c r="V54" s="1092"/>
      <c r="W54" s="1093">
        <f>[30]GDP!D77</f>
        <v>106.64743247710501</v>
      </c>
      <c r="X54" s="1097">
        <f>'[30]Customer Count'!L73</f>
        <v>5810.333333333333</v>
      </c>
      <c r="Y54" s="1098"/>
      <c r="Z54" s="375"/>
      <c r="AA54"/>
      <c r="AB54"/>
      <c r="AC54"/>
      <c r="AD54"/>
      <c r="AE54"/>
      <c r="AF54"/>
      <c r="AG54"/>
      <c r="AH54"/>
      <c r="AI54"/>
      <c r="AJ54" s="107"/>
      <c r="AK54" s="88"/>
      <c r="AL54" s="88"/>
      <c r="AM54" s="88"/>
      <c r="AN54" s="88"/>
      <c r="AO54" s="88"/>
      <c r="AP54" s="88"/>
      <c r="AQ54" s="88"/>
      <c r="AR54" s="88"/>
      <c r="AS54" s="88"/>
    </row>
    <row r="55" spans="2:46" ht="13.5" thickBot="1">
      <c r="B55" s="100">
        <f t="shared" si="2"/>
        <v>39872</v>
      </c>
      <c r="C55" s="108">
        <v>10806911</v>
      </c>
      <c r="D55" s="111"/>
      <c r="E55" s="123"/>
      <c r="F55" s="111"/>
      <c r="G55" s="112"/>
      <c r="H55" s="110">
        <f t="shared" si="3"/>
        <v>10806911</v>
      </c>
      <c r="I55" s="369"/>
      <c r="J55" s="214">
        <f>'HDD &amp; CDD'!P7</f>
        <v>711.5</v>
      </c>
      <c r="K55" s="214">
        <f>'HDD &amp; CDD'!P25</f>
        <v>0</v>
      </c>
      <c r="L55" s="485">
        <f t="shared" si="1"/>
        <v>28</v>
      </c>
      <c r="M55" s="214">
        <v>0</v>
      </c>
      <c r="N55" s="485">
        <f>[22]Sheet1!C53</f>
        <v>1</v>
      </c>
      <c r="O55" s="1095"/>
      <c r="P55" s="1082"/>
      <c r="Q55" s="1091"/>
      <c r="R55" s="1094">
        <f>'CDM Activity'!C103</f>
        <v>95058.723987662612</v>
      </c>
      <c r="S55" s="105"/>
      <c r="T55" s="105"/>
      <c r="U55" s="105"/>
      <c r="V55" s="1092"/>
      <c r="W55" s="1093">
        <f>[30]GDP!D78</f>
        <v>106.35878090744762</v>
      </c>
      <c r="X55" s="1097">
        <f>'[30]Customer Count'!L74</f>
        <v>5810.6666666666661</v>
      </c>
      <c r="Y55" s="1098"/>
      <c r="Z55" s="1085" t="s">
        <v>519</v>
      </c>
      <c r="AA55" t="s">
        <v>14</v>
      </c>
      <c r="AB55"/>
      <c r="AC55"/>
      <c r="AD55"/>
      <c r="AE55"/>
      <c r="AF55"/>
      <c r="AG55"/>
      <c r="AH55"/>
      <c r="AI55"/>
      <c r="AJ55" s="107"/>
      <c r="AK55" s="88"/>
      <c r="AL55" s="88"/>
      <c r="AM55" s="88"/>
      <c r="AN55" s="88"/>
      <c r="AO55" s="88"/>
      <c r="AP55" s="88"/>
      <c r="AQ55" s="88"/>
      <c r="AR55" s="88"/>
      <c r="AS55" s="88"/>
    </row>
    <row r="56" spans="2:46" ht="13.5" thickBot="1">
      <c r="B56" s="100">
        <f t="shared" si="2"/>
        <v>39903</v>
      </c>
      <c r="C56" s="108">
        <v>10822297</v>
      </c>
      <c r="D56" s="111"/>
      <c r="E56" s="123"/>
      <c r="F56" s="111"/>
      <c r="G56" s="112"/>
      <c r="H56" s="110">
        <f t="shared" si="3"/>
        <v>10822297</v>
      </c>
      <c r="I56" s="369"/>
      <c r="J56" s="214">
        <f>'HDD &amp; CDD'!P8</f>
        <v>598.30000000000007</v>
      </c>
      <c r="K56" s="214">
        <f>'HDD &amp; CDD'!P26</f>
        <v>0</v>
      </c>
      <c r="L56" s="485">
        <f t="shared" si="1"/>
        <v>31</v>
      </c>
      <c r="M56" s="214">
        <v>1</v>
      </c>
      <c r="N56" s="485">
        <f>[22]Sheet1!C54</f>
        <v>0</v>
      </c>
      <c r="O56" s="1095"/>
      <c r="P56" s="1082"/>
      <c r="Q56" s="1091"/>
      <c r="R56" s="1094">
        <f>'CDM Activity'!C104</f>
        <v>100248.07041689512</v>
      </c>
      <c r="S56" s="105"/>
      <c r="T56" s="105"/>
      <c r="U56" s="105"/>
      <c r="V56" s="1092"/>
      <c r="W56" s="1093">
        <f>[30]GDP!D79</f>
        <v>106.0709106011243</v>
      </c>
      <c r="X56" s="1097">
        <f>'[30]Customer Count'!L75</f>
        <v>5810.9999999999991</v>
      </c>
      <c r="Y56" s="1098"/>
      <c r="Z56" s="375"/>
      <c r="AA56"/>
      <c r="AB56"/>
      <c r="AC56"/>
      <c r="AD56"/>
      <c r="AE56"/>
      <c r="AF56"/>
      <c r="AG56"/>
      <c r="AH56"/>
      <c r="AI56"/>
      <c r="AJ56" s="107"/>
      <c r="AK56" s="88"/>
      <c r="AL56" s="88"/>
      <c r="AM56" s="88"/>
      <c r="AN56" s="88"/>
      <c r="AO56" s="88"/>
      <c r="AP56" s="88"/>
      <c r="AQ56" s="88"/>
      <c r="AR56" s="88"/>
      <c r="AS56" s="88"/>
    </row>
    <row r="57" spans="2:46">
      <c r="B57" s="100">
        <f t="shared" si="2"/>
        <v>39933</v>
      </c>
      <c r="C57" s="108">
        <v>9188119</v>
      </c>
      <c r="D57" s="111"/>
      <c r="E57" s="123"/>
      <c r="F57" s="111"/>
      <c r="G57" s="112"/>
      <c r="H57" s="110">
        <f t="shared" si="3"/>
        <v>9188119</v>
      </c>
      <c r="I57" s="369"/>
      <c r="J57" s="214">
        <f>'HDD &amp; CDD'!P9</f>
        <v>334.2999999999999</v>
      </c>
      <c r="K57" s="214">
        <f>'HDD &amp; CDD'!P27</f>
        <v>2.5</v>
      </c>
      <c r="L57" s="485">
        <f t="shared" si="1"/>
        <v>30</v>
      </c>
      <c r="M57" s="214">
        <v>1</v>
      </c>
      <c r="N57" s="485">
        <f>[22]Sheet1!C55</f>
        <v>2</v>
      </c>
      <c r="O57" s="1095"/>
      <c r="P57" s="1082"/>
      <c r="Q57" s="1091"/>
      <c r="R57" s="1094">
        <f>'CDM Activity'!C105</f>
        <v>105437.41684612763</v>
      </c>
      <c r="S57" s="105"/>
      <c r="T57" s="105"/>
      <c r="U57" s="105"/>
      <c r="V57" s="1092"/>
      <c r="W57" s="1093">
        <f>[30]GDP!D80</f>
        <v>105.78381944357039</v>
      </c>
      <c r="X57" s="1097">
        <f>'[30]Customer Count'!L76</f>
        <v>5811.3333333333321</v>
      </c>
      <c r="Y57" s="1098"/>
      <c r="Z57" s="375"/>
      <c r="AA57" s="19" t="s">
        <v>15</v>
      </c>
      <c r="AB57" s="19"/>
      <c r="AC57"/>
      <c r="AD57"/>
      <c r="AE57"/>
      <c r="AF57"/>
      <c r="AG57"/>
      <c r="AH57"/>
      <c r="AI57"/>
      <c r="AJ57" s="107"/>
      <c r="AK57" s="88"/>
      <c r="AL57" s="88"/>
      <c r="AM57" s="88"/>
      <c r="AN57" s="88"/>
      <c r="AO57" s="88"/>
      <c r="AP57" s="88"/>
      <c r="AQ57" s="88"/>
      <c r="AR57" s="88"/>
      <c r="AS57" s="88"/>
    </row>
    <row r="58" spans="2:46">
      <c r="B58" s="100">
        <f t="shared" si="2"/>
        <v>39964</v>
      </c>
      <c r="C58" s="108">
        <v>8646669</v>
      </c>
      <c r="D58" s="111"/>
      <c r="E58" s="123"/>
      <c r="F58" s="111"/>
      <c r="G58" s="112"/>
      <c r="H58" s="110">
        <f t="shared" si="3"/>
        <v>8646669</v>
      </c>
      <c r="I58" s="369"/>
      <c r="J58" s="214">
        <f>'HDD &amp; CDD'!P10</f>
        <v>181.6</v>
      </c>
      <c r="K58" s="214">
        <f>'HDD &amp; CDD'!P28</f>
        <v>3.2</v>
      </c>
      <c r="L58" s="485">
        <f t="shared" si="1"/>
        <v>31</v>
      </c>
      <c r="M58" s="214">
        <v>1</v>
      </c>
      <c r="N58" s="485">
        <f>[22]Sheet1!C56</f>
        <v>1</v>
      </c>
      <c r="O58" s="1095"/>
      <c r="P58" s="1082"/>
      <c r="Q58" s="1091"/>
      <c r="R58" s="1094">
        <f>'CDM Activity'!C106</f>
        <v>110626.76327536014</v>
      </c>
      <c r="S58" s="105"/>
      <c r="T58" s="105"/>
      <c r="U58" s="105"/>
      <c r="V58" s="1092"/>
      <c r="W58" s="1093">
        <f>[30]GDP!D81</f>
        <v>105.49750532594459</v>
      </c>
      <c r="X58" s="1097">
        <f>'[30]Customer Count'!L77</f>
        <v>5811.6666666666652</v>
      </c>
      <c r="Y58" s="1098"/>
      <c r="Z58" s="375"/>
      <c r="AA58" s="16" t="s">
        <v>16</v>
      </c>
      <c r="AB58" s="16">
        <v>0.93949424883674826</v>
      </c>
      <c r="AC58"/>
      <c r="AD58"/>
      <c r="AE58"/>
      <c r="AF58"/>
      <c r="AG58"/>
      <c r="AH58"/>
      <c r="AI58"/>
      <c r="AJ58" s="107"/>
      <c r="AK58" s="88"/>
      <c r="AL58" s="88"/>
      <c r="AM58" s="88"/>
      <c r="AN58" s="88"/>
      <c r="AO58" s="88"/>
      <c r="AP58" s="88"/>
      <c r="AQ58" s="88"/>
      <c r="AR58" s="88"/>
      <c r="AS58" s="88"/>
      <c r="AT58" s="88"/>
    </row>
    <row r="59" spans="2:46">
      <c r="B59" s="100">
        <f t="shared" si="2"/>
        <v>39994</v>
      </c>
      <c r="C59" s="108">
        <v>8694745</v>
      </c>
      <c r="D59" s="111"/>
      <c r="E59" s="123"/>
      <c r="F59" s="111"/>
      <c r="G59" s="112"/>
      <c r="H59" s="110">
        <f t="shared" si="3"/>
        <v>8694745</v>
      </c>
      <c r="I59" s="369"/>
      <c r="J59" s="214">
        <f>'HDD &amp; CDD'!P11</f>
        <v>50.4</v>
      </c>
      <c r="K59" s="214">
        <f>'HDD &amp; CDD'!P29</f>
        <v>44.9</v>
      </c>
      <c r="L59" s="485">
        <f t="shared" si="1"/>
        <v>30</v>
      </c>
      <c r="M59" s="214">
        <v>0</v>
      </c>
      <c r="N59" s="485">
        <f>[22]Sheet1!C57</f>
        <v>0</v>
      </c>
      <c r="O59" s="1095"/>
      <c r="P59" s="1082"/>
      <c r="Q59" s="1091"/>
      <c r="R59" s="1094">
        <f>'CDM Activity'!C107</f>
        <v>115816.10970459264</v>
      </c>
      <c r="S59" s="105"/>
      <c r="T59" s="105"/>
      <c r="U59" s="105"/>
      <c r="V59" s="1092"/>
      <c r="W59" s="1093">
        <f>[30]GDP!D82</f>
        <v>105.21196614511329</v>
      </c>
      <c r="X59" s="1097">
        <f>'[30]Customer Count'!L78</f>
        <v>5811.9999999999982</v>
      </c>
      <c r="Y59" s="1098"/>
      <c r="Z59" s="375"/>
      <c r="AA59" s="16" t="s">
        <v>17</v>
      </c>
      <c r="AB59" s="1100">
        <v>0.88264944359732578</v>
      </c>
      <c r="AC59"/>
      <c r="AD59"/>
      <c r="AE59"/>
      <c r="AF59"/>
      <c r="AG59"/>
      <c r="AH59"/>
      <c r="AI59"/>
      <c r="AJ59" s="107"/>
      <c r="AK59" s="88"/>
      <c r="AL59" s="88"/>
      <c r="AM59" s="88"/>
      <c r="AN59" s="88"/>
      <c r="AO59" s="88"/>
      <c r="AP59" s="88"/>
      <c r="AQ59" s="88"/>
      <c r="AR59" s="88"/>
      <c r="AS59" s="88"/>
      <c r="AT59" s="88"/>
    </row>
    <row r="60" spans="2:46">
      <c r="B60" s="100">
        <f t="shared" si="2"/>
        <v>40025</v>
      </c>
      <c r="C60" s="108">
        <v>8965453</v>
      </c>
      <c r="D60" s="111"/>
      <c r="E60" s="123"/>
      <c r="F60" s="111"/>
      <c r="G60" s="112"/>
      <c r="H60" s="110">
        <f t="shared" si="3"/>
        <v>8965453</v>
      </c>
      <c r="I60" s="369"/>
      <c r="J60" s="214">
        <f>'HDD &amp; CDD'!P12</f>
        <v>13.1</v>
      </c>
      <c r="K60" s="214">
        <f>'HDD &amp; CDD'!P30</f>
        <v>42.899999999999991</v>
      </c>
      <c r="L60" s="485">
        <f t="shared" si="1"/>
        <v>31</v>
      </c>
      <c r="M60" s="214">
        <v>0</v>
      </c>
      <c r="N60" s="485">
        <f>[22]Sheet1!C58</f>
        <v>1</v>
      </c>
      <c r="O60" s="1095"/>
      <c r="P60" s="1082"/>
      <c r="Q60" s="1091"/>
      <c r="R60" s="1094">
        <f>'CDM Activity'!C108</f>
        <v>121005.45613382515</v>
      </c>
      <c r="S60" s="105"/>
      <c r="T60" s="105"/>
      <c r="U60" s="105"/>
      <c r="V60" s="1092"/>
      <c r="W60" s="1093">
        <f>[30]GDP!D83</f>
        <v>104.92719980363529</v>
      </c>
      <c r="X60" s="1097">
        <f>'[30]Customer Count'!L79</f>
        <v>5812.3333333333312</v>
      </c>
      <c r="Y60" s="1098"/>
      <c r="Z60" s="375"/>
      <c r="AA60" s="16" t="s">
        <v>18</v>
      </c>
      <c r="AB60" s="16">
        <v>0.87750248936913833</v>
      </c>
      <c r="AC60"/>
      <c r="AD60"/>
      <c r="AE60"/>
      <c r="AF60"/>
      <c r="AG60"/>
      <c r="AH60"/>
      <c r="AI60"/>
      <c r="AJ60" s="107"/>
      <c r="AK60" s="88"/>
      <c r="AL60" s="88"/>
      <c r="AM60" s="88"/>
      <c r="AN60" s="88"/>
      <c r="AO60" s="88"/>
      <c r="AP60" s="88"/>
      <c r="AQ60" s="88"/>
      <c r="AR60" s="88"/>
      <c r="AS60" s="88"/>
      <c r="AT60" s="88"/>
    </row>
    <row r="61" spans="2:46">
      <c r="B61" s="100">
        <f t="shared" si="2"/>
        <v>40056</v>
      </c>
      <c r="C61" s="108">
        <v>9534995</v>
      </c>
      <c r="D61" s="111"/>
      <c r="E61" s="123"/>
      <c r="F61" s="111"/>
      <c r="G61" s="112"/>
      <c r="H61" s="110">
        <f t="shared" si="3"/>
        <v>9534995</v>
      </c>
      <c r="I61" s="369"/>
      <c r="J61" s="214">
        <f>'HDD &amp; CDD'!P13</f>
        <v>26.1</v>
      </c>
      <c r="K61" s="214">
        <f>'HDD &amp; CDD'!P31</f>
        <v>82.100000000000009</v>
      </c>
      <c r="L61" s="485">
        <f t="shared" si="1"/>
        <v>31</v>
      </c>
      <c r="M61" s="214">
        <v>0</v>
      </c>
      <c r="N61" s="485">
        <f>[22]Sheet1!C59</f>
        <v>1</v>
      </c>
      <c r="O61" s="1095"/>
      <c r="P61" s="1082"/>
      <c r="Q61" s="1091"/>
      <c r="R61" s="1094">
        <f>'CDM Activity'!C109</f>
        <v>126194.80256305766</v>
      </c>
      <c r="S61" s="105"/>
      <c r="T61" s="105"/>
      <c r="U61" s="105"/>
      <c r="V61" s="1092"/>
      <c r="W61" s="1093">
        <f>[30]GDP!D84</f>
        <v>104.64320420974627</v>
      </c>
      <c r="X61" s="1097">
        <f>'[30]Customer Count'!L80</f>
        <v>5812.6666666666642</v>
      </c>
      <c r="Y61" s="1098"/>
      <c r="Z61" s="375"/>
      <c r="AA61" s="16" t="s">
        <v>19</v>
      </c>
      <c r="AB61" s="16">
        <v>445440.61033611378</v>
      </c>
      <c r="AC61"/>
      <c r="AD61"/>
      <c r="AE61"/>
      <c r="AF61"/>
      <c r="AG61"/>
      <c r="AH61"/>
      <c r="AI61"/>
      <c r="AJ61" s="107"/>
      <c r="AK61" s="88"/>
      <c r="AL61" s="88"/>
      <c r="AM61" s="88"/>
      <c r="AN61" s="88"/>
      <c r="AO61" s="88"/>
      <c r="AP61" s="88"/>
      <c r="AQ61" s="88"/>
      <c r="AR61" s="88"/>
      <c r="AS61" s="88"/>
      <c r="AT61" s="88"/>
    </row>
    <row r="62" spans="2:46" ht="13.5" thickBot="1">
      <c r="B62" s="100">
        <f t="shared" si="2"/>
        <v>40086</v>
      </c>
      <c r="C62" s="108">
        <v>8543544</v>
      </c>
      <c r="D62" s="111"/>
      <c r="E62" s="123"/>
      <c r="F62" s="111"/>
      <c r="G62" s="112"/>
      <c r="H62" s="110">
        <f t="shared" si="3"/>
        <v>8543544</v>
      </c>
      <c r="I62" s="369"/>
      <c r="J62" s="214">
        <f>'HDD &amp; CDD'!P14</f>
        <v>106.49999999999999</v>
      </c>
      <c r="K62" s="214">
        <f>'HDD &amp; CDD'!P32</f>
        <v>5</v>
      </c>
      <c r="L62" s="485">
        <f t="shared" si="1"/>
        <v>30</v>
      </c>
      <c r="M62" s="214">
        <v>1</v>
      </c>
      <c r="N62" s="485">
        <f>[22]Sheet1!C60</f>
        <v>1</v>
      </c>
      <c r="O62" s="1095"/>
      <c r="P62" s="1082"/>
      <c r="Q62" s="1091"/>
      <c r="R62" s="1094">
        <f>'CDM Activity'!C110</f>
        <v>131384.14899229017</v>
      </c>
      <c r="S62" s="105"/>
      <c r="T62" s="105"/>
      <c r="U62" s="105"/>
      <c r="V62" s="1092"/>
      <c r="W62" s="1093">
        <f>[30]GDP!D85</f>
        <v>104.3599772773435</v>
      </c>
      <c r="X62" s="1097">
        <f>'[30]Customer Count'!L81</f>
        <v>5812.9999999999973</v>
      </c>
      <c r="Y62" s="1098"/>
      <c r="Z62" s="375"/>
      <c r="AA62" s="17" t="s">
        <v>20</v>
      </c>
      <c r="AB62" s="17">
        <v>120</v>
      </c>
      <c r="AC62"/>
      <c r="AD62"/>
      <c r="AE62"/>
      <c r="AF62"/>
      <c r="AG62"/>
      <c r="AH62"/>
      <c r="AI62"/>
      <c r="AJ62" s="107"/>
      <c r="AK62" s="88"/>
      <c r="AL62" s="88"/>
      <c r="AM62" s="88"/>
      <c r="AN62" s="88"/>
      <c r="AO62" s="88"/>
      <c r="AP62" s="88"/>
      <c r="AQ62" s="88"/>
      <c r="AR62" s="88"/>
      <c r="AS62" s="88"/>
      <c r="AT62" s="88"/>
    </row>
    <row r="63" spans="2:46">
      <c r="B63" s="100">
        <f t="shared" si="2"/>
        <v>40117</v>
      </c>
      <c r="C63" s="108">
        <v>9341679</v>
      </c>
      <c r="D63" s="111"/>
      <c r="E63" s="123"/>
      <c r="F63" s="111"/>
      <c r="G63" s="112"/>
      <c r="H63" s="110">
        <f t="shared" si="3"/>
        <v>9341679</v>
      </c>
      <c r="I63" s="369"/>
      <c r="J63" s="214">
        <f>'HDD &amp; CDD'!P15</f>
        <v>355.5</v>
      </c>
      <c r="K63" s="214">
        <f>'HDD &amp; CDD'!P33</f>
        <v>0</v>
      </c>
      <c r="L63" s="485">
        <f t="shared" si="1"/>
        <v>31</v>
      </c>
      <c r="M63" s="214">
        <v>1</v>
      </c>
      <c r="N63" s="485">
        <f>[22]Sheet1!C61</f>
        <v>1</v>
      </c>
      <c r="O63" s="1095"/>
      <c r="P63" s="1082"/>
      <c r="Q63" s="1091"/>
      <c r="R63" s="1094">
        <f>'CDM Activity'!C111</f>
        <v>136573.49542152268</v>
      </c>
      <c r="S63" s="105"/>
      <c r="T63" s="105"/>
      <c r="U63" s="105"/>
      <c r="V63" s="1092"/>
      <c r="W63" s="1093">
        <f>[30]GDP!D86</f>
        <v>104.07751692597047</v>
      </c>
      <c r="X63" s="1097">
        <f>'[30]Customer Count'!L82</f>
        <v>5813.3333333333303</v>
      </c>
      <c r="Y63" s="1098"/>
      <c r="Z63" s="375"/>
      <c r="AA63"/>
      <c r="AB63"/>
      <c r="AC63"/>
      <c r="AD63"/>
      <c r="AE63"/>
      <c r="AF63"/>
      <c r="AG63"/>
      <c r="AH63"/>
      <c r="AI63"/>
      <c r="AJ63" s="107"/>
      <c r="AK63" s="88"/>
      <c r="AL63" s="88"/>
      <c r="AM63" s="88"/>
      <c r="AN63" s="88"/>
      <c r="AO63" s="88"/>
      <c r="AP63" s="88"/>
      <c r="AQ63" s="88"/>
      <c r="AR63" s="88"/>
      <c r="AS63" s="88"/>
      <c r="AT63" s="88"/>
    </row>
    <row r="64" spans="2:46" ht="13.5" thickBot="1">
      <c r="B64" s="100">
        <f t="shared" si="2"/>
        <v>40147</v>
      </c>
      <c r="C64" s="108">
        <v>9542500</v>
      </c>
      <c r="D64" s="111"/>
      <c r="E64" s="123"/>
      <c r="F64" s="111"/>
      <c r="G64" s="112"/>
      <c r="H64" s="110">
        <f t="shared" si="3"/>
        <v>9542500</v>
      </c>
      <c r="I64" s="369"/>
      <c r="J64" s="214">
        <f>'HDD &amp; CDD'!P16</f>
        <v>417.39999999999992</v>
      </c>
      <c r="K64" s="214">
        <f>'HDD &amp; CDD'!P34</f>
        <v>0</v>
      </c>
      <c r="L64" s="485">
        <f t="shared" si="1"/>
        <v>30</v>
      </c>
      <c r="M64" s="214">
        <v>1</v>
      </c>
      <c r="N64" s="485">
        <f>[22]Sheet1!C62</f>
        <v>0</v>
      </c>
      <c r="O64" s="1095"/>
      <c r="P64" s="1082"/>
      <c r="Q64" s="1091"/>
      <c r="R64" s="1094">
        <f>'CDM Activity'!C112</f>
        <v>141762.84185075518</v>
      </c>
      <c r="S64" s="105"/>
      <c r="T64" s="105"/>
      <c r="U64" s="105"/>
      <c r="V64" s="1092"/>
      <c r="W64" s="1093">
        <f>[30]GDP!D87</f>
        <v>103.79582108080163</v>
      </c>
      <c r="X64" s="1097">
        <f>'[30]Customer Count'!L83</f>
        <v>5813.6666666666633</v>
      </c>
      <c r="Y64" s="1098"/>
      <c r="Z64" s="375"/>
      <c r="AA64" t="s">
        <v>21</v>
      </c>
      <c r="AB64"/>
      <c r="AC64"/>
      <c r="AD64"/>
      <c r="AE64"/>
      <c r="AF64"/>
      <c r="AG64"/>
      <c r="AH64"/>
      <c r="AI64"/>
      <c r="AJ64" s="107"/>
      <c r="AK64" s="88"/>
      <c r="AL64" s="88"/>
      <c r="AM64" s="88"/>
      <c r="AN64" s="88"/>
      <c r="AO64" s="88"/>
      <c r="AP64" s="88"/>
      <c r="AQ64" s="88"/>
      <c r="AR64" s="88"/>
      <c r="AS64" s="88"/>
    </row>
    <row r="65" spans="2:45">
      <c r="B65" s="217">
        <f t="shared" si="2"/>
        <v>40178</v>
      </c>
      <c r="C65" s="124">
        <v>11612258</v>
      </c>
      <c r="D65" s="125"/>
      <c r="E65" s="125"/>
      <c r="F65" s="125"/>
      <c r="G65" s="126"/>
      <c r="H65" s="117">
        <f t="shared" si="3"/>
        <v>11612258</v>
      </c>
      <c r="I65" s="370"/>
      <c r="J65" s="165">
        <f>'HDD &amp; CDD'!P17</f>
        <v>759.40000000000009</v>
      </c>
      <c r="K65" s="165">
        <f>'HDD &amp; CDD'!P35</f>
        <v>0</v>
      </c>
      <c r="L65" s="486">
        <f t="shared" si="1"/>
        <v>31</v>
      </c>
      <c r="M65" s="165">
        <v>0</v>
      </c>
      <c r="N65" s="486">
        <f>[22]Sheet1!C63</f>
        <v>2</v>
      </c>
      <c r="O65" s="1095"/>
      <c r="P65" s="1082"/>
      <c r="Q65" s="1091"/>
      <c r="R65" s="1094">
        <f>'CDM Activity'!C113</f>
        <v>146952.18827998769</v>
      </c>
      <c r="S65" s="105"/>
      <c r="T65" s="105"/>
      <c r="U65" s="105"/>
      <c r="V65" s="1092"/>
      <c r="W65" s="1093">
        <f>[30]GDP!D88</f>
        <v>103.51488767262715</v>
      </c>
      <c r="X65" s="1097">
        <f>'[30]Customer Count'!L84</f>
        <v>5814</v>
      </c>
      <c r="Y65" s="1098"/>
      <c r="Z65" s="375"/>
      <c r="AA65" s="18"/>
      <c r="AB65" s="18" t="s">
        <v>25</v>
      </c>
      <c r="AC65" s="18" t="s">
        <v>26</v>
      </c>
      <c r="AD65" s="18" t="s">
        <v>27</v>
      </c>
      <c r="AE65" s="18" t="s">
        <v>28</v>
      </c>
      <c r="AF65" s="18" t="s">
        <v>29</v>
      </c>
      <c r="AG65"/>
      <c r="AH65"/>
      <c r="AI65"/>
      <c r="AJ65" s="107"/>
      <c r="AK65" s="88"/>
      <c r="AL65" s="88"/>
      <c r="AM65" s="88"/>
      <c r="AN65" s="88"/>
      <c r="AO65" s="88"/>
      <c r="AP65" s="88"/>
      <c r="AQ65" s="88"/>
      <c r="AR65" s="88"/>
      <c r="AS65" s="88"/>
    </row>
    <row r="66" spans="2:45">
      <c r="B66" s="100">
        <f t="shared" si="2"/>
        <v>40209</v>
      </c>
      <c r="C66" s="108">
        <v>12078338</v>
      </c>
      <c r="D66" s="111"/>
      <c r="E66" s="123"/>
      <c r="F66" s="111"/>
      <c r="G66" s="112"/>
      <c r="H66" s="110">
        <f t="shared" si="3"/>
        <v>12078338</v>
      </c>
      <c r="I66" s="369"/>
      <c r="J66" s="214">
        <f>'HDD &amp; CDD'!Q6</f>
        <v>789.2</v>
      </c>
      <c r="K66" s="214">
        <f>'HDD &amp; CDD'!Q24</f>
        <v>0</v>
      </c>
      <c r="L66" s="485">
        <f t="shared" si="1"/>
        <v>31</v>
      </c>
      <c r="M66" s="214">
        <v>0</v>
      </c>
      <c r="N66" s="485">
        <f>[22]Sheet1!C64</f>
        <v>1</v>
      </c>
      <c r="O66" s="1095"/>
      <c r="P66" s="1082"/>
      <c r="Q66" s="1091"/>
      <c r="R66" s="1094">
        <f>'CDM Activity'!C114</f>
        <v>147944.66302405365</v>
      </c>
      <c r="S66" s="105"/>
      <c r="T66" s="105"/>
      <c r="U66" s="105"/>
      <c r="V66" s="1092"/>
      <c r="W66" s="1093">
        <f>[30]GDP!D89</f>
        <v>103.77018331107756</v>
      </c>
      <c r="X66" s="1097">
        <f>'[30]Customer Count'!L85</f>
        <v>5814.333333333333</v>
      </c>
      <c r="Y66" s="1098"/>
      <c r="Z66" s="375"/>
      <c r="AA66" s="16" t="s">
        <v>22</v>
      </c>
      <c r="AB66" s="16">
        <v>5</v>
      </c>
      <c r="AC66" s="16">
        <v>170132611089778.16</v>
      </c>
      <c r="AD66" s="16">
        <v>34026522217955.633</v>
      </c>
      <c r="AE66" s="16">
        <v>171.48966251991666</v>
      </c>
      <c r="AF66" s="16">
        <v>2.5417112060900083E-51</v>
      </c>
      <c r="AG66"/>
      <c r="AH66"/>
      <c r="AI66"/>
      <c r="AJ66" s="107"/>
      <c r="AK66" s="88"/>
      <c r="AL66" s="88"/>
      <c r="AM66" s="88"/>
      <c r="AN66" s="88"/>
      <c r="AO66" s="88"/>
      <c r="AP66" s="88"/>
      <c r="AQ66" s="88"/>
      <c r="AR66" s="88"/>
      <c r="AS66" s="88"/>
    </row>
    <row r="67" spans="2:45">
      <c r="B67" s="100">
        <f t="shared" si="2"/>
        <v>40237</v>
      </c>
      <c r="C67" s="108">
        <v>10494800</v>
      </c>
      <c r="D67" s="111"/>
      <c r="E67" s="123"/>
      <c r="F67" s="111"/>
      <c r="G67" s="112"/>
      <c r="H67" s="110">
        <f t="shared" si="3"/>
        <v>10494800</v>
      </c>
      <c r="I67" s="369"/>
      <c r="J67" s="214">
        <f>'HDD &amp; CDD'!Q7</f>
        <v>655.8</v>
      </c>
      <c r="K67" s="214">
        <f>'HDD &amp; CDD'!Q25</f>
        <v>0</v>
      </c>
      <c r="L67" s="485">
        <f t="shared" si="1"/>
        <v>28</v>
      </c>
      <c r="M67" s="214">
        <v>0</v>
      </c>
      <c r="N67" s="485">
        <f>[22]Sheet1!C65</f>
        <v>1</v>
      </c>
      <c r="O67" s="1095"/>
      <c r="P67" s="1082"/>
      <c r="Q67" s="1091"/>
      <c r="R67" s="1094">
        <f>'CDM Activity'!C115</f>
        <v>148937.1377681196</v>
      </c>
      <c r="S67" s="105"/>
      <c r="T67" s="105"/>
      <c r="U67" s="105"/>
      <c r="V67" s="1092"/>
      <c r="W67" s="1093">
        <f>[30]GDP!D90</f>
        <v>104.02610857744408</v>
      </c>
      <c r="X67" s="1097">
        <f>'[30]Customer Count'!L86</f>
        <v>5814.6666666666661</v>
      </c>
      <c r="Y67" s="1098"/>
      <c r="Z67" s="375"/>
      <c r="AA67" s="16" t="s">
        <v>23</v>
      </c>
      <c r="AB67" s="16">
        <v>114</v>
      </c>
      <c r="AC67" s="16">
        <v>22619576456373.488</v>
      </c>
      <c r="AD67" s="16">
        <v>198417337336.60956</v>
      </c>
      <c r="AE67" s="16"/>
      <c r="AF67" s="16"/>
      <c r="AG67"/>
      <c r="AH67"/>
      <c r="AI67"/>
      <c r="AJ67" s="107"/>
      <c r="AK67" s="88"/>
      <c r="AL67" s="88"/>
      <c r="AM67" s="88"/>
      <c r="AN67" s="88"/>
      <c r="AO67" s="88"/>
      <c r="AP67" s="88"/>
      <c r="AQ67" s="88"/>
      <c r="AR67" s="88"/>
      <c r="AS67" s="88"/>
    </row>
    <row r="68" spans="2:45" ht="13.5" thickBot="1">
      <c r="B68" s="100">
        <f t="shared" si="2"/>
        <v>40268</v>
      </c>
      <c r="C68" s="108">
        <v>10154062</v>
      </c>
      <c r="D68" s="111"/>
      <c r="E68" s="123"/>
      <c r="F68" s="111"/>
      <c r="G68" s="112"/>
      <c r="H68" s="110">
        <f t="shared" si="3"/>
        <v>10154062</v>
      </c>
      <c r="I68" s="369"/>
      <c r="J68" s="214">
        <f>'HDD &amp; CDD'!Q8</f>
        <v>460.7000000000001</v>
      </c>
      <c r="K68" s="214">
        <f>'HDD &amp; CDD'!Q26</f>
        <v>0</v>
      </c>
      <c r="L68" s="485">
        <f t="shared" si="1"/>
        <v>31</v>
      </c>
      <c r="M68" s="214">
        <v>1</v>
      </c>
      <c r="N68" s="485">
        <f>[22]Sheet1!C66</f>
        <v>0</v>
      </c>
      <c r="O68" s="1095"/>
      <c r="P68" s="1082"/>
      <c r="Q68" s="1091"/>
      <c r="R68" s="1094">
        <f>'CDM Activity'!C116</f>
        <v>149929.61251218556</v>
      </c>
      <c r="S68" s="105"/>
      <c r="T68" s="105"/>
      <c r="U68" s="105"/>
      <c r="V68" s="1092"/>
      <c r="W68" s="1093">
        <f>[30]GDP!D91</f>
        <v>104.28266502455901</v>
      </c>
      <c r="X68" s="1097">
        <f>'[30]Customer Count'!L87</f>
        <v>5814.9999999999991</v>
      </c>
      <c r="Y68" s="1098"/>
      <c r="Z68" s="375"/>
      <c r="AA68" s="17" t="s">
        <v>5</v>
      </c>
      <c r="AB68" s="17">
        <v>119</v>
      </c>
      <c r="AC68" s="17">
        <v>192752187546151.66</v>
      </c>
      <c r="AD68" s="17"/>
      <c r="AE68" s="17"/>
      <c r="AF68" s="17"/>
      <c r="AG68"/>
      <c r="AH68"/>
      <c r="AI68"/>
      <c r="AJ68" s="107"/>
      <c r="AK68" s="88"/>
      <c r="AL68" s="88"/>
      <c r="AM68" s="88"/>
      <c r="AN68" s="88"/>
      <c r="AO68" s="88"/>
      <c r="AP68" s="88"/>
      <c r="AQ68" s="88"/>
      <c r="AR68" s="88"/>
      <c r="AS68" s="88"/>
    </row>
    <row r="69" spans="2:45" ht="13.5" thickBot="1">
      <c r="B69" s="100">
        <f t="shared" si="2"/>
        <v>40298</v>
      </c>
      <c r="C69" s="108">
        <v>8300785</v>
      </c>
      <c r="D69" s="111"/>
      <c r="E69" s="123"/>
      <c r="F69" s="111"/>
      <c r="G69" s="112"/>
      <c r="H69" s="110">
        <f t="shared" si="3"/>
        <v>8300785</v>
      </c>
      <c r="I69" s="369"/>
      <c r="J69" s="214">
        <f>'HDD &amp; CDD'!Q9</f>
        <v>258.09999999999997</v>
      </c>
      <c r="K69" s="214">
        <f>'HDD &amp; CDD'!Q27</f>
        <v>1.6</v>
      </c>
      <c r="L69" s="485">
        <f t="shared" si="1"/>
        <v>30</v>
      </c>
      <c r="M69" s="214">
        <v>1</v>
      </c>
      <c r="N69" s="485">
        <f>[22]Sheet1!C67</f>
        <v>2</v>
      </c>
      <c r="O69" s="1095"/>
      <c r="P69" s="1082"/>
      <c r="Q69" s="1091"/>
      <c r="R69" s="1094">
        <f>'CDM Activity'!C117</f>
        <v>150922.08725625151</v>
      </c>
      <c r="S69" s="105"/>
      <c r="T69" s="105"/>
      <c r="U69" s="105"/>
      <c r="V69" s="1092"/>
      <c r="W69" s="1093">
        <f>[30]GDP!D92</f>
        <v>104.53985420908435</v>
      </c>
      <c r="X69" s="1097">
        <f>'[30]Customer Count'!L88</f>
        <v>5815.3333333333321</v>
      </c>
      <c r="Y69" s="1098"/>
      <c r="Z69" s="375"/>
      <c r="AA69"/>
      <c r="AB69"/>
      <c r="AC69"/>
      <c r="AD69"/>
      <c r="AE69"/>
      <c r="AF69"/>
      <c r="AG69"/>
      <c r="AH69"/>
      <c r="AI69"/>
      <c r="AJ69" s="107"/>
      <c r="AK69" s="88"/>
      <c r="AL69" s="88"/>
      <c r="AM69" s="88"/>
      <c r="AN69" s="88"/>
      <c r="AO69" s="88"/>
      <c r="AP69" s="88"/>
      <c r="AQ69" s="88"/>
      <c r="AR69" s="88"/>
      <c r="AS69" s="88"/>
    </row>
    <row r="70" spans="2:45">
      <c r="B70" s="100">
        <f t="shared" si="2"/>
        <v>40329</v>
      </c>
      <c r="C70" s="108">
        <v>8510046</v>
      </c>
      <c r="D70" s="111"/>
      <c r="E70" s="123"/>
      <c r="F70" s="111"/>
      <c r="G70" s="112"/>
      <c r="H70" s="110">
        <f t="shared" ref="H70:H101" si="4">SUM(C70:G70)</f>
        <v>8510046</v>
      </c>
      <c r="I70" s="369"/>
      <c r="J70" s="214">
        <f>'HDD &amp; CDD'!Q10</f>
        <v>112.30000000000001</v>
      </c>
      <c r="K70" s="214">
        <f>'HDD &amp; CDD'!Q28</f>
        <v>38.199999999999996</v>
      </c>
      <c r="L70" s="485">
        <f t="shared" si="1"/>
        <v>31</v>
      </c>
      <c r="M70" s="214">
        <v>1</v>
      </c>
      <c r="N70" s="485">
        <f>[22]Sheet1!C68</f>
        <v>1</v>
      </c>
      <c r="O70" s="1095"/>
      <c r="P70" s="1082"/>
      <c r="Q70" s="1091"/>
      <c r="R70" s="1094">
        <f>'CDM Activity'!C118</f>
        <v>151914.56200031747</v>
      </c>
      <c r="S70" s="105"/>
      <c r="T70" s="105"/>
      <c r="U70" s="105"/>
      <c r="V70" s="1092"/>
      <c r="W70" s="1093">
        <f>[30]GDP!D93</f>
        <v>104.79767769152126</v>
      </c>
      <c r="X70" s="1097">
        <f>'[30]Customer Count'!L89</f>
        <v>5815.6666666666652</v>
      </c>
      <c r="Y70" s="1098"/>
      <c r="Z70" s="375"/>
      <c r="AA70" s="18"/>
      <c r="AB70" s="18" t="s">
        <v>30</v>
      </c>
      <c r="AC70" s="18" t="s">
        <v>19</v>
      </c>
      <c r="AD70" s="18" t="s">
        <v>31</v>
      </c>
      <c r="AE70" s="18" t="s">
        <v>32</v>
      </c>
      <c r="AF70" s="18" t="s">
        <v>33</v>
      </c>
      <c r="AG70" s="18" t="s">
        <v>34</v>
      </c>
      <c r="AH70" s="18" t="s">
        <v>125</v>
      </c>
      <c r="AI70" s="18" t="s">
        <v>126</v>
      </c>
      <c r="AJ70" s="107"/>
      <c r="AK70" s="88"/>
      <c r="AL70" s="88"/>
      <c r="AM70" s="88"/>
      <c r="AN70" s="88"/>
      <c r="AO70" s="88"/>
      <c r="AP70" s="88"/>
      <c r="AQ70" s="88"/>
      <c r="AR70" s="88"/>
      <c r="AS70" s="88"/>
    </row>
    <row r="71" spans="2:45">
      <c r="B71" s="100">
        <f t="shared" si="2"/>
        <v>40359</v>
      </c>
      <c r="C71" s="108">
        <v>8680146</v>
      </c>
      <c r="D71" s="111"/>
      <c r="E71" s="123"/>
      <c r="F71" s="111"/>
      <c r="G71" s="112"/>
      <c r="H71" s="110">
        <f t="shared" si="4"/>
        <v>8680146</v>
      </c>
      <c r="I71" s="369"/>
      <c r="J71" s="214">
        <f>'HDD &amp; CDD'!Q11</f>
        <v>37.600000000000009</v>
      </c>
      <c r="K71" s="214">
        <f>'HDD &amp; CDD'!Q29</f>
        <v>33.4</v>
      </c>
      <c r="L71" s="485">
        <f t="shared" ref="L71:L125" si="5">DAY(EOMONTH(B71,0))</f>
        <v>30</v>
      </c>
      <c r="M71" s="214">
        <v>0</v>
      </c>
      <c r="N71" s="485">
        <f>[22]Sheet1!C69</f>
        <v>0</v>
      </c>
      <c r="O71" s="1095"/>
      <c r="P71" s="1082"/>
      <c r="Q71" s="1091"/>
      <c r="R71" s="1094">
        <f>'CDM Activity'!C119</f>
        <v>152907.03674438343</v>
      </c>
      <c r="S71" s="105"/>
      <c r="T71" s="105"/>
      <c r="U71" s="105"/>
      <c r="V71" s="1092"/>
      <c r="W71" s="1093">
        <f>[30]GDP!D94</f>
        <v>105.05613703621948</v>
      </c>
      <c r="X71" s="1097">
        <f>'[30]Customer Count'!L90</f>
        <v>5815.9999999999982</v>
      </c>
      <c r="Y71" s="1098"/>
      <c r="Z71" s="375"/>
      <c r="AA71" s="16" t="s">
        <v>24</v>
      </c>
      <c r="AB71" s="16">
        <v>911010.50124634523</v>
      </c>
      <c r="AC71" s="16">
        <v>1621261.7348757959</v>
      </c>
      <c r="AD71" s="16">
        <v>0.56191451488006494</v>
      </c>
      <c r="AE71" s="16">
        <v>0.57527738891524316</v>
      </c>
      <c r="AF71" s="16">
        <v>-2300696.5085455864</v>
      </c>
      <c r="AG71" s="16">
        <v>4122717.5110382768</v>
      </c>
      <c r="AH71" s="16">
        <v>-2300696.5085455864</v>
      </c>
      <c r="AI71" s="16">
        <v>4122717.5110382768</v>
      </c>
      <c r="AJ71" s="107"/>
      <c r="AK71" s="88"/>
      <c r="AL71" s="88"/>
      <c r="AM71" s="88"/>
      <c r="AN71" s="88"/>
      <c r="AO71" s="88"/>
      <c r="AP71" s="88"/>
      <c r="AQ71" s="88"/>
      <c r="AR71" s="88"/>
      <c r="AS71" s="88"/>
    </row>
    <row r="72" spans="2:45">
      <c r="B72" s="100">
        <f t="shared" ref="B72:B135" si="6">EOMONTH(B71,1)</f>
        <v>40390</v>
      </c>
      <c r="C72" s="108">
        <v>9983854</v>
      </c>
      <c r="D72" s="111"/>
      <c r="E72" s="123"/>
      <c r="F72" s="111"/>
      <c r="G72" s="112"/>
      <c r="H72" s="110">
        <f t="shared" si="4"/>
        <v>9983854</v>
      </c>
      <c r="I72" s="369"/>
      <c r="J72" s="214">
        <f>'HDD &amp; CDD'!Q12</f>
        <v>4.5</v>
      </c>
      <c r="K72" s="214">
        <f>'HDD &amp; CDD'!Q30</f>
        <v>150.79999999999998</v>
      </c>
      <c r="L72" s="485">
        <f t="shared" si="5"/>
        <v>31</v>
      </c>
      <c r="M72" s="214">
        <v>0</v>
      </c>
      <c r="N72" s="485">
        <f>[22]Sheet1!C70</f>
        <v>1</v>
      </c>
      <c r="O72" s="1095"/>
      <c r="P72" s="1082"/>
      <c r="Q72" s="1091"/>
      <c r="R72" s="1094">
        <f>'CDM Activity'!C120</f>
        <v>153899.51148844938</v>
      </c>
      <c r="S72" s="105"/>
      <c r="T72" s="105"/>
      <c r="U72" s="105"/>
      <c r="V72" s="1092"/>
      <c r="W72" s="1093">
        <f>[30]GDP!D95</f>
        <v>105.3152338113869</v>
      </c>
      <c r="X72" s="1097">
        <f>'[30]Customer Count'!L91</f>
        <v>5816.3333333333312</v>
      </c>
      <c r="Y72" s="1098"/>
      <c r="Z72" s="375"/>
      <c r="AA72" s="16" t="s">
        <v>131</v>
      </c>
      <c r="AB72" s="16">
        <v>4779.1143243713504</v>
      </c>
      <c r="AC72" s="16">
        <v>237.69979115711817</v>
      </c>
      <c r="AD72" s="16">
        <v>20.105673215389508</v>
      </c>
      <c r="AE72" s="16">
        <v>2.7595364462459618E-39</v>
      </c>
      <c r="AF72" s="16">
        <v>4308.2328688586294</v>
      </c>
      <c r="AG72" s="16">
        <v>5249.9957798840715</v>
      </c>
      <c r="AH72" s="16">
        <v>4308.2328688586294</v>
      </c>
      <c r="AI72" s="16">
        <v>5249.9957798840715</v>
      </c>
      <c r="AJ72" s="107"/>
      <c r="AK72" s="88"/>
      <c r="AL72" s="88"/>
      <c r="AM72" s="88"/>
      <c r="AN72" s="88"/>
      <c r="AO72" s="88"/>
      <c r="AP72" s="88"/>
      <c r="AQ72" s="88"/>
      <c r="AR72" s="88"/>
      <c r="AS72" s="88"/>
    </row>
    <row r="73" spans="2:45">
      <c r="B73" s="100">
        <f t="shared" si="6"/>
        <v>40421</v>
      </c>
      <c r="C73" s="108">
        <v>9543754</v>
      </c>
      <c r="D73" s="111"/>
      <c r="E73" s="123"/>
      <c r="F73" s="111"/>
      <c r="G73" s="112"/>
      <c r="H73" s="110">
        <f t="shared" si="4"/>
        <v>9543754</v>
      </c>
      <c r="I73" s="369"/>
      <c r="J73" s="214">
        <f>'HDD &amp; CDD'!Q13</f>
        <v>14.7</v>
      </c>
      <c r="K73" s="214">
        <f>'HDD &amp; CDD'!Q31</f>
        <v>93</v>
      </c>
      <c r="L73" s="485">
        <f t="shared" si="5"/>
        <v>31</v>
      </c>
      <c r="M73" s="214">
        <v>0</v>
      </c>
      <c r="N73" s="485">
        <f>[22]Sheet1!C71</f>
        <v>1</v>
      </c>
      <c r="O73" s="1095"/>
      <c r="P73" s="1082"/>
      <c r="Q73" s="1091"/>
      <c r="R73" s="1094">
        <f>'CDM Activity'!C121</f>
        <v>154891.98623251534</v>
      </c>
      <c r="S73" s="105"/>
      <c r="T73" s="105"/>
      <c r="U73" s="105"/>
      <c r="V73" s="1092"/>
      <c r="W73" s="1093">
        <f>[30]GDP!D96</f>
        <v>105.57496958909903</v>
      </c>
      <c r="X73" s="1097">
        <f>'[30]Customer Count'!L92</f>
        <v>5816.6666666666642</v>
      </c>
      <c r="Y73" s="1098"/>
      <c r="Z73" s="375"/>
      <c r="AA73" s="16" t="s">
        <v>132</v>
      </c>
      <c r="AB73" s="16">
        <v>14838.836941424295</v>
      </c>
      <c r="AC73" s="16">
        <v>2191.4632379158952</v>
      </c>
      <c r="AD73" s="16">
        <v>6.771200485907392</v>
      </c>
      <c r="AE73" s="16">
        <v>5.8471950115673813E-10</v>
      </c>
      <c r="AF73" s="16">
        <v>10497.565145815668</v>
      </c>
      <c r="AG73" s="16">
        <v>19180.108737032922</v>
      </c>
      <c r="AH73" s="16">
        <v>10497.565145815668</v>
      </c>
      <c r="AI73" s="16">
        <v>19180.108737032922</v>
      </c>
      <c r="AJ73" s="107"/>
      <c r="AK73" s="88"/>
      <c r="AL73" s="88"/>
      <c r="AM73" s="88"/>
      <c r="AN73" s="88"/>
      <c r="AO73" s="88"/>
      <c r="AP73" s="88"/>
      <c r="AQ73" s="88"/>
      <c r="AR73" s="88"/>
      <c r="AS73" s="88"/>
    </row>
    <row r="74" spans="2:45">
      <c r="B74" s="100">
        <f t="shared" si="6"/>
        <v>40451</v>
      </c>
      <c r="C74" s="108">
        <v>8579877</v>
      </c>
      <c r="D74" s="111"/>
      <c r="E74" s="123"/>
      <c r="F74" s="111"/>
      <c r="G74" s="112"/>
      <c r="H74" s="110">
        <f t="shared" si="4"/>
        <v>8579877</v>
      </c>
      <c r="I74" s="369"/>
      <c r="J74" s="214">
        <f>'HDD &amp; CDD'!Q14</f>
        <v>112</v>
      </c>
      <c r="K74" s="214">
        <f>'HDD &amp; CDD'!Q32</f>
        <v>26.200000000000003</v>
      </c>
      <c r="L74" s="485">
        <f t="shared" si="5"/>
        <v>30</v>
      </c>
      <c r="M74" s="214">
        <v>1</v>
      </c>
      <c r="N74" s="485">
        <f>[22]Sheet1!C72</f>
        <v>1</v>
      </c>
      <c r="O74" s="1095"/>
      <c r="P74" s="1082"/>
      <c r="Q74" s="1091"/>
      <c r="R74" s="1094">
        <f>'CDM Activity'!C122</f>
        <v>155884.46097658129</v>
      </c>
      <c r="S74" s="105"/>
      <c r="T74" s="105"/>
      <c r="U74" s="105"/>
      <c r="V74" s="1092"/>
      <c r="W74" s="1093">
        <f>[30]GDP!D97</f>
        <v>105.8353459453085</v>
      </c>
      <c r="X74" s="1097">
        <f>'[30]Customer Count'!L93</f>
        <v>5816.9999999999973</v>
      </c>
      <c r="Y74" s="1098"/>
      <c r="Z74" s="375"/>
      <c r="AA74" s="16" t="s">
        <v>3</v>
      </c>
      <c r="AB74" s="16">
        <v>241119.35853680372</v>
      </c>
      <c r="AC74" s="16">
        <v>54765.402267019505</v>
      </c>
      <c r="AD74" s="16">
        <v>4.4027679621739795</v>
      </c>
      <c r="AE74" s="16">
        <v>2.4220054398677364E-5</v>
      </c>
      <c r="AF74" s="16">
        <v>132629.51845028839</v>
      </c>
      <c r="AG74" s="16">
        <v>349609.19862331904</v>
      </c>
      <c r="AH74" s="16">
        <v>132629.51845028839</v>
      </c>
      <c r="AI74" s="16">
        <v>349609.19862331904</v>
      </c>
      <c r="AJ74" s="107"/>
      <c r="AK74" s="88"/>
      <c r="AL74" s="88"/>
      <c r="AM74" s="88"/>
      <c r="AN74" s="88"/>
      <c r="AO74" s="88"/>
      <c r="AP74" s="88"/>
      <c r="AQ74" s="88"/>
      <c r="AR74" s="88"/>
      <c r="AS74" s="88"/>
    </row>
    <row r="75" spans="2:45">
      <c r="B75" s="100">
        <f t="shared" si="6"/>
        <v>40482</v>
      </c>
      <c r="C75" s="108">
        <v>8994685</v>
      </c>
      <c r="D75" s="111"/>
      <c r="E75" s="123"/>
      <c r="F75" s="111"/>
      <c r="G75" s="112"/>
      <c r="H75" s="110">
        <f t="shared" si="4"/>
        <v>8994685</v>
      </c>
      <c r="I75" s="369"/>
      <c r="J75" s="214">
        <f>'HDD &amp; CDD'!Q15</f>
        <v>311</v>
      </c>
      <c r="K75" s="214">
        <f>'HDD &amp; CDD'!Q33</f>
        <v>0</v>
      </c>
      <c r="L75" s="485">
        <f t="shared" si="5"/>
        <v>31</v>
      </c>
      <c r="M75" s="214">
        <v>1</v>
      </c>
      <c r="N75" s="485">
        <f>[22]Sheet1!C73</f>
        <v>1</v>
      </c>
      <c r="O75" s="1095"/>
      <c r="P75" s="1082"/>
      <c r="Q75" s="1091"/>
      <c r="R75" s="1094">
        <f>'CDM Activity'!C123</f>
        <v>156876.93572064725</v>
      </c>
      <c r="S75" s="105"/>
      <c r="T75" s="105"/>
      <c r="U75" s="105"/>
      <c r="V75" s="1092"/>
      <c r="W75" s="1093">
        <f>[30]GDP!D98</f>
        <v>106.09636445985473</v>
      </c>
      <c r="X75" s="1097">
        <f>'[30]Customer Count'!L94</f>
        <v>5817.3333333333303</v>
      </c>
      <c r="Y75" s="1098"/>
      <c r="Z75" s="375"/>
      <c r="AA75" s="16" t="s">
        <v>133</v>
      </c>
      <c r="AB75" s="16">
        <v>-341937.80898512807</v>
      </c>
      <c r="AC75" s="16">
        <v>122645.11607670331</v>
      </c>
      <c r="AD75" s="16">
        <v>-2.788026298342587</v>
      </c>
      <c r="AE75" s="16">
        <v>6.2152151063405055E-3</v>
      </c>
      <c r="AF75" s="16">
        <v>-584896.8393174326</v>
      </c>
      <c r="AG75" s="16">
        <v>-98978.77865282353</v>
      </c>
      <c r="AH75" s="16">
        <v>-584896.8393174326</v>
      </c>
      <c r="AI75" s="16">
        <v>-98978.77865282353</v>
      </c>
      <c r="AJ75" s="107"/>
      <c r="AK75" s="88"/>
      <c r="AL75" s="88"/>
      <c r="AM75" s="88"/>
      <c r="AN75" s="88"/>
      <c r="AO75" s="88"/>
      <c r="AP75" s="88"/>
      <c r="AQ75" s="88"/>
      <c r="AR75" s="88"/>
      <c r="AS75" s="88"/>
    </row>
    <row r="76" spans="2:45" ht="13.5" thickBot="1">
      <c r="B76" s="100">
        <f t="shared" si="6"/>
        <v>40512</v>
      </c>
      <c r="C76" s="108">
        <v>9833800</v>
      </c>
      <c r="D76" s="111"/>
      <c r="E76" s="123"/>
      <c r="F76" s="111"/>
      <c r="G76" s="112"/>
      <c r="H76" s="110">
        <f t="shared" si="4"/>
        <v>9833800</v>
      </c>
      <c r="I76" s="369"/>
      <c r="J76" s="214">
        <f>'HDD &amp; CDD'!Q16</f>
        <v>491.59999999999985</v>
      </c>
      <c r="K76" s="214">
        <f>'HDD &amp; CDD'!Q34</f>
        <v>0</v>
      </c>
      <c r="L76" s="485">
        <f t="shared" si="5"/>
        <v>30</v>
      </c>
      <c r="M76" s="214">
        <v>1</v>
      </c>
      <c r="N76" s="485">
        <f>[22]Sheet1!C74</f>
        <v>0</v>
      </c>
      <c r="O76" s="1095"/>
      <c r="P76" s="1082"/>
      <c r="Q76" s="1091"/>
      <c r="R76" s="1094">
        <f>'CDM Activity'!C124</f>
        <v>157869.4104647132</v>
      </c>
      <c r="S76" s="105"/>
      <c r="T76" s="105"/>
      <c r="U76" s="105"/>
      <c r="V76" s="1092"/>
      <c r="W76" s="1093">
        <f>[30]GDP!D99</f>
        <v>106.35802671647338</v>
      </c>
      <c r="X76" s="1097">
        <f>'[30]Customer Count'!L95</f>
        <v>5817.6666666666633</v>
      </c>
      <c r="Y76" s="1098"/>
      <c r="Z76" s="375"/>
      <c r="AA76" s="17" t="s">
        <v>134</v>
      </c>
      <c r="AB76" s="17">
        <v>-141247.7796045198</v>
      </c>
      <c r="AC76" s="17">
        <v>68098.120380200358</v>
      </c>
      <c r="AD76" s="17">
        <v>-2.0741802977221062</v>
      </c>
      <c r="AE76" s="17">
        <v>4.0314344855335735E-2</v>
      </c>
      <c r="AF76" s="17">
        <v>-276149.63158432965</v>
      </c>
      <c r="AG76" s="17">
        <v>-6345.9276247099915</v>
      </c>
      <c r="AH76" s="17">
        <v>-276149.63158432965</v>
      </c>
      <c r="AI76" s="17">
        <v>-6345.9276247099915</v>
      </c>
      <c r="AJ76" s="107"/>
      <c r="AK76" s="88"/>
      <c r="AL76" s="88"/>
      <c r="AM76" s="88"/>
      <c r="AN76" s="88"/>
      <c r="AO76" s="88"/>
      <c r="AP76" s="88"/>
      <c r="AQ76" s="88"/>
      <c r="AR76" s="88"/>
      <c r="AS76" s="88"/>
    </row>
    <row r="77" spans="2:45">
      <c r="B77" s="217">
        <f t="shared" si="6"/>
        <v>40543</v>
      </c>
      <c r="C77" s="124">
        <v>11438554</v>
      </c>
      <c r="D77" s="125"/>
      <c r="E77" s="125"/>
      <c r="F77" s="125"/>
      <c r="G77" s="126"/>
      <c r="H77" s="117">
        <f t="shared" si="4"/>
        <v>11438554</v>
      </c>
      <c r="I77" s="370"/>
      <c r="J77" s="165">
        <f>'HDD &amp; CDD'!Q17</f>
        <v>731.39999999999986</v>
      </c>
      <c r="K77" s="165">
        <f>'HDD &amp; CDD'!Q35</f>
        <v>0</v>
      </c>
      <c r="L77" s="486">
        <f t="shared" si="5"/>
        <v>31</v>
      </c>
      <c r="M77" s="165">
        <v>0</v>
      </c>
      <c r="N77" s="486">
        <f>[22]Sheet1!C75</f>
        <v>2</v>
      </c>
      <c r="O77" s="1095"/>
      <c r="P77" s="1082"/>
      <c r="Q77" s="1091"/>
      <c r="R77" s="1094">
        <f>'CDM Activity'!C125</f>
        <v>158861.88520877916</v>
      </c>
      <c r="S77" s="105"/>
      <c r="T77" s="105"/>
      <c r="U77" s="105"/>
      <c r="V77" s="1092"/>
      <c r="W77" s="1093">
        <f>[30]GDP!D100</f>
        <v>106.62033430280609</v>
      </c>
      <c r="X77" s="1097">
        <f>'[30]Customer Count'!L96</f>
        <v>5818</v>
      </c>
      <c r="Y77" s="1098"/>
      <c r="Z77" s="375"/>
      <c r="AA77"/>
      <c r="AB77"/>
      <c r="AC77"/>
      <c r="AD77"/>
      <c r="AE77"/>
      <c r="AF77"/>
      <c r="AG77"/>
      <c r="AH77"/>
      <c r="AI77"/>
      <c r="AJ77" s="107"/>
      <c r="AK77" s="88"/>
      <c r="AL77" s="88"/>
      <c r="AM77" s="88"/>
      <c r="AN77" s="88"/>
      <c r="AO77" s="88"/>
      <c r="AP77" s="88"/>
      <c r="AQ77" s="88"/>
      <c r="AR77" s="88"/>
      <c r="AS77" s="88"/>
    </row>
    <row r="78" spans="2:45" ht="13.5" thickBot="1">
      <c r="B78" s="100">
        <f t="shared" si="6"/>
        <v>40574</v>
      </c>
      <c r="C78" s="108">
        <f>[21]Sheet1!C24</f>
        <v>12132585</v>
      </c>
      <c r="D78" s="111"/>
      <c r="E78" s="108">
        <f>[21]Sheet1!D24</f>
        <v>0</v>
      </c>
      <c r="F78" s="123"/>
      <c r="G78" s="112"/>
      <c r="H78" s="110">
        <f t="shared" si="4"/>
        <v>12132585</v>
      </c>
      <c r="I78" s="369"/>
      <c r="J78" s="214">
        <f>'HDD &amp; CDD'!R6</f>
        <v>888.7</v>
      </c>
      <c r="K78" s="214">
        <f>'HDD &amp; CDD'!R24</f>
        <v>0</v>
      </c>
      <c r="L78" s="485">
        <f t="shared" si="5"/>
        <v>31</v>
      </c>
      <c r="M78" s="214">
        <v>0</v>
      </c>
      <c r="N78" s="485">
        <f>[22]Sheet1!C76</f>
        <v>1</v>
      </c>
      <c r="O78" s="1095"/>
      <c r="P78" s="1082"/>
      <c r="Q78" s="1091"/>
      <c r="R78" s="1094">
        <f>'CDM Activity'!C126</f>
        <v>163326.59789935348</v>
      </c>
      <c r="S78" s="105"/>
      <c r="T78" s="105"/>
      <c r="U78" s="105"/>
      <c r="V78" s="1092"/>
      <c r="W78" s="1093">
        <f>[30]GDP!D101</f>
        <v>106.84863702804462</v>
      </c>
      <c r="X78" s="1097">
        <f>'[30]Customer Count'!L97</f>
        <v>5819.75</v>
      </c>
      <c r="Y78" s="1098"/>
      <c r="Z78" s="375"/>
      <c r="AA78"/>
      <c r="AB78"/>
      <c r="AC78"/>
      <c r="AD78"/>
      <c r="AE78"/>
      <c r="AF78"/>
      <c r="AG78"/>
      <c r="AH78"/>
      <c r="AI78"/>
      <c r="AJ78" s="107"/>
      <c r="AK78" s="88"/>
      <c r="AL78" s="88"/>
      <c r="AM78" s="88"/>
      <c r="AN78" s="88"/>
      <c r="AO78" s="88"/>
      <c r="AP78" s="88"/>
      <c r="AQ78" s="88"/>
      <c r="AR78" s="88"/>
      <c r="AS78" s="88"/>
    </row>
    <row r="79" spans="2:45" ht="13.5" thickBot="1">
      <c r="B79" s="100">
        <f t="shared" si="6"/>
        <v>40602</v>
      </c>
      <c r="C79" s="108">
        <f>[21]Sheet1!C25</f>
        <v>10866454</v>
      </c>
      <c r="D79" s="111"/>
      <c r="E79" s="108">
        <f>[21]Sheet1!D25</f>
        <v>1799</v>
      </c>
      <c r="F79" s="123"/>
      <c r="G79" s="112"/>
      <c r="H79" s="110">
        <f t="shared" si="4"/>
        <v>10868253</v>
      </c>
      <c r="I79" s="369"/>
      <c r="J79" s="214">
        <f>'HDD &amp; CDD'!R7</f>
        <v>731.6</v>
      </c>
      <c r="K79" s="214">
        <f>'HDD &amp; CDD'!R25</f>
        <v>0</v>
      </c>
      <c r="L79" s="485">
        <f t="shared" si="5"/>
        <v>28</v>
      </c>
      <c r="M79" s="214">
        <v>0</v>
      </c>
      <c r="N79" s="485">
        <f>[22]Sheet1!C77</f>
        <v>1</v>
      </c>
      <c r="O79" s="1095"/>
      <c r="P79" s="1082"/>
      <c r="Q79" s="1091"/>
      <c r="R79" s="1094">
        <f>'CDM Activity'!C127</f>
        <v>167791.3105899278</v>
      </c>
      <c r="S79" s="105"/>
      <c r="T79" s="105"/>
      <c r="U79" s="105"/>
      <c r="V79" s="1092"/>
      <c r="W79" s="1093">
        <f>[30]GDP!D102</f>
        <v>107.07742861063566</v>
      </c>
      <c r="X79" s="1097">
        <f>'[30]Customer Count'!L98</f>
        <v>5821.5</v>
      </c>
      <c r="Y79" s="1098"/>
      <c r="Z79" s="1085" t="s">
        <v>520</v>
      </c>
      <c r="AA79" t="s">
        <v>14</v>
      </c>
      <c r="AB79"/>
      <c r="AC79"/>
      <c r="AD79"/>
      <c r="AE79"/>
      <c r="AF79"/>
      <c r="AG79"/>
      <c r="AH79"/>
      <c r="AI79"/>
      <c r="AJ79" s="107"/>
      <c r="AK79" s="88"/>
      <c r="AL79" s="88"/>
      <c r="AM79" s="88"/>
      <c r="AN79" s="88"/>
      <c r="AO79" s="88"/>
      <c r="AP79" s="88"/>
      <c r="AQ79" s="88"/>
      <c r="AR79" s="88"/>
      <c r="AS79" s="88"/>
    </row>
    <row r="80" spans="2:45" ht="13.5" thickBot="1">
      <c r="B80" s="100">
        <f t="shared" si="6"/>
        <v>40633</v>
      </c>
      <c r="C80" s="108">
        <f>[21]Sheet1!C26</f>
        <v>11067608</v>
      </c>
      <c r="D80" s="111"/>
      <c r="E80" s="108">
        <f>[21]Sheet1!D26</f>
        <v>1033</v>
      </c>
      <c r="F80" s="123"/>
      <c r="G80" s="112"/>
      <c r="H80" s="110">
        <f t="shared" si="4"/>
        <v>11068641</v>
      </c>
      <c r="I80" s="369"/>
      <c r="J80" s="214">
        <f>'HDD &amp; CDD'!R8</f>
        <v>634.59999999999991</v>
      </c>
      <c r="K80" s="214">
        <f>'HDD &amp; CDD'!R26</f>
        <v>0</v>
      </c>
      <c r="L80" s="485">
        <f t="shared" si="5"/>
        <v>31</v>
      </c>
      <c r="M80" s="214">
        <v>1</v>
      </c>
      <c r="N80" s="485">
        <f>[22]Sheet1!C78</f>
        <v>0</v>
      </c>
      <c r="O80" s="1095"/>
      <c r="P80" s="1082"/>
      <c r="Q80" s="1091"/>
      <c r="R80" s="1094">
        <f>'CDM Activity'!C128</f>
        <v>172256.02328050212</v>
      </c>
      <c r="S80" s="105"/>
      <c r="T80" s="105"/>
      <c r="U80" s="105"/>
      <c r="V80" s="1092"/>
      <c r="W80" s="1093">
        <f>[30]GDP!D103</f>
        <v>107.3067100973539</v>
      </c>
      <c r="X80" s="1097">
        <f>'[30]Customer Count'!L99</f>
        <v>5823.25</v>
      </c>
      <c r="Y80" s="1098"/>
      <c r="Z80" s="375"/>
      <c r="AA80"/>
      <c r="AB80"/>
      <c r="AC80"/>
      <c r="AD80"/>
      <c r="AE80"/>
      <c r="AF80"/>
      <c r="AG80"/>
      <c r="AH80"/>
      <c r="AI80"/>
      <c r="AJ80" s="107"/>
      <c r="AK80" s="88"/>
      <c r="AL80" s="88"/>
      <c r="AM80" s="88"/>
      <c r="AN80" s="88"/>
      <c r="AO80" s="88"/>
      <c r="AP80" s="88"/>
      <c r="AQ80" s="88"/>
      <c r="AR80" s="88"/>
      <c r="AS80" s="88"/>
    </row>
    <row r="81" spans="2:45">
      <c r="B81" s="100">
        <f t="shared" si="6"/>
        <v>40663</v>
      </c>
      <c r="C81" s="108">
        <f>[21]Sheet1!C27</f>
        <v>9072415</v>
      </c>
      <c r="D81" s="111"/>
      <c r="E81" s="108">
        <f>[21]Sheet1!D27</f>
        <v>2402</v>
      </c>
      <c r="F81" s="123"/>
      <c r="G81" s="112"/>
      <c r="H81" s="110">
        <f t="shared" si="4"/>
        <v>9074817</v>
      </c>
      <c r="I81" s="369"/>
      <c r="J81" s="214">
        <f>'HDD &amp; CDD'!R9</f>
        <v>347.40000000000009</v>
      </c>
      <c r="K81" s="214">
        <f>'HDD &amp; CDD'!R27</f>
        <v>0</v>
      </c>
      <c r="L81" s="485">
        <f t="shared" si="5"/>
        <v>30</v>
      </c>
      <c r="M81" s="214">
        <v>1</v>
      </c>
      <c r="N81" s="485">
        <f>[22]Sheet1!C79</f>
        <v>2</v>
      </c>
      <c r="O81" s="1095"/>
      <c r="P81" s="1082"/>
      <c r="Q81" s="1091"/>
      <c r="R81" s="1094">
        <f>'CDM Activity'!C129</f>
        <v>176720.73597107644</v>
      </c>
      <c r="S81" s="105"/>
      <c r="T81" s="105"/>
      <c r="U81" s="105"/>
      <c r="V81" s="1092"/>
      <c r="W81" s="1093">
        <f>[30]GDP!D104</f>
        <v>107.53648253721542</v>
      </c>
      <c r="X81" s="1097">
        <f>'[30]Customer Count'!L100</f>
        <v>5825</v>
      </c>
      <c r="Y81" s="1098"/>
      <c r="Z81" s="375"/>
      <c r="AA81" s="19" t="s">
        <v>15</v>
      </c>
      <c r="AB81" s="19"/>
      <c r="AC81"/>
      <c r="AD81"/>
      <c r="AE81"/>
      <c r="AF81"/>
      <c r="AG81"/>
      <c r="AH81"/>
      <c r="AI81"/>
      <c r="AJ81" s="107"/>
      <c r="AK81" s="88"/>
      <c r="AL81" s="88"/>
      <c r="AM81" s="88"/>
      <c r="AN81" s="88"/>
      <c r="AO81" s="88"/>
      <c r="AP81" s="88"/>
      <c r="AQ81" s="88"/>
      <c r="AR81" s="88"/>
      <c r="AS81" s="88"/>
    </row>
    <row r="82" spans="2:45">
      <c r="B82" s="100">
        <f t="shared" si="6"/>
        <v>40694</v>
      </c>
      <c r="C82" s="108">
        <f>[21]Sheet1!C28</f>
        <v>8656277</v>
      </c>
      <c r="D82" s="111"/>
      <c r="E82" s="108">
        <f>[21]Sheet1!D28</f>
        <v>2602</v>
      </c>
      <c r="F82" s="123"/>
      <c r="G82" s="112"/>
      <c r="H82" s="110">
        <f t="shared" si="4"/>
        <v>8658879</v>
      </c>
      <c r="I82" s="369"/>
      <c r="J82" s="214">
        <f>'HDD &amp; CDD'!R10</f>
        <v>142.79999999999998</v>
      </c>
      <c r="K82" s="214">
        <f>'HDD &amp; CDD'!R28</f>
        <v>16.7</v>
      </c>
      <c r="L82" s="485">
        <f t="shared" si="5"/>
        <v>31</v>
      </c>
      <c r="M82" s="214">
        <v>1</v>
      </c>
      <c r="N82" s="485">
        <f>[22]Sheet1!C80</f>
        <v>1</v>
      </c>
      <c r="O82" s="1095"/>
      <c r="P82" s="1082"/>
      <c r="Q82" s="1091"/>
      <c r="R82" s="1094">
        <f>'CDM Activity'!C130</f>
        <v>181185.44866165076</v>
      </c>
      <c r="S82" s="105"/>
      <c r="T82" s="105"/>
      <c r="U82" s="105"/>
      <c r="V82" s="1092"/>
      <c r="W82" s="1093">
        <f>[30]GDP!D105</f>
        <v>107.76674698148256</v>
      </c>
      <c r="X82" s="1097">
        <f>'[30]Customer Count'!L101</f>
        <v>5826.75</v>
      </c>
      <c r="Y82" s="1098"/>
      <c r="Z82" s="375"/>
      <c r="AA82" s="16" t="s">
        <v>16</v>
      </c>
      <c r="AB82" s="16">
        <v>0.97854344960504558</v>
      </c>
      <c r="AC82"/>
      <c r="AD82"/>
      <c r="AE82"/>
      <c r="AF82"/>
      <c r="AG82"/>
      <c r="AH82"/>
      <c r="AI82"/>
      <c r="AJ82" s="107"/>
      <c r="AK82" s="88"/>
      <c r="AL82" s="88"/>
      <c r="AM82" s="88"/>
      <c r="AN82" s="88"/>
      <c r="AO82" s="88"/>
      <c r="AP82" s="88"/>
      <c r="AQ82" s="88"/>
      <c r="AR82" s="88"/>
      <c r="AS82" s="88"/>
    </row>
    <row r="83" spans="2:45">
      <c r="B83" s="100">
        <f t="shared" si="6"/>
        <v>40724</v>
      </c>
      <c r="C83" s="108">
        <f>[21]Sheet1!C29</f>
        <v>8776092</v>
      </c>
      <c r="D83" s="111"/>
      <c r="E83" s="108">
        <f>[21]Sheet1!D29</f>
        <v>2828</v>
      </c>
      <c r="F83" s="123"/>
      <c r="G83" s="112"/>
      <c r="H83" s="110">
        <f t="shared" si="4"/>
        <v>8778920</v>
      </c>
      <c r="I83" s="369"/>
      <c r="J83" s="214">
        <f>'HDD &amp; CDD'!R11</f>
        <v>18.5</v>
      </c>
      <c r="K83" s="214">
        <f>'HDD &amp; CDD'!R29</f>
        <v>59.1</v>
      </c>
      <c r="L83" s="485">
        <f t="shared" si="5"/>
        <v>30</v>
      </c>
      <c r="M83" s="214">
        <v>0</v>
      </c>
      <c r="N83" s="485">
        <f>[22]Sheet1!C81</f>
        <v>0</v>
      </c>
      <c r="O83" s="1095"/>
      <c r="P83" s="1082"/>
      <c r="Q83" s="1091"/>
      <c r="R83" s="1094">
        <f>'CDM Activity'!C131</f>
        <v>185650.16135222508</v>
      </c>
      <c r="S83" s="105"/>
      <c r="T83" s="105"/>
      <c r="U83" s="105"/>
      <c r="V83" s="1092"/>
      <c r="W83" s="1093">
        <f>[30]GDP!D106</f>
        <v>107.99750448366868</v>
      </c>
      <c r="X83" s="1097">
        <f>'[30]Customer Count'!L102</f>
        <v>5828.5</v>
      </c>
      <c r="Y83" s="1098"/>
      <c r="Z83" s="375"/>
      <c r="AA83" s="16" t="s">
        <v>17</v>
      </c>
      <c r="AB83" s="1101">
        <v>0.95754728276494228</v>
      </c>
      <c r="AC83"/>
      <c r="AD83"/>
      <c r="AE83"/>
      <c r="AF83"/>
      <c r="AG83"/>
      <c r="AH83"/>
      <c r="AI83"/>
      <c r="AJ83" s="107"/>
      <c r="AK83" s="88"/>
      <c r="AL83" s="88"/>
      <c r="AM83" s="88"/>
      <c r="AN83" s="88"/>
      <c r="AO83" s="88"/>
      <c r="AP83" s="88"/>
      <c r="AQ83" s="88"/>
      <c r="AR83" s="88"/>
      <c r="AS83" s="88"/>
    </row>
    <row r="84" spans="2:45">
      <c r="B84" s="100">
        <f t="shared" si="6"/>
        <v>40755</v>
      </c>
      <c r="C84" s="108">
        <f>[21]Sheet1!C30</f>
        <v>9998192</v>
      </c>
      <c r="D84" s="111"/>
      <c r="E84" s="108">
        <f>[21]Sheet1!D30</f>
        <v>3389</v>
      </c>
      <c r="F84" s="123"/>
      <c r="G84" s="112"/>
      <c r="H84" s="110">
        <f t="shared" si="4"/>
        <v>10001581</v>
      </c>
      <c r="I84" s="369"/>
      <c r="J84" s="214">
        <f>'HDD &amp; CDD'!R12</f>
        <v>0</v>
      </c>
      <c r="K84" s="214">
        <f>'HDD &amp; CDD'!R30</f>
        <v>137.5</v>
      </c>
      <c r="L84" s="485">
        <f t="shared" si="5"/>
        <v>31</v>
      </c>
      <c r="M84" s="214">
        <v>0</v>
      </c>
      <c r="N84" s="485">
        <f>[22]Sheet1!C82</f>
        <v>1</v>
      </c>
      <c r="O84" s="1095"/>
      <c r="P84" s="1082"/>
      <c r="Q84" s="1091"/>
      <c r="R84" s="1094">
        <f>'CDM Activity'!C132</f>
        <v>190114.87404279941</v>
      </c>
      <c r="S84" s="105"/>
      <c r="T84" s="105"/>
      <c r="U84" s="105"/>
      <c r="V84" s="1092"/>
      <c r="W84" s="1093">
        <f>[30]GDP!D107</f>
        <v>108.22875609954298</v>
      </c>
      <c r="X84" s="1097">
        <f>'[30]Customer Count'!L103</f>
        <v>5830.25</v>
      </c>
      <c r="Y84" s="1098"/>
      <c r="Z84" s="375"/>
      <c r="AA84" s="16" t="s">
        <v>18</v>
      </c>
      <c r="AB84" s="16">
        <v>0.95529315618608956</v>
      </c>
      <c r="AC84"/>
      <c r="AD84"/>
      <c r="AE84"/>
      <c r="AF84"/>
      <c r="AG84"/>
      <c r="AH84"/>
      <c r="AI84"/>
      <c r="AJ84" s="107"/>
      <c r="AK84" s="88"/>
      <c r="AL84" s="88"/>
      <c r="AM84" s="88"/>
      <c r="AN84" s="88"/>
      <c r="AO84" s="88"/>
      <c r="AP84" s="88"/>
      <c r="AQ84" s="88"/>
      <c r="AR84" s="88"/>
      <c r="AS84" s="88"/>
    </row>
    <row r="85" spans="2:45">
      <c r="B85" s="100">
        <f t="shared" si="6"/>
        <v>40786</v>
      </c>
      <c r="C85" s="108">
        <f>[21]Sheet1!C31</f>
        <v>9450654</v>
      </c>
      <c r="D85" s="111"/>
      <c r="E85" s="108">
        <f>[21]Sheet1!D31</f>
        <v>3782</v>
      </c>
      <c r="F85" s="123"/>
      <c r="G85" s="112"/>
      <c r="H85" s="110">
        <f t="shared" si="4"/>
        <v>9454436</v>
      </c>
      <c r="I85" s="369"/>
      <c r="J85" s="214">
        <f>'HDD &amp; CDD'!R13</f>
        <v>2.3000000000000003</v>
      </c>
      <c r="K85" s="214">
        <f>'HDD &amp; CDD'!R31</f>
        <v>82.300000000000011</v>
      </c>
      <c r="L85" s="485">
        <f t="shared" si="5"/>
        <v>31</v>
      </c>
      <c r="M85" s="214">
        <v>0</v>
      </c>
      <c r="N85" s="485">
        <f>[22]Sheet1!C83</f>
        <v>1</v>
      </c>
      <c r="O85" s="1095"/>
      <c r="P85" s="1082"/>
      <c r="Q85" s="1091"/>
      <c r="R85" s="1094">
        <f>'CDM Activity'!C133</f>
        <v>194579.58673337373</v>
      </c>
      <c r="S85" s="105"/>
      <c r="T85" s="105"/>
      <c r="U85" s="105"/>
      <c r="V85" s="1092"/>
      <c r="W85" s="1093">
        <f>[30]GDP!D108</f>
        <v>108.46050288713538</v>
      </c>
      <c r="X85" s="1097">
        <f>'[30]Customer Count'!L104</f>
        <v>5832</v>
      </c>
      <c r="Y85" s="1098"/>
      <c r="Z85" s="375"/>
      <c r="AA85" s="16" t="s">
        <v>19</v>
      </c>
      <c r="AB85" s="16">
        <v>269099.6807503883</v>
      </c>
      <c r="AC85"/>
      <c r="AD85"/>
      <c r="AE85"/>
      <c r="AF85"/>
      <c r="AG85"/>
      <c r="AH85"/>
      <c r="AI85"/>
      <c r="AJ85" s="107"/>
      <c r="AK85" s="88"/>
      <c r="AL85" s="88"/>
      <c r="AM85" s="88"/>
      <c r="AN85" s="88"/>
      <c r="AO85" s="88"/>
      <c r="AP85" s="88"/>
      <c r="AQ85" s="88"/>
      <c r="AR85" s="88"/>
      <c r="AS85" s="88"/>
    </row>
    <row r="86" spans="2:45" ht="13.5" thickBot="1">
      <c r="B86" s="100">
        <f t="shared" si="6"/>
        <v>40816</v>
      </c>
      <c r="C86" s="108">
        <f>[21]Sheet1!C32</f>
        <v>8631923</v>
      </c>
      <c r="D86" s="111"/>
      <c r="E86" s="108">
        <f>[21]Sheet1!D32</f>
        <v>3038</v>
      </c>
      <c r="F86" s="123"/>
      <c r="G86" s="112"/>
      <c r="H86" s="110">
        <f t="shared" si="4"/>
        <v>8634961</v>
      </c>
      <c r="I86" s="369"/>
      <c r="J86" s="214">
        <f>'HDD &amp; CDD'!R14</f>
        <v>55.4</v>
      </c>
      <c r="K86" s="214">
        <f>'HDD &amp; CDD'!R32</f>
        <v>32.9</v>
      </c>
      <c r="L86" s="485">
        <f t="shared" si="5"/>
        <v>30</v>
      </c>
      <c r="M86" s="214">
        <v>1</v>
      </c>
      <c r="N86" s="485">
        <f>[22]Sheet1!C84</f>
        <v>1</v>
      </c>
      <c r="O86" s="1095"/>
      <c r="P86" s="1082"/>
      <c r="Q86" s="1091"/>
      <c r="R86" s="1094">
        <f>'CDM Activity'!C134</f>
        <v>199044.29942394805</v>
      </c>
      <c r="S86" s="105"/>
      <c r="T86" s="105"/>
      <c r="U86" s="105"/>
      <c r="V86" s="1092"/>
      <c r="W86" s="1093">
        <f>[30]GDP!D109</f>
        <v>108.69274590674128</v>
      </c>
      <c r="X86" s="1097">
        <f>'[30]Customer Count'!L105</f>
        <v>5833.75</v>
      </c>
      <c r="Y86" s="1098"/>
      <c r="Z86" s="375"/>
      <c r="AA86" s="17" t="s">
        <v>20</v>
      </c>
      <c r="AB86" s="17">
        <v>120</v>
      </c>
      <c r="AC86"/>
      <c r="AD86"/>
      <c r="AE86"/>
      <c r="AF86"/>
      <c r="AG86"/>
      <c r="AH86"/>
      <c r="AI86"/>
      <c r="AJ86" s="107"/>
      <c r="AK86" s="88"/>
      <c r="AL86" s="88"/>
      <c r="AM86" s="88"/>
      <c r="AN86" s="88"/>
      <c r="AO86" s="88"/>
      <c r="AP86" s="88"/>
      <c r="AQ86" s="88"/>
      <c r="AR86" s="88"/>
      <c r="AS86" s="88"/>
    </row>
    <row r="87" spans="2:45">
      <c r="B87" s="100">
        <f t="shared" si="6"/>
        <v>40847</v>
      </c>
      <c r="C87" s="108">
        <f>[21]Sheet1!C33</f>
        <v>8921515</v>
      </c>
      <c r="D87" s="111"/>
      <c r="E87" s="108">
        <f>[21]Sheet1!D33</f>
        <v>5616</v>
      </c>
      <c r="F87" s="123"/>
      <c r="G87" s="112"/>
      <c r="H87" s="110">
        <f t="shared" si="4"/>
        <v>8927131</v>
      </c>
      <c r="I87" s="369"/>
      <c r="J87" s="214">
        <f>'HDD &amp; CDD'!R15</f>
        <v>259.10000000000002</v>
      </c>
      <c r="K87" s="214">
        <f>'HDD &amp; CDD'!R33</f>
        <v>1.4</v>
      </c>
      <c r="L87" s="485">
        <f t="shared" si="5"/>
        <v>31</v>
      </c>
      <c r="M87" s="214">
        <v>1</v>
      </c>
      <c r="N87" s="485">
        <f>[22]Sheet1!C85</f>
        <v>1</v>
      </c>
      <c r="O87" s="1095"/>
      <c r="P87" s="1082"/>
      <c r="Q87" s="1091"/>
      <c r="R87" s="1094">
        <f>'CDM Activity'!C135</f>
        <v>203509.01211452237</v>
      </c>
      <c r="S87" s="105"/>
      <c r="T87" s="105"/>
      <c r="U87" s="105"/>
      <c r="V87" s="1092"/>
      <c r="W87" s="1093">
        <f>[30]GDP!D110</f>
        <v>108.9254862209265</v>
      </c>
      <c r="X87" s="1097">
        <f>'[30]Customer Count'!L106</f>
        <v>5835.5</v>
      </c>
      <c r="Y87" s="1098"/>
      <c r="Z87" s="375"/>
      <c r="AA87"/>
      <c r="AB87"/>
      <c r="AC87"/>
      <c r="AD87"/>
      <c r="AE87"/>
      <c r="AF87"/>
      <c r="AG87"/>
      <c r="AH87"/>
      <c r="AI87"/>
      <c r="AJ87" s="107"/>
      <c r="AK87" s="88"/>
      <c r="AL87" s="88"/>
      <c r="AM87" s="88"/>
      <c r="AN87" s="88"/>
      <c r="AO87" s="88"/>
      <c r="AP87" s="88"/>
      <c r="AQ87" s="88"/>
      <c r="AR87" s="88"/>
      <c r="AS87" s="88"/>
    </row>
    <row r="88" spans="2:45" ht="13.5" thickBot="1">
      <c r="B88" s="100">
        <f t="shared" si="6"/>
        <v>40877</v>
      </c>
      <c r="C88" s="108">
        <f>[21]Sheet1!C34</f>
        <v>9478715</v>
      </c>
      <c r="D88" s="111"/>
      <c r="E88" s="108">
        <f>[21]Sheet1!D34</f>
        <v>3860</v>
      </c>
      <c r="F88" s="123"/>
      <c r="G88" s="112"/>
      <c r="H88" s="110">
        <f t="shared" si="4"/>
        <v>9482575</v>
      </c>
      <c r="I88" s="369"/>
      <c r="J88" s="214">
        <f>'HDD &amp; CDD'!R16</f>
        <v>392.9</v>
      </c>
      <c r="K88" s="214">
        <f>'HDD &amp; CDD'!R34</f>
        <v>0</v>
      </c>
      <c r="L88" s="485">
        <f t="shared" si="5"/>
        <v>30</v>
      </c>
      <c r="M88" s="214">
        <v>1</v>
      </c>
      <c r="N88" s="485">
        <f>[22]Sheet1!C86</f>
        <v>0</v>
      </c>
      <c r="O88" s="1095"/>
      <c r="P88" s="1082"/>
      <c r="Q88" s="1091"/>
      <c r="R88" s="1094">
        <f>'CDM Activity'!C136</f>
        <v>207973.72480509669</v>
      </c>
      <c r="S88" s="105"/>
      <c r="T88" s="105"/>
      <c r="U88" s="105"/>
      <c r="V88" s="1092"/>
      <c r="W88" s="1093">
        <f>[30]GDP!D111</f>
        <v>109.15872489453209</v>
      </c>
      <c r="X88" s="1097">
        <f>'[30]Customer Count'!L107</f>
        <v>5837.25</v>
      </c>
      <c r="Y88" s="1098"/>
      <c r="Z88" s="375"/>
      <c r="AA88" t="s">
        <v>21</v>
      </c>
      <c r="AB88"/>
      <c r="AC88"/>
      <c r="AD88"/>
      <c r="AE88"/>
      <c r="AF88"/>
      <c r="AG88"/>
      <c r="AH88"/>
      <c r="AI88"/>
      <c r="AJ88" s="107"/>
      <c r="AK88" s="88"/>
      <c r="AL88" s="88"/>
      <c r="AM88" s="88"/>
      <c r="AN88" s="88"/>
      <c r="AO88" s="88"/>
      <c r="AP88" s="88"/>
      <c r="AQ88" s="88"/>
      <c r="AR88" s="88"/>
      <c r="AS88" s="88"/>
    </row>
    <row r="89" spans="2:45">
      <c r="B89" s="217">
        <f t="shared" si="6"/>
        <v>40908</v>
      </c>
      <c r="C89" s="124">
        <f>[21]Sheet1!C35</f>
        <v>10916892</v>
      </c>
      <c r="D89" s="125"/>
      <c r="E89" s="124">
        <f>[21]Sheet1!D35</f>
        <v>2771</v>
      </c>
      <c r="F89" s="125"/>
      <c r="G89" s="126"/>
      <c r="H89" s="117">
        <f t="shared" si="4"/>
        <v>10919663</v>
      </c>
      <c r="I89" s="370"/>
      <c r="J89" s="165">
        <f>'HDD &amp; CDD'!R17</f>
        <v>672.19999999999993</v>
      </c>
      <c r="K89" s="165">
        <f>'HDD &amp; CDD'!R35</f>
        <v>0</v>
      </c>
      <c r="L89" s="486">
        <f t="shared" si="5"/>
        <v>31</v>
      </c>
      <c r="M89" s="165">
        <v>0</v>
      </c>
      <c r="N89" s="486">
        <f>[22]Sheet1!C87</f>
        <v>2</v>
      </c>
      <c r="O89" s="1095"/>
      <c r="P89" s="1082"/>
      <c r="Q89" s="1091"/>
      <c r="R89" s="1094">
        <f>'CDM Activity'!C137</f>
        <v>212438.43749567101</v>
      </c>
      <c r="S89" s="105"/>
      <c r="T89" s="105"/>
      <c r="U89" s="105"/>
      <c r="V89" s="1092"/>
      <c r="W89" s="1093">
        <f>[30]GDP!D112</f>
        <v>109.39246299467918</v>
      </c>
      <c r="X89" s="1097">
        <f>'[30]Customer Count'!L108</f>
        <v>5839</v>
      </c>
      <c r="Y89" s="1098"/>
      <c r="Z89" s="375"/>
      <c r="AA89" s="18"/>
      <c r="AB89" s="18" t="s">
        <v>25</v>
      </c>
      <c r="AC89" s="18" t="s">
        <v>26</v>
      </c>
      <c r="AD89" s="18" t="s">
        <v>27</v>
      </c>
      <c r="AE89" s="18" t="s">
        <v>28</v>
      </c>
      <c r="AF89" s="18" t="s">
        <v>29</v>
      </c>
      <c r="AG89"/>
      <c r="AH89"/>
      <c r="AI89"/>
      <c r="AJ89" s="107"/>
      <c r="AK89" s="88"/>
      <c r="AL89" s="88"/>
      <c r="AM89" s="88"/>
      <c r="AN89" s="88"/>
      <c r="AO89" s="88"/>
      <c r="AP89" s="88"/>
      <c r="AQ89" s="88"/>
      <c r="AR89" s="88"/>
      <c r="AS89" s="88"/>
    </row>
    <row r="90" spans="2:45">
      <c r="B90" s="100">
        <f t="shared" si="6"/>
        <v>40939</v>
      </c>
      <c r="C90" s="108">
        <f>[21]Sheet1!C36</f>
        <v>11698538</v>
      </c>
      <c r="D90" s="111"/>
      <c r="E90" s="108">
        <f>[21]Sheet1!D36</f>
        <v>1792</v>
      </c>
      <c r="F90" s="123"/>
      <c r="G90" s="112"/>
      <c r="H90" s="110">
        <f t="shared" si="4"/>
        <v>11700330</v>
      </c>
      <c r="I90" s="369"/>
      <c r="J90" s="214">
        <f>'HDD &amp; CDD'!S6</f>
        <v>831.00000000000023</v>
      </c>
      <c r="K90" s="214">
        <f>'HDD &amp; CDD'!S24</f>
        <v>0</v>
      </c>
      <c r="L90" s="485">
        <f t="shared" si="5"/>
        <v>31</v>
      </c>
      <c r="M90" s="214">
        <v>0</v>
      </c>
      <c r="N90" s="485">
        <f>[22]Sheet1!C88</f>
        <v>1</v>
      </c>
      <c r="O90" s="1095"/>
      <c r="P90" s="1082"/>
      <c r="Q90" s="1091"/>
      <c r="R90" s="1094">
        <f>'CDM Activity'!C138</f>
        <v>217943.86721066199</v>
      </c>
      <c r="S90" s="105"/>
      <c r="T90" s="105"/>
      <c r="U90" s="105"/>
      <c r="V90" s="1092"/>
      <c r="W90" s="1093">
        <f>[30]GDP!D113</f>
        <v>109.54624110961838</v>
      </c>
      <c r="X90" s="1097">
        <f>'[30]Customer Count'!L109</f>
        <v>5840.916666666667</v>
      </c>
      <c r="Y90" s="1098"/>
      <c r="Z90" s="375"/>
      <c r="AA90" s="16" t="s">
        <v>22</v>
      </c>
      <c r="AB90" s="16">
        <v>6</v>
      </c>
      <c r="AC90" s="16">
        <v>184569333431816.06</v>
      </c>
      <c r="AD90" s="16">
        <v>30761555571969.344</v>
      </c>
      <c r="AE90" s="16">
        <v>424.79747665827466</v>
      </c>
      <c r="AF90" s="16">
        <v>4.6285422662222501E-75</v>
      </c>
      <c r="AG90"/>
      <c r="AH90"/>
      <c r="AI90"/>
      <c r="AJ90" s="107"/>
      <c r="AK90" s="88"/>
      <c r="AL90" s="88"/>
      <c r="AM90" s="88"/>
      <c r="AN90" s="88"/>
      <c r="AO90" s="88"/>
      <c r="AP90" s="88"/>
      <c r="AQ90" s="88"/>
      <c r="AR90" s="88"/>
      <c r="AS90" s="88"/>
    </row>
    <row r="91" spans="2:45">
      <c r="B91" s="100">
        <f t="shared" si="6"/>
        <v>40968</v>
      </c>
      <c r="C91" s="108">
        <f>[21]Sheet1!C37</f>
        <v>10394346</v>
      </c>
      <c r="D91" s="111"/>
      <c r="E91" s="108">
        <f>[21]Sheet1!D37</f>
        <v>1495</v>
      </c>
      <c r="F91" s="123"/>
      <c r="G91" s="112"/>
      <c r="H91" s="110">
        <f t="shared" si="4"/>
        <v>10395841</v>
      </c>
      <c r="I91" s="369"/>
      <c r="J91" s="214">
        <f>'HDD &amp; CDD'!S7</f>
        <v>671.39999999999986</v>
      </c>
      <c r="K91" s="214">
        <f>'HDD &amp; CDD'!S25</f>
        <v>0</v>
      </c>
      <c r="L91" s="485">
        <f t="shared" si="5"/>
        <v>29</v>
      </c>
      <c r="M91" s="214">
        <v>0</v>
      </c>
      <c r="N91" s="485">
        <f>[22]Sheet1!C89</f>
        <v>1</v>
      </c>
      <c r="O91" s="1095"/>
      <c r="P91" s="1082"/>
      <c r="Q91" s="1091"/>
      <c r="R91" s="1094">
        <f>'CDM Activity'!C139</f>
        <v>223449.29692565298</v>
      </c>
      <c r="S91" s="105"/>
      <c r="T91" s="105"/>
      <c r="U91" s="105"/>
      <c r="V91" s="1092"/>
      <c r="W91" s="1093">
        <f>[30]GDP!D114</f>
        <v>109.70023539766483</v>
      </c>
      <c r="X91" s="1097">
        <f>'[30]Customer Count'!L110</f>
        <v>5842.8333333333339</v>
      </c>
      <c r="Y91" s="1098"/>
      <c r="Z91" s="375"/>
      <c r="AA91" s="16" t="s">
        <v>23</v>
      </c>
      <c r="AB91" s="16">
        <v>113</v>
      </c>
      <c r="AC91" s="16">
        <v>8182854114335.5811</v>
      </c>
      <c r="AD91" s="16">
        <v>72414638179.960892</v>
      </c>
      <c r="AE91" s="16"/>
      <c r="AF91" s="16"/>
      <c r="AG91"/>
      <c r="AH91"/>
      <c r="AI91"/>
      <c r="AJ91" s="107"/>
      <c r="AK91" s="88"/>
      <c r="AL91" s="88"/>
      <c r="AM91" s="88"/>
      <c r="AN91" s="88"/>
      <c r="AO91" s="88"/>
      <c r="AP91" s="88"/>
      <c r="AQ91" s="88"/>
      <c r="AR91" s="88"/>
      <c r="AS91" s="88"/>
    </row>
    <row r="92" spans="2:45" ht="13.5" thickBot="1">
      <c r="B92" s="100">
        <f t="shared" si="6"/>
        <v>40999</v>
      </c>
      <c r="C92" s="108">
        <f>[21]Sheet1!C38</f>
        <v>9868346</v>
      </c>
      <c r="D92" s="111"/>
      <c r="E92" s="108">
        <f>[21]Sheet1!D38</f>
        <v>3678</v>
      </c>
      <c r="F92" s="123"/>
      <c r="G92" s="112"/>
      <c r="H92" s="110">
        <f t="shared" si="4"/>
        <v>9872024</v>
      </c>
      <c r="I92" s="369"/>
      <c r="J92" s="214">
        <f>'HDD &amp; CDD'!S8</f>
        <v>460.29999999999984</v>
      </c>
      <c r="K92" s="214">
        <f>'HDD &amp; CDD'!S26</f>
        <v>0</v>
      </c>
      <c r="L92" s="485">
        <f t="shared" si="5"/>
        <v>31</v>
      </c>
      <c r="M92" s="214">
        <v>1</v>
      </c>
      <c r="N92" s="485">
        <f>[22]Sheet1!C90</f>
        <v>0</v>
      </c>
      <c r="O92" s="1095"/>
      <c r="P92" s="1082"/>
      <c r="Q92" s="1091"/>
      <c r="R92" s="1094">
        <f>'CDM Activity'!C140</f>
        <v>228954.72664064396</v>
      </c>
      <c r="S92" s="105"/>
      <c r="T92" s="105"/>
      <c r="U92" s="105"/>
      <c r="V92" s="1092"/>
      <c r="W92" s="1093">
        <f>[30]GDP!D115</f>
        <v>109.85444616270318</v>
      </c>
      <c r="X92" s="1097">
        <f>'[30]Customer Count'!L111</f>
        <v>5844.7500000000009</v>
      </c>
      <c r="Y92" s="1098"/>
      <c r="Z92" s="375"/>
      <c r="AA92" s="17" t="s">
        <v>5</v>
      </c>
      <c r="AB92" s="17">
        <v>119</v>
      </c>
      <c r="AC92" s="17">
        <v>192752187546151.66</v>
      </c>
      <c r="AD92" s="17"/>
      <c r="AE92" s="17"/>
      <c r="AF92" s="17"/>
      <c r="AG92"/>
      <c r="AH92"/>
      <c r="AI92"/>
      <c r="AJ92" s="107"/>
      <c r="AK92" s="88"/>
      <c r="AL92" s="88"/>
      <c r="AM92" s="88"/>
      <c r="AN92" s="88"/>
      <c r="AO92" s="88"/>
      <c r="AP92" s="88"/>
      <c r="AQ92" s="88"/>
      <c r="AR92" s="88"/>
      <c r="AS92" s="88"/>
    </row>
    <row r="93" spans="2:45" ht="13.5" thickBot="1">
      <c r="B93" s="100">
        <f t="shared" si="6"/>
        <v>41029</v>
      </c>
      <c r="C93" s="108">
        <f>[21]Sheet1!C39</f>
        <v>8701738</v>
      </c>
      <c r="D93" s="111"/>
      <c r="E93" s="108">
        <f>[21]Sheet1!D39</f>
        <v>5711</v>
      </c>
      <c r="F93" s="123"/>
      <c r="G93" s="112"/>
      <c r="H93" s="110">
        <f t="shared" si="4"/>
        <v>8707449</v>
      </c>
      <c r="I93" s="369"/>
      <c r="J93" s="214">
        <f>'HDD &amp; CDD'!S9</f>
        <v>363.30000000000007</v>
      </c>
      <c r="K93" s="214">
        <f>'HDD &amp; CDD'!S27</f>
        <v>3.2</v>
      </c>
      <c r="L93" s="485">
        <f t="shared" si="5"/>
        <v>30</v>
      </c>
      <c r="M93" s="214">
        <v>1</v>
      </c>
      <c r="N93" s="485">
        <f>[22]Sheet1!C91</f>
        <v>2</v>
      </c>
      <c r="O93" s="1095"/>
      <c r="P93" s="1082"/>
      <c r="Q93" s="1091"/>
      <c r="R93" s="1094">
        <f>'CDM Activity'!C141</f>
        <v>234460.15635563494</v>
      </c>
      <c r="S93" s="105"/>
      <c r="T93" s="105"/>
      <c r="U93" s="105"/>
      <c r="V93" s="1092"/>
      <c r="W93" s="1093">
        <f>[30]GDP!D116</f>
        <v>110.00887370904532</v>
      </c>
      <c r="X93" s="1097">
        <f>'[30]Customer Count'!L112</f>
        <v>5846.6666666666679</v>
      </c>
      <c r="Y93" s="1098"/>
      <c r="Z93" s="375"/>
      <c r="AA93"/>
      <c r="AB93"/>
      <c r="AC93"/>
      <c r="AD93"/>
      <c r="AE93"/>
      <c r="AF93"/>
      <c r="AG93"/>
      <c r="AH93"/>
      <c r="AI93"/>
      <c r="AJ93" s="107"/>
      <c r="AK93" s="88"/>
      <c r="AL93" s="88"/>
      <c r="AM93" s="88"/>
      <c r="AN93" s="88"/>
      <c r="AO93" s="88"/>
      <c r="AP93" s="88"/>
      <c r="AQ93" s="88"/>
      <c r="AR93" s="88"/>
      <c r="AS93" s="88"/>
    </row>
    <row r="94" spans="2:45">
      <c r="B94" s="100">
        <f t="shared" si="6"/>
        <v>41060</v>
      </c>
      <c r="C94" s="108">
        <f>[21]Sheet1!C40</f>
        <v>8473818</v>
      </c>
      <c r="D94" s="111"/>
      <c r="E94" s="108">
        <f>[21]Sheet1!D40</f>
        <v>6666</v>
      </c>
      <c r="F94" s="123"/>
      <c r="G94" s="112"/>
      <c r="H94" s="110">
        <f t="shared" si="4"/>
        <v>8480484</v>
      </c>
      <c r="I94" s="369"/>
      <c r="J94" s="214">
        <f>'HDD &amp; CDD'!S10</f>
        <v>102.4</v>
      </c>
      <c r="K94" s="214">
        <f>'HDD &amp; CDD'!S28</f>
        <v>21</v>
      </c>
      <c r="L94" s="485">
        <f t="shared" si="5"/>
        <v>31</v>
      </c>
      <c r="M94" s="214">
        <v>1</v>
      </c>
      <c r="N94" s="485">
        <f>[22]Sheet1!C92</f>
        <v>1</v>
      </c>
      <c r="O94" s="1095"/>
      <c r="P94" s="1082"/>
      <c r="Q94" s="1091"/>
      <c r="R94" s="1094">
        <f>'CDM Activity'!C142</f>
        <v>239965.58607062593</v>
      </c>
      <c r="S94" s="105"/>
      <c r="T94" s="105"/>
      <c r="U94" s="105"/>
      <c r="V94" s="1092"/>
      <c r="W94" s="1093">
        <f>[30]GDP!D117</f>
        <v>110.16351834143087</v>
      </c>
      <c r="X94" s="1097">
        <f>'[30]Customer Count'!L113</f>
        <v>5848.5833333333348</v>
      </c>
      <c r="Y94" s="1098"/>
      <c r="Z94" s="375"/>
      <c r="AA94" s="18"/>
      <c r="AB94" s="18" t="s">
        <v>30</v>
      </c>
      <c r="AC94" s="18" t="s">
        <v>19</v>
      </c>
      <c r="AD94" s="18" t="s">
        <v>31</v>
      </c>
      <c r="AE94" s="18" t="s">
        <v>32</v>
      </c>
      <c r="AF94" s="18" t="s">
        <v>33</v>
      </c>
      <c r="AG94" s="18" t="s">
        <v>34</v>
      </c>
      <c r="AH94" s="18" t="s">
        <v>125</v>
      </c>
      <c r="AI94" s="18" t="s">
        <v>126</v>
      </c>
      <c r="AJ94" s="107"/>
      <c r="AK94" s="88"/>
      <c r="AL94" s="88"/>
      <c r="AM94" s="88"/>
      <c r="AN94" s="88"/>
      <c r="AO94" s="88"/>
      <c r="AP94" s="88"/>
      <c r="AQ94" s="88"/>
      <c r="AR94" s="88"/>
      <c r="AS94" s="88"/>
    </row>
    <row r="95" spans="2:45">
      <c r="B95" s="100">
        <f t="shared" si="6"/>
        <v>41090</v>
      </c>
      <c r="C95" s="108">
        <f>[21]Sheet1!C41</f>
        <v>9028518</v>
      </c>
      <c r="D95" s="111"/>
      <c r="E95" s="108">
        <f>[21]Sheet1!D41</f>
        <v>8514</v>
      </c>
      <c r="F95" s="123"/>
      <c r="G95" s="112"/>
      <c r="H95" s="110">
        <f t="shared" si="4"/>
        <v>9037032</v>
      </c>
      <c r="I95" s="369"/>
      <c r="J95" s="214">
        <f>'HDD &amp; CDD'!S11</f>
        <v>31.4</v>
      </c>
      <c r="K95" s="214">
        <f>'HDD &amp; CDD'!S29</f>
        <v>70.399999999999991</v>
      </c>
      <c r="L95" s="485">
        <f t="shared" si="5"/>
        <v>30</v>
      </c>
      <c r="M95" s="214">
        <v>0</v>
      </c>
      <c r="N95" s="485">
        <f>[22]Sheet1!C93</f>
        <v>0</v>
      </c>
      <c r="O95" s="1095"/>
      <c r="P95" s="1082"/>
      <c r="Q95" s="1091"/>
      <c r="R95" s="1094">
        <f>'CDM Activity'!C143</f>
        <v>245471.01578561691</v>
      </c>
      <c r="S95" s="105"/>
      <c r="T95" s="105"/>
      <c r="U95" s="105"/>
      <c r="V95" s="1092"/>
      <c r="W95" s="1093">
        <f>[30]GDP!D118</f>
        <v>110.31838036502788</v>
      </c>
      <c r="X95" s="1097">
        <f>'[30]Customer Count'!L114</f>
        <v>5850.5000000000018</v>
      </c>
      <c r="Y95" s="1098"/>
      <c r="Z95" s="375"/>
      <c r="AA95" s="16" t="s">
        <v>24</v>
      </c>
      <c r="AB95" s="16">
        <v>1162013.3813349148</v>
      </c>
      <c r="AC95" s="16">
        <v>979598.31476778141</v>
      </c>
      <c r="AD95" s="16">
        <v>1.1862141490212503</v>
      </c>
      <c r="AE95" s="16">
        <v>0.23802588151013568</v>
      </c>
      <c r="AF95" s="16">
        <v>-778747.55999871576</v>
      </c>
      <c r="AG95" s="16">
        <v>3102774.3226685454</v>
      </c>
      <c r="AH95" s="16">
        <v>-778747.55999871576</v>
      </c>
      <c r="AI95" s="16">
        <v>3102774.3226685454</v>
      </c>
      <c r="AJ95" s="107"/>
      <c r="AK95" s="88"/>
      <c r="AL95" s="88"/>
      <c r="AM95" s="88"/>
      <c r="AN95" s="88"/>
      <c r="AO95" s="88"/>
      <c r="AP95" s="88"/>
      <c r="AQ95" s="88"/>
      <c r="AR95" s="88"/>
      <c r="AS95" s="88"/>
    </row>
    <row r="96" spans="2:45">
      <c r="B96" s="100">
        <f t="shared" si="6"/>
        <v>41121</v>
      </c>
      <c r="C96" s="108">
        <f>[21]Sheet1!C42</f>
        <v>9776500</v>
      </c>
      <c r="D96" s="111"/>
      <c r="E96" s="108">
        <f>[21]Sheet1!D42</f>
        <v>8372</v>
      </c>
      <c r="F96" s="123"/>
      <c r="G96" s="112"/>
      <c r="H96" s="110">
        <f t="shared" si="4"/>
        <v>9784872</v>
      </c>
      <c r="I96" s="369"/>
      <c r="J96" s="214">
        <f>'HDD &amp; CDD'!S12</f>
        <v>0</v>
      </c>
      <c r="K96" s="214">
        <f>'HDD &amp; CDD'!S30</f>
        <v>142.20000000000005</v>
      </c>
      <c r="L96" s="485">
        <f t="shared" si="5"/>
        <v>31</v>
      </c>
      <c r="M96" s="214">
        <v>0</v>
      </c>
      <c r="N96" s="485">
        <f>[22]Sheet1!C94</f>
        <v>1</v>
      </c>
      <c r="O96" s="1095"/>
      <c r="P96" s="1082"/>
      <c r="Q96" s="1091"/>
      <c r="R96" s="1094">
        <f>'CDM Activity'!C144</f>
        <v>250976.44550060789</v>
      </c>
      <c r="S96" s="105"/>
      <c r="T96" s="105"/>
      <c r="U96" s="105"/>
      <c r="V96" s="1092"/>
      <c r="W96" s="1093">
        <f>[30]GDP!D119</f>
        <v>110.47346008543335</v>
      </c>
      <c r="X96" s="1097">
        <f>'[30]Customer Count'!L115</f>
        <v>5852.4166666666688</v>
      </c>
      <c r="Y96" s="1098"/>
      <c r="Z96" s="375"/>
      <c r="AA96" s="16" t="s">
        <v>131</v>
      </c>
      <c r="AB96" s="16">
        <v>4671.3215409385366</v>
      </c>
      <c r="AC96" s="16">
        <v>143.80204166680025</v>
      </c>
      <c r="AD96" s="16">
        <v>32.48438955938002</v>
      </c>
      <c r="AE96" s="16">
        <v>3.7983079163637794E-59</v>
      </c>
      <c r="AF96" s="16">
        <v>4386.4237603445426</v>
      </c>
      <c r="AG96" s="16">
        <v>4956.2193215325306</v>
      </c>
      <c r="AH96" s="16">
        <v>4386.4237603445426</v>
      </c>
      <c r="AI96" s="16">
        <v>4956.2193215325306</v>
      </c>
      <c r="AJ96" s="107"/>
      <c r="AK96" s="88"/>
      <c r="AL96" s="88"/>
      <c r="AM96" s="88"/>
      <c r="AN96" s="88"/>
      <c r="AO96" s="88"/>
      <c r="AP96" s="88"/>
      <c r="AQ96" s="88"/>
      <c r="AR96" s="88"/>
      <c r="AS96" s="88"/>
    </row>
    <row r="97" spans="2:45">
      <c r="B97" s="100">
        <f t="shared" si="6"/>
        <v>41152</v>
      </c>
      <c r="C97" s="108">
        <f>[21]Sheet1!C43</f>
        <v>9430200</v>
      </c>
      <c r="D97" s="111"/>
      <c r="E97" s="108">
        <f>[21]Sheet1!D43</f>
        <v>8141</v>
      </c>
      <c r="F97" s="123"/>
      <c r="G97" s="112"/>
      <c r="H97" s="110">
        <f t="shared" si="4"/>
        <v>9438341</v>
      </c>
      <c r="I97" s="369"/>
      <c r="J97" s="214">
        <f>'HDD &amp; CDD'!S13</f>
        <v>8.4</v>
      </c>
      <c r="K97" s="214">
        <f>'HDD &amp; CDD'!S31</f>
        <v>97.600000000000009</v>
      </c>
      <c r="L97" s="485">
        <f t="shared" si="5"/>
        <v>31</v>
      </c>
      <c r="M97" s="214">
        <v>0</v>
      </c>
      <c r="N97" s="485">
        <f>[22]Sheet1!C95</f>
        <v>1</v>
      </c>
      <c r="O97" s="1095"/>
      <c r="P97" s="1082"/>
      <c r="Q97" s="1091"/>
      <c r="R97" s="1094">
        <f>'CDM Activity'!C145</f>
        <v>256481.87521559888</v>
      </c>
      <c r="S97" s="105"/>
      <c r="T97" s="105"/>
      <c r="U97" s="105"/>
      <c r="V97" s="1092"/>
      <c r="W97" s="1093">
        <f>[30]GDP!D120</f>
        <v>110.6287578086739</v>
      </c>
      <c r="X97" s="1097">
        <f>'[30]Customer Count'!L116</f>
        <v>5854.3333333333358</v>
      </c>
      <c r="Y97" s="1098"/>
      <c r="Z97" s="375"/>
      <c r="AA97" s="16" t="s">
        <v>132</v>
      </c>
      <c r="AB97" s="16">
        <v>13903.498680415627</v>
      </c>
      <c r="AC97" s="16">
        <v>1325.5635481355721</v>
      </c>
      <c r="AD97" s="16">
        <v>10.488745484870293</v>
      </c>
      <c r="AE97" s="16">
        <v>2.1992553270107607E-18</v>
      </c>
      <c r="AF97" s="16">
        <v>11277.318213693419</v>
      </c>
      <c r="AG97" s="16">
        <v>16529.679147137835</v>
      </c>
      <c r="AH97" s="16">
        <v>11277.318213693419</v>
      </c>
      <c r="AI97" s="16">
        <v>16529.679147137835</v>
      </c>
      <c r="AJ97" s="107"/>
      <c r="AK97" s="88"/>
      <c r="AL97" s="88"/>
      <c r="AM97" s="88"/>
      <c r="AN97" s="88"/>
      <c r="AO97" s="88"/>
      <c r="AP97" s="88"/>
      <c r="AQ97" s="88"/>
      <c r="AR97" s="88"/>
      <c r="AS97" s="88"/>
    </row>
    <row r="98" spans="2:45">
      <c r="B98" s="100">
        <f t="shared" si="6"/>
        <v>41182</v>
      </c>
      <c r="C98" s="108">
        <f>[21]Sheet1!C44</f>
        <v>8456345</v>
      </c>
      <c r="D98" s="111"/>
      <c r="E98" s="108">
        <f>[21]Sheet1!D44</f>
        <v>7448</v>
      </c>
      <c r="F98" s="123"/>
      <c r="G98" s="112"/>
      <c r="H98" s="110">
        <f t="shared" si="4"/>
        <v>8463793</v>
      </c>
      <c r="I98" s="369"/>
      <c r="J98" s="214">
        <f>'HDD &amp; CDD'!S14</f>
        <v>127.30000000000001</v>
      </c>
      <c r="K98" s="214">
        <f>'HDD &amp; CDD'!S32</f>
        <v>20.6</v>
      </c>
      <c r="L98" s="485">
        <f t="shared" si="5"/>
        <v>30</v>
      </c>
      <c r="M98" s="214">
        <v>1</v>
      </c>
      <c r="N98" s="485">
        <f>[22]Sheet1!C96</f>
        <v>1</v>
      </c>
      <c r="O98" s="1095"/>
      <c r="P98" s="1082"/>
      <c r="Q98" s="1091"/>
      <c r="R98" s="1094">
        <f>'CDM Activity'!C146</f>
        <v>261987.30493058986</v>
      </c>
      <c r="S98" s="105"/>
      <c r="T98" s="105"/>
      <c r="U98" s="105"/>
      <c r="V98" s="1092"/>
      <c r="W98" s="1093">
        <f>[30]GDP!D121</f>
        <v>110.78427384120633</v>
      </c>
      <c r="X98" s="1097">
        <f>'[30]Customer Count'!L117</f>
        <v>5856.2500000000027</v>
      </c>
      <c r="Y98" s="1098"/>
      <c r="Z98" s="375"/>
      <c r="AA98" s="16" t="s">
        <v>3</v>
      </c>
      <c r="AB98" s="16">
        <v>249661.16178731096</v>
      </c>
      <c r="AC98" s="16">
        <v>33090.417474037495</v>
      </c>
      <c r="AD98" s="16">
        <v>7.5448175286151447</v>
      </c>
      <c r="AE98" s="16">
        <v>1.2422725640694884E-11</v>
      </c>
      <c r="AF98" s="16">
        <v>184103.07660291615</v>
      </c>
      <c r="AG98" s="16">
        <v>315219.24697170581</v>
      </c>
      <c r="AH98" s="16">
        <v>184103.07660291615</v>
      </c>
      <c r="AI98" s="16">
        <v>315219.24697170581</v>
      </c>
      <c r="AJ98" s="107"/>
      <c r="AK98" s="88"/>
      <c r="AL98" s="88"/>
      <c r="AM98" s="88"/>
      <c r="AN98" s="88"/>
      <c r="AO98" s="88"/>
      <c r="AP98" s="88"/>
      <c r="AQ98" s="88"/>
      <c r="AR98" s="88"/>
      <c r="AS98" s="88"/>
    </row>
    <row r="99" spans="2:45">
      <c r="B99" s="100">
        <f t="shared" si="6"/>
        <v>41213</v>
      </c>
      <c r="C99" s="108">
        <f>[21]Sheet1!C45</f>
        <v>8663345</v>
      </c>
      <c r="D99" s="111"/>
      <c r="E99" s="108">
        <f>[21]Sheet1!D45</f>
        <v>6062</v>
      </c>
      <c r="F99" s="123"/>
      <c r="G99" s="112"/>
      <c r="H99" s="110">
        <f t="shared" si="4"/>
        <v>8669407</v>
      </c>
      <c r="I99" s="369"/>
      <c r="J99" s="520">
        <f>'HDD &amp; CDD'!S15</f>
        <v>259.8595782569019</v>
      </c>
      <c r="K99" s="214">
        <f>'HDD &amp; CDD'!S33</f>
        <v>0</v>
      </c>
      <c r="L99" s="485">
        <f t="shared" si="5"/>
        <v>31</v>
      </c>
      <c r="M99" s="214">
        <v>1</v>
      </c>
      <c r="N99" s="485">
        <f>[22]Sheet1!C97</f>
        <v>1</v>
      </c>
      <c r="O99" s="1095"/>
      <c r="P99" s="1082"/>
      <c r="Q99" s="1091"/>
      <c r="R99" s="1094">
        <f>'CDM Activity'!C147</f>
        <v>267492.73464558081</v>
      </c>
      <c r="S99" s="105"/>
      <c r="T99" s="105"/>
      <c r="U99" s="105"/>
      <c r="V99" s="1092"/>
      <c r="W99" s="1093">
        <f>[30]GDP!D122</f>
        <v>110.94000848991826</v>
      </c>
      <c r="X99" s="1097">
        <f>'[30]Customer Count'!L118</f>
        <v>5858.1666666666697</v>
      </c>
      <c r="Y99" s="1098"/>
      <c r="Z99" s="375"/>
      <c r="AA99" s="16" t="s">
        <v>133</v>
      </c>
      <c r="AB99" s="16">
        <v>-369386.07676824171</v>
      </c>
      <c r="AC99" s="16">
        <v>74117.893033388638</v>
      </c>
      <c r="AD99" s="16">
        <v>-4.9837638612020534</v>
      </c>
      <c r="AE99" s="16">
        <v>2.266751000163702E-6</v>
      </c>
      <c r="AF99" s="16">
        <v>-516226.99072718807</v>
      </c>
      <c r="AG99" s="16">
        <v>-222545.16280929532</v>
      </c>
      <c r="AH99" s="16">
        <v>-516226.99072718807</v>
      </c>
      <c r="AI99" s="16">
        <v>-222545.16280929532</v>
      </c>
      <c r="AJ99" s="107"/>
      <c r="AK99" s="88"/>
      <c r="AL99" s="88"/>
      <c r="AM99" s="88"/>
      <c r="AN99" s="88"/>
      <c r="AO99" s="88"/>
      <c r="AP99" s="88"/>
      <c r="AQ99" s="88"/>
      <c r="AR99" s="88"/>
      <c r="AS99" s="88"/>
    </row>
    <row r="100" spans="2:45">
      <c r="B100" s="100">
        <f t="shared" si="6"/>
        <v>41243</v>
      </c>
      <c r="C100" s="108">
        <f>[21]Sheet1!C46</f>
        <v>9765918</v>
      </c>
      <c r="D100" s="111"/>
      <c r="E100" s="108">
        <f>[21]Sheet1!D46</f>
        <v>3812</v>
      </c>
      <c r="F100" s="123"/>
      <c r="G100" s="112"/>
      <c r="H100" s="110">
        <f t="shared" si="4"/>
        <v>9769730</v>
      </c>
      <c r="I100" s="369"/>
      <c r="J100" s="214">
        <f>'HDD &amp; CDD'!S16</f>
        <v>541.70000000000005</v>
      </c>
      <c r="K100" s="214">
        <f>'HDD &amp; CDD'!S34</f>
        <v>0</v>
      </c>
      <c r="L100" s="485">
        <f t="shared" si="5"/>
        <v>30</v>
      </c>
      <c r="M100" s="214">
        <v>1</v>
      </c>
      <c r="N100" s="485">
        <f>[22]Sheet1!C98</f>
        <v>0</v>
      </c>
      <c r="O100" s="1095"/>
      <c r="P100" s="1082"/>
      <c r="Q100" s="1091"/>
      <c r="R100" s="1094">
        <f>'CDM Activity'!C148</f>
        <v>272998.16436057177</v>
      </c>
      <c r="S100" s="105"/>
      <c r="T100" s="105"/>
      <c r="U100" s="105"/>
      <c r="V100" s="1092"/>
      <c r="W100" s="1093">
        <f>[30]GDP!D123</f>
        <v>111.09596206212871</v>
      </c>
      <c r="X100" s="1097">
        <f>'[30]Customer Count'!L119</f>
        <v>5860.0833333333367</v>
      </c>
      <c r="Y100" s="1098"/>
      <c r="Z100" s="375"/>
      <c r="AA100" s="16" t="s">
        <v>134</v>
      </c>
      <c r="AB100" s="16">
        <v>-113634.03402782226</v>
      </c>
      <c r="AC100" s="16">
        <v>41185.91117774431</v>
      </c>
      <c r="AD100" s="16">
        <v>-2.7590511118575627</v>
      </c>
      <c r="AE100" s="16">
        <v>6.7640802867055243E-3</v>
      </c>
      <c r="AF100" s="16">
        <v>-195230.75233776608</v>
      </c>
      <c r="AG100" s="16">
        <v>-32037.315717878431</v>
      </c>
      <c r="AH100" s="16">
        <v>-195230.75233776608</v>
      </c>
      <c r="AI100" s="16">
        <v>-32037.315717878431</v>
      </c>
      <c r="AJ100" s="107"/>
      <c r="AK100" s="88"/>
      <c r="AL100" s="88"/>
      <c r="AM100" s="88"/>
      <c r="AN100" s="88"/>
      <c r="AO100" s="88"/>
      <c r="AP100" s="88"/>
      <c r="AQ100" s="88"/>
      <c r="AR100" s="88"/>
      <c r="AS100" s="88"/>
    </row>
    <row r="101" spans="2:45" ht="13.5" thickBot="1">
      <c r="B101" s="217">
        <f t="shared" si="6"/>
        <v>41274</v>
      </c>
      <c r="C101" s="124">
        <f>[21]Sheet1!C47</f>
        <v>10958364</v>
      </c>
      <c r="D101" s="125"/>
      <c r="E101" s="117">
        <f>[21]Sheet1!D47</f>
        <v>3380</v>
      </c>
      <c r="F101" s="125"/>
      <c r="G101" s="126"/>
      <c r="H101" s="117">
        <f t="shared" si="4"/>
        <v>10961744</v>
      </c>
      <c r="I101" s="370"/>
      <c r="J101" s="165">
        <f>'HDD &amp; CDD'!S17</f>
        <v>719.1</v>
      </c>
      <c r="K101" s="165">
        <f>'HDD &amp; CDD'!S35</f>
        <v>0</v>
      </c>
      <c r="L101" s="486">
        <f t="shared" si="5"/>
        <v>31</v>
      </c>
      <c r="M101" s="165">
        <v>0</v>
      </c>
      <c r="N101" s="486">
        <f>[22]Sheet1!C99</f>
        <v>2</v>
      </c>
      <c r="O101" s="1095"/>
      <c r="P101" s="1082"/>
      <c r="Q101" s="1091"/>
      <c r="R101" s="1094">
        <f>'CDM Activity'!C149</f>
        <v>278503.59407556272</v>
      </c>
      <c r="S101" s="105"/>
      <c r="T101" s="105"/>
      <c r="U101" s="105"/>
      <c r="V101" s="1092"/>
      <c r="W101" s="1093">
        <f>[30]GDP!D124</f>
        <v>111.25213486558869</v>
      </c>
      <c r="X101" s="1097">
        <f>'[30]Customer Count'!L120</f>
        <v>5862</v>
      </c>
      <c r="Y101" s="1098"/>
      <c r="Z101" s="375"/>
      <c r="AA101" s="17" t="s">
        <v>97</v>
      </c>
      <c r="AB101" s="17">
        <v>-3.1317198744668731</v>
      </c>
      <c r="AC101" s="17">
        <v>0.22180012625311865</v>
      </c>
      <c r="AD101" s="17">
        <v>-14.119558574520148</v>
      </c>
      <c r="AE101" s="17">
        <v>1.048532442967543E-26</v>
      </c>
      <c r="AF101" s="17">
        <v>-3.5711459283152442</v>
      </c>
      <c r="AG101" s="17">
        <v>-2.6922938206185019</v>
      </c>
      <c r="AH101" s="17">
        <v>-3.5711459283152442</v>
      </c>
      <c r="AI101" s="17">
        <v>-2.6922938206185019</v>
      </c>
      <c r="AJ101" s="107"/>
      <c r="AK101" s="88"/>
      <c r="AL101" s="88"/>
      <c r="AM101" s="88"/>
      <c r="AN101" s="88"/>
      <c r="AO101" s="88"/>
      <c r="AP101" s="88"/>
      <c r="AQ101" s="88"/>
      <c r="AR101" s="88"/>
      <c r="AS101" s="88"/>
    </row>
    <row r="102" spans="2:45">
      <c r="B102" s="100">
        <f t="shared" si="6"/>
        <v>41305</v>
      </c>
      <c r="C102" s="108">
        <f>[21]Sheet1!C48</f>
        <v>11999817</v>
      </c>
      <c r="D102" s="111"/>
      <c r="E102" s="108">
        <f>[21]Sheet1!D48</f>
        <v>1235</v>
      </c>
      <c r="F102" s="123"/>
      <c r="G102" s="112"/>
      <c r="H102" s="110">
        <f t="shared" ref="H102:H138" si="7">SUM(C102:G102)</f>
        <v>12001052</v>
      </c>
      <c r="I102" s="369"/>
      <c r="J102" s="214">
        <f>'HDD &amp; CDD'!T6</f>
        <v>839.90000000000009</v>
      </c>
      <c r="K102" s="214">
        <f>'HDD &amp; CDD'!T24</f>
        <v>0</v>
      </c>
      <c r="L102" s="485">
        <f t="shared" si="5"/>
        <v>31</v>
      </c>
      <c r="M102" s="214">
        <v>0</v>
      </c>
      <c r="N102" s="485">
        <f>[22]Sheet1!C100</f>
        <v>1</v>
      </c>
      <c r="O102" s="1095"/>
      <c r="P102" s="1082"/>
      <c r="Q102" s="1091"/>
      <c r="R102" s="1094">
        <f>'CDM Activity'!C150</f>
        <v>280072.04639907333</v>
      </c>
      <c r="S102" s="105"/>
      <c r="T102" s="105"/>
      <c r="U102" s="105"/>
      <c r="V102" s="1092"/>
      <c r="W102" s="1093">
        <f>[30]GDP!D125</f>
        <v>111.37194580300799</v>
      </c>
      <c r="X102" s="1097">
        <f>'[30]Customer Count'!L121</f>
        <v>5861.75</v>
      </c>
      <c r="Y102" s="1098"/>
      <c r="Z102" s="375"/>
      <c r="AA102"/>
      <c r="AB102"/>
      <c r="AC102"/>
      <c r="AD102"/>
      <c r="AE102"/>
      <c r="AF102"/>
      <c r="AG102"/>
      <c r="AH102"/>
      <c r="AI102"/>
      <c r="AJ102" s="107"/>
      <c r="AK102" s="88"/>
      <c r="AL102" s="88"/>
      <c r="AM102" s="88"/>
      <c r="AN102" s="88"/>
      <c r="AO102" s="88"/>
      <c r="AP102" s="88"/>
      <c r="AQ102" s="88"/>
      <c r="AR102" s="88"/>
      <c r="AS102" s="88"/>
    </row>
    <row r="103" spans="2:45">
      <c r="B103" s="100">
        <f t="shared" si="6"/>
        <v>41333</v>
      </c>
      <c r="C103" s="108">
        <f>[21]Sheet1!C49</f>
        <v>10701983</v>
      </c>
      <c r="D103" s="111"/>
      <c r="E103" s="108">
        <f>[21]Sheet1!D49</f>
        <v>1814</v>
      </c>
      <c r="F103" s="123"/>
      <c r="G103" s="112"/>
      <c r="H103" s="110">
        <f t="shared" si="7"/>
        <v>10703797</v>
      </c>
      <c r="I103" s="369"/>
      <c r="J103" s="214">
        <f>'HDD &amp; CDD'!T7</f>
        <v>728.5</v>
      </c>
      <c r="K103" s="214">
        <f>'HDD &amp; CDD'!T25</f>
        <v>0</v>
      </c>
      <c r="L103" s="485">
        <f t="shared" si="5"/>
        <v>28</v>
      </c>
      <c r="M103" s="214">
        <v>0</v>
      </c>
      <c r="N103" s="485">
        <f>[22]Sheet1!C101</f>
        <v>1</v>
      </c>
      <c r="O103" s="1095"/>
      <c r="P103" s="1082"/>
      <c r="Q103" s="1091"/>
      <c r="R103" s="1094">
        <f>'CDM Activity'!C151</f>
        <v>281640.49872258393</v>
      </c>
      <c r="S103" s="105"/>
      <c r="T103" s="105"/>
      <c r="U103" s="105"/>
      <c r="V103" s="1092"/>
      <c r="W103" s="1093">
        <f>[30]GDP!D126</f>
        <v>111.49188576860946</v>
      </c>
      <c r="X103" s="1097">
        <f>'[30]Customer Count'!L122</f>
        <v>5861.5</v>
      </c>
      <c r="Y103" s="1098"/>
      <c r="Z103" s="375"/>
      <c r="AA103"/>
      <c r="AB103"/>
      <c r="AC103"/>
      <c r="AD103"/>
      <c r="AE103"/>
      <c r="AF103"/>
      <c r="AG103"/>
      <c r="AH103"/>
      <c r="AI103"/>
      <c r="AJ103" s="107"/>
      <c r="AK103" s="88"/>
      <c r="AL103" s="88"/>
      <c r="AM103" s="88"/>
      <c r="AN103" s="88"/>
      <c r="AO103" s="88"/>
      <c r="AP103" s="88"/>
      <c r="AQ103" s="88"/>
      <c r="AR103" s="88"/>
      <c r="AS103" s="88"/>
    </row>
    <row r="104" spans="2:45">
      <c r="B104" s="100">
        <f t="shared" si="6"/>
        <v>41364</v>
      </c>
      <c r="C104" s="108">
        <f>[21]Sheet1!C50</f>
        <v>10574475</v>
      </c>
      <c r="D104" s="111"/>
      <c r="E104" s="108">
        <f>[21]Sheet1!D50</f>
        <v>2546</v>
      </c>
      <c r="F104" s="123"/>
      <c r="G104" s="112"/>
      <c r="H104" s="110">
        <f t="shared" si="7"/>
        <v>10577021</v>
      </c>
      <c r="I104" s="369"/>
      <c r="J104" s="214">
        <f>'HDD &amp; CDD'!T8</f>
        <v>612.9</v>
      </c>
      <c r="K104" s="214">
        <f>'HDD &amp; CDD'!T26</f>
        <v>0</v>
      </c>
      <c r="L104" s="485">
        <f t="shared" si="5"/>
        <v>31</v>
      </c>
      <c r="M104" s="214">
        <v>1</v>
      </c>
      <c r="N104" s="485">
        <f>[22]Sheet1!C102</f>
        <v>1</v>
      </c>
      <c r="O104" s="1095"/>
      <c r="P104" s="1082"/>
      <c r="Q104" s="1091"/>
      <c r="R104" s="1094">
        <f>'CDM Activity'!C152</f>
        <v>283208.95104609453</v>
      </c>
      <c r="S104" s="105"/>
      <c r="T104" s="105"/>
      <c r="U104" s="105"/>
      <c r="V104" s="1092"/>
      <c r="W104" s="1093">
        <f>[30]GDP!D127</f>
        <v>111.61195490134764</v>
      </c>
      <c r="X104" s="1097">
        <f>'[30]Customer Count'!L123</f>
        <v>5861.25</v>
      </c>
      <c r="Y104" s="1098"/>
      <c r="Z104" s="375"/>
      <c r="AA104"/>
      <c r="AB104"/>
      <c r="AC104"/>
      <c r="AD104"/>
      <c r="AE104"/>
      <c r="AF104"/>
      <c r="AG104"/>
      <c r="AH104"/>
      <c r="AI104"/>
      <c r="AJ104" s="107"/>
      <c r="AK104" s="88"/>
      <c r="AL104" s="88"/>
      <c r="AM104" s="88"/>
      <c r="AN104" s="88"/>
      <c r="AO104" s="88"/>
      <c r="AP104" s="88"/>
      <c r="AQ104" s="88"/>
      <c r="AR104" s="88"/>
      <c r="AS104" s="88"/>
    </row>
    <row r="105" spans="2:45">
      <c r="B105" s="100">
        <f t="shared" si="6"/>
        <v>41394</v>
      </c>
      <c r="C105" s="108">
        <f>[21]Sheet1!C51</f>
        <v>9116700</v>
      </c>
      <c r="D105" s="111"/>
      <c r="E105" s="108">
        <f>[21]Sheet1!D51</f>
        <v>4962</v>
      </c>
      <c r="F105" s="123"/>
      <c r="G105" s="112"/>
      <c r="H105" s="110">
        <f t="shared" si="7"/>
        <v>9121662</v>
      </c>
      <c r="I105" s="369"/>
      <c r="J105" s="214">
        <f>'HDD &amp; CDD'!T9</f>
        <v>381.1</v>
      </c>
      <c r="K105" s="214">
        <f>'HDD &amp; CDD'!T27</f>
        <v>0</v>
      </c>
      <c r="L105" s="485">
        <f t="shared" si="5"/>
        <v>30</v>
      </c>
      <c r="M105" s="214">
        <v>1</v>
      </c>
      <c r="N105" s="485">
        <f>[22]Sheet1!C103</f>
        <v>1</v>
      </c>
      <c r="O105" s="1095"/>
      <c r="P105" s="1082"/>
      <c r="Q105" s="1091"/>
      <c r="R105" s="1094">
        <f>'CDM Activity'!C153</f>
        <v>284777.40336960513</v>
      </c>
      <c r="S105" s="105"/>
      <c r="T105" s="105"/>
      <c r="U105" s="105"/>
      <c r="V105" s="1092"/>
      <c r="W105" s="1093">
        <f>[30]GDP!D128</f>
        <v>111.7321533403267</v>
      </c>
      <c r="X105" s="1097">
        <f>'[30]Customer Count'!L124</f>
        <v>5861</v>
      </c>
      <c r="Y105" s="1098"/>
      <c r="Z105" s="375"/>
      <c r="AA105"/>
      <c r="AB105"/>
      <c r="AC105"/>
      <c r="AD105"/>
      <c r="AE105"/>
      <c r="AF105"/>
      <c r="AG105"/>
      <c r="AH105"/>
      <c r="AI105"/>
      <c r="AJ105" s="107"/>
      <c r="AK105" s="88"/>
      <c r="AL105" s="88"/>
      <c r="AM105" s="88"/>
      <c r="AN105" s="88"/>
      <c r="AO105" s="88"/>
      <c r="AP105" s="88"/>
      <c r="AQ105" s="88"/>
      <c r="AR105" s="88"/>
      <c r="AS105" s="88"/>
    </row>
    <row r="106" spans="2:45">
      <c r="B106" s="100">
        <f t="shared" si="6"/>
        <v>41425</v>
      </c>
      <c r="C106" s="108">
        <f>[21]Sheet1!C52</f>
        <v>8204917</v>
      </c>
      <c r="D106" s="111"/>
      <c r="E106" s="108">
        <f>[21]Sheet1!D52</f>
        <v>6326</v>
      </c>
      <c r="F106" s="111"/>
      <c r="G106" s="112"/>
      <c r="H106" s="110">
        <f t="shared" si="7"/>
        <v>8211243</v>
      </c>
      <c r="I106" s="369"/>
      <c r="J106" s="214">
        <f>'HDD &amp; CDD'!T10</f>
        <v>121.2</v>
      </c>
      <c r="K106" s="214">
        <f>'HDD &amp; CDD'!T28</f>
        <v>15.3</v>
      </c>
      <c r="L106" s="485">
        <f t="shared" si="5"/>
        <v>31</v>
      </c>
      <c r="M106" s="214">
        <v>1</v>
      </c>
      <c r="N106" s="485">
        <f>[22]Sheet1!C104</f>
        <v>1</v>
      </c>
      <c r="O106" s="1095"/>
      <c r="P106" s="1082"/>
      <c r="Q106" s="1091"/>
      <c r="R106" s="1094">
        <f>'CDM Activity'!C154</f>
        <v>286345.85569311574</v>
      </c>
      <c r="S106" s="105"/>
      <c r="T106" s="105"/>
      <c r="U106" s="105"/>
      <c r="V106" s="1092"/>
      <c r="W106" s="1093">
        <f>[30]GDP!D129</f>
        <v>111.85248122480061</v>
      </c>
      <c r="X106" s="1097">
        <f>'[30]Customer Count'!L125</f>
        <v>5860.75</v>
      </c>
      <c r="Y106" s="1098"/>
      <c r="Z106" s="375"/>
      <c r="AA106"/>
      <c r="AB106"/>
      <c r="AC106"/>
      <c r="AD106"/>
      <c r="AE106"/>
      <c r="AF106"/>
      <c r="AG106"/>
      <c r="AH106"/>
      <c r="AI106"/>
      <c r="AJ106" s="107"/>
      <c r="AK106" s="88"/>
      <c r="AL106" s="88"/>
      <c r="AM106" s="88"/>
      <c r="AN106" s="88"/>
      <c r="AO106" s="88"/>
      <c r="AP106" s="88"/>
      <c r="AQ106" s="88"/>
      <c r="AR106" s="88"/>
      <c r="AS106" s="88"/>
    </row>
    <row r="107" spans="2:45">
      <c r="B107" s="100">
        <f t="shared" si="6"/>
        <v>41455</v>
      </c>
      <c r="C107" s="108">
        <f>[21]Sheet1!C53</f>
        <v>8279408</v>
      </c>
      <c r="D107" s="111"/>
      <c r="E107" s="108">
        <f>[21]Sheet1!D53</f>
        <v>8173</v>
      </c>
      <c r="F107" s="111"/>
      <c r="G107" s="112"/>
      <c r="H107" s="110">
        <f t="shared" si="7"/>
        <v>8287581</v>
      </c>
      <c r="I107" s="369"/>
      <c r="J107" s="214">
        <f>'HDD &amp; CDD'!T11</f>
        <v>58.1</v>
      </c>
      <c r="K107" s="214">
        <f>'HDD &amp; CDD'!T29</f>
        <v>39.400000000000006</v>
      </c>
      <c r="L107" s="485">
        <f t="shared" si="5"/>
        <v>30</v>
      </c>
      <c r="M107" s="214">
        <v>0</v>
      </c>
      <c r="N107" s="485">
        <f>[22]Sheet1!C105</f>
        <v>0</v>
      </c>
      <c r="O107" s="1095"/>
      <c r="P107" s="1082"/>
      <c r="Q107" s="1091"/>
      <c r="R107" s="1094">
        <f>'CDM Activity'!C155</f>
        <v>287914.30801662634</v>
      </c>
      <c r="S107" s="105"/>
      <c r="T107" s="105"/>
      <c r="U107" s="105"/>
      <c r="V107" s="1092"/>
      <c r="W107" s="1093">
        <f>[30]GDP!D130</f>
        <v>111.97293869417331</v>
      </c>
      <c r="X107" s="1097">
        <f>'[30]Customer Count'!L126</f>
        <v>5860.5</v>
      </c>
      <c r="Y107" s="1098"/>
      <c r="Z107" s="375"/>
      <c r="AA107"/>
      <c r="AB107"/>
      <c r="AC107"/>
      <c r="AD107"/>
      <c r="AE107"/>
      <c r="AF107"/>
      <c r="AG107"/>
      <c r="AH107"/>
      <c r="AI107"/>
      <c r="AJ107" s="107"/>
      <c r="AK107" s="88"/>
      <c r="AL107" s="88"/>
      <c r="AM107" s="88"/>
      <c r="AN107" s="88"/>
      <c r="AO107" s="88"/>
      <c r="AP107" s="88"/>
      <c r="AQ107" s="88"/>
      <c r="AR107" s="88"/>
      <c r="AS107" s="88"/>
    </row>
    <row r="108" spans="2:45">
      <c r="B108" s="100">
        <f t="shared" si="6"/>
        <v>41486</v>
      </c>
      <c r="C108" s="108">
        <f>[21]Sheet1!C54</f>
        <v>9591758</v>
      </c>
      <c r="D108" s="111"/>
      <c r="E108" s="108">
        <f>[21]Sheet1!D54</f>
        <v>6943</v>
      </c>
      <c r="F108" s="111"/>
      <c r="G108" s="112"/>
      <c r="H108" s="110">
        <f t="shared" si="7"/>
        <v>9598701</v>
      </c>
      <c r="I108" s="369"/>
      <c r="J108" s="214">
        <f>'HDD &amp; CDD'!T12</f>
        <v>7.7</v>
      </c>
      <c r="K108" s="214">
        <f>'HDD &amp; CDD'!T30</f>
        <v>114.89999999999999</v>
      </c>
      <c r="L108" s="485">
        <f t="shared" si="5"/>
        <v>31</v>
      </c>
      <c r="M108" s="214">
        <v>0</v>
      </c>
      <c r="N108" s="485">
        <f>[22]Sheet1!C106</f>
        <v>1</v>
      </c>
      <c r="O108" s="1095"/>
      <c r="P108" s="1082"/>
      <c r="Q108" s="1091"/>
      <c r="R108" s="1094">
        <f>'CDM Activity'!C156</f>
        <v>289482.76034013694</v>
      </c>
      <c r="S108" s="105"/>
      <c r="T108" s="105"/>
      <c r="U108" s="105"/>
      <c r="V108" s="1092"/>
      <c r="W108" s="1093">
        <f>[30]GDP!D131</f>
        <v>112.09352588799885</v>
      </c>
      <c r="X108" s="1097">
        <f>'[30]Customer Count'!L127</f>
        <v>5860.25</v>
      </c>
      <c r="Y108" s="1098"/>
      <c r="Z108" s="375"/>
      <c r="AA108"/>
      <c r="AB108"/>
      <c r="AC108"/>
      <c r="AD108"/>
      <c r="AE108"/>
      <c r="AF108"/>
      <c r="AG108"/>
      <c r="AH108"/>
      <c r="AI108"/>
      <c r="AJ108" s="107"/>
      <c r="AK108" s="88"/>
      <c r="AL108" s="88"/>
      <c r="AM108" s="88"/>
      <c r="AN108" s="88"/>
      <c r="AO108" s="88"/>
      <c r="AP108" s="88"/>
      <c r="AQ108" s="88"/>
      <c r="AR108" s="88"/>
      <c r="AS108" s="88"/>
    </row>
    <row r="109" spans="2:45">
      <c r="B109" s="100">
        <f t="shared" si="6"/>
        <v>41517</v>
      </c>
      <c r="C109" s="108">
        <f>[21]Sheet1!C55</f>
        <v>9610958</v>
      </c>
      <c r="D109" s="111"/>
      <c r="E109" s="108">
        <f>[21]Sheet1!D55</f>
        <v>8290</v>
      </c>
      <c r="F109" s="111"/>
      <c r="G109" s="112"/>
      <c r="H109" s="110">
        <f t="shared" si="7"/>
        <v>9619248</v>
      </c>
      <c r="I109" s="369"/>
      <c r="J109" s="214">
        <f>'HDD &amp; CDD'!T13</f>
        <v>13.400000000000004</v>
      </c>
      <c r="K109" s="214">
        <f>'HDD &amp; CDD'!T31</f>
        <v>57.199999999999996</v>
      </c>
      <c r="L109" s="485">
        <f t="shared" si="5"/>
        <v>31</v>
      </c>
      <c r="M109" s="214">
        <v>0</v>
      </c>
      <c r="N109" s="485">
        <f>[22]Sheet1!C107</f>
        <v>1</v>
      </c>
      <c r="O109" s="1095"/>
      <c r="P109" s="1082"/>
      <c r="Q109" s="1091"/>
      <c r="R109" s="1094">
        <f>'CDM Activity'!C157</f>
        <v>291051.21266364754</v>
      </c>
      <c r="S109" s="105"/>
      <c r="T109" s="105"/>
      <c r="U109" s="105"/>
      <c r="V109" s="1092"/>
      <c r="W109" s="1093">
        <f>[30]GDP!D132</f>
        <v>112.21424294598162</v>
      </c>
      <c r="X109" s="1097">
        <f>'[30]Customer Count'!L128</f>
        <v>5860</v>
      </c>
      <c r="Y109" s="1098"/>
      <c r="Z109" s="375"/>
      <c r="AA109"/>
      <c r="AB109"/>
      <c r="AC109"/>
      <c r="AD109"/>
      <c r="AE109"/>
      <c r="AF109"/>
      <c r="AG109"/>
      <c r="AH109"/>
      <c r="AI109"/>
      <c r="AJ109" s="107"/>
      <c r="AK109" s="88"/>
      <c r="AL109" s="88"/>
      <c r="AM109" s="88"/>
      <c r="AN109" s="88"/>
      <c r="AO109" s="88"/>
      <c r="AP109" s="88"/>
      <c r="AQ109" s="88"/>
      <c r="AR109" s="88"/>
      <c r="AS109" s="88"/>
    </row>
    <row r="110" spans="2:45">
      <c r="B110" s="100">
        <f t="shared" si="6"/>
        <v>41547</v>
      </c>
      <c r="C110" s="108">
        <f>[21]Sheet1!C56</f>
        <v>8187217</v>
      </c>
      <c r="D110" s="111"/>
      <c r="E110" s="108">
        <f>[21]Sheet1!D56</f>
        <v>7556</v>
      </c>
      <c r="F110" s="111"/>
      <c r="G110" s="112"/>
      <c r="H110" s="110">
        <f t="shared" si="7"/>
        <v>8194773</v>
      </c>
      <c r="I110" s="369"/>
      <c r="J110" s="214">
        <f>'HDD &amp; CDD'!T14</f>
        <v>133.20000000000005</v>
      </c>
      <c r="K110" s="214">
        <f>'HDD &amp; CDD'!T32</f>
        <v>10.1</v>
      </c>
      <c r="L110" s="485">
        <f t="shared" si="5"/>
        <v>30</v>
      </c>
      <c r="M110" s="214">
        <v>1</v>
      </c>
      <c r="N110" s="485">
        <f>[22]Sheet1!C108</f>
        <v>1</v>
      </c>
      <c r="O110" s="1095"/>
      <c r="P110" s="1082"/>
      <c r="Q110" s="1091"/>
      <c r="R110" s="1094">
        <f>'CDM Activity'!C158</f>
        <v>292619.66498715815</v>
      </c>
      <c r="S110" s="105"/>
      <c r="T110" s="105"/>
      <c r="U110" s="105"/>
      <c r="V110" s="1092"/>
      <c r="W110" s="1093">
        <f>[30]GDP!D133</f>
        <v>112.33509000797642</v>
      </c>
      <c r="X110" s="1097">
        <f>'[30]Customer Count'!L129</f>
        <v>5859.75</v>
      </c>
      <c r="Y110" s="1098"/>
      <c r="Z110" s="375"/>
      <c r="AA110"/>
      <c r="AB110"/>
      <c r="AC110"/>
      <c r="AD110"/>
      <c r="AE110"/>
      <c r="AF110"/>
      <c r="AG110"/>
      <c r="AH110"/>
      <c r="AI110"/>
      <c r="AJ110" s="107"/>
      <c r="AK110" s="88"/>
      <c r="AL110" s="88"/>
      <c r="AM110" s="88"/>
      <c r="AN110" s="88"/>
      <c r="AO110" s="88"/>
      <c r="AP110" s="88"/>
      <c r="AQ110" s="88"/>
      <c r="AR110" s="88"/>
      <c r="AS110" s="88"/>
    </row>
    <row r="111" spans="2:45">
      <c r="B111" s="100">
        <f t="shared" si="6"/>
        <v>41578</v>
      </c>
      <c r="C111" s="108">
        <f>[21]Sheet1!C57</f>
        <v>8725825</v>
      </c>
      <c r="D111" s="111"/>
      <c r="E111" s="108">
        <f>[21]Sheet1!D57</f>
        <v>6244</v>
      </c>
      <c r="F111" s="111"/>
      <c r="G111" s="112"/>
      <c r="H111" s="110">
        <f t="shared" si="7"/>
        <v>8732069</v>
      </c>
      <c r="I111" s="369"/>
      <c r="J111" s="214">
        <f>'HDD &amp; CDD'!T15</f>
        <v>265.2</v>
      </c>
      <c r="K111" s="214">
        <f>'HDD &amp; CDD'!T33</f>
        <v>0.7</v>
      </c>
      <c r="L111" s="485">
        <f t="shared" si="5"/>
        <v>31</v>
      </c>
      <c r="M111" s="214">
        <v>1</v>
      </c>
      <c r="N111" s="485">
        <f>[22]Sheet1!C109</f>
        <v>1</v>
      </c>
      <c r="O111" s="1095"/>
      <c r="P111" s="1082"/>
      <c r="Q111" s="1091"/>
      <c r="R111" s="1094">
        <f>'CDM Activity'!C159</f>
        <v>294188.11731066875</v>
      </c>
      <c r="S111" s="105"/>
      <c r="T111" s="105"/>
      <c r="U111" s="105"/>
      <c r="V111" s="1092"/>
      <c r="W111" s="1093">
        <f>[30]GDP!D134</f>
        <v>112.45606721398867</v>
      </c>
      <c r="X111" s="1097">
        <f>'[30]Customer Count'!L130</f>
        <v>5859.5</v>
      </c>
      <c r="Y111" s="1098"/>
      <c r="Z111" s="375"/>
      <c r="AA111"/>
      <c r="AB111"/>
      <c r="AC111"/>
      <c r="AD111"/>
      <c r="AE111"/>
      <c r="AF111"/>
      <c r="AG111"/>
      <c r="AH111"/>
      <c r="AI111"/>
      <c r="AJ111" s="107"/>
      <c r="AK111" s="88"/>
      <c r="AL111" s="88"/>
      <c r="AM111" s="88"/>
      <c r="AN111" s="88"/>
      <c r="AO111" s="88"/>
      <c r="AP111" s="88"/>
      <c r="AQ111" s="88"/>
      <c r="AR111" s="88"/>
      <c r="AS111" s="88"/>
    </row>
    <row r="112" spans="2:45">
      <c r="B112" s="100">
        <f t="shared" si="6"/>
        <v>41608</v>
      </c>
      <c r="C112" s="108">
        <f>[21]Sheet1!C58</f>
        <v>9926917</v>
      </c>
      <c r="D112" s="111"/>
      <c r="E112" s="108">
        <f>[21]Sheet1!D58</f>
        <v>4461</v>
      </c>
      <c r="F112" s="111"/>
      <c r="G112" s="112"/>
      <c r="H112" s="110">
        <f t="shared" si="7"/>
        <v>9931378</v>
      </c>
      <c r="I112" s="369"/>
      <c r="J112" s="214">
        <f>'HDD &amp; CDD'!T16</f>
        <v>560.79999999999995</v>
      </c>
      <c r="K112" s="214">
        <f>'HDD &amp; CDD'!T34</f>
        <v>0</v>
      </c>
      <c r="L112" s="485">
        <f t="shared" si="5"/>
        <v>30</v>
      </c>
      <c r="M112" s="214">
        <v>1</v>
      </c>
      <c r="N112" s="485">
        <f>[22]Sheet1!C110</f>
        <v>0</v>
      </c>
      <c r="O112" s="1095"/>
      <c r="P112" s="1082"/>
      <c r="Q112" s="1091"/>
      <c r="R112" s="1094">
        <f>'CDM Activity'!C160</f>
        <v>295756.56963417935</v>
      </c>
      <c r="S112" s="105"/>
      <c r="T112" s="105"/>
      <c r="U112" s="105"/>
      <c r="V112" s="1092"/>
      <c r="W112" s="1093">
        <f>[30]GDP!D135</f>
        <v>112.57717470417458</v>
      </c>
      <c r="X112" s="1097">
        <f>'[30]Customer Count'!L131</f>
        <v>5859.25</v>
      </c>
      <c r="Y112" s="1098"/>
      <c r="Z112" s="375"/>
      <c r="AA112"/>
      <c r="AB112"/>
      <c r="AC112"/>
      <c r="AD112"/>
      <c r="AE112"/>
      <c r="AF112"/>
      <c r="AG112"/>
      <c r="AH112"/>
      <c r="AI112"/>
      <c r="AJ112" s="107"/>
      <c r="AK112" s="88"/>
      <c r="AL112" s="88"/>
      <c r="AM112" s="88"/>
      <c r="AN112" s="88"/>
      <c r="AO112" s="88"/>
      <c r="AP112" s="88"/>
      <c r="AQ112" s="88"/>
      <c r="AR112" s="88"/>
      <c r="AS112" s="88"/>
    </row>
    <row r="113" spans="2:45">
      <c r="B113" s="217">
        <f t="shared" si="6"/>
        <v>41639</v>
      </c>
      <c r="C113" s="124">
        <f>[21]Sheet1!C59</f>
        <v>11614675</v>
      </c>
      <c r="D113" s="125"/>
      <c r="E113" s="117">
        <f>[21]Sheet1!D59</f>
        <v>2266</v>
      </c>
      <c r="F113" s="125"/>
      <c r="G113" s="126"/>
      <c r="H113" s="117">
        <f t="shared" si="7"/>
        <v>11616941</v>
      </c>
      <c r="I113" s="370"/>
      <c r="J113" s="165">
        <f>'HDD &amp; CDD'!T17</f>
        <v>858.20000000000016</v>
      </c>
      <c r="K113" s="165">
        <f>'HDD &amp; CDD'!T35</f>
        <v>0</v>
      </c>
      <c r="L113" s="486">
        <f t="shared" si="5"/>
        <v>31</v>
      </c>
      <c r="M113" s="165">
        <v>0</v>
      </c>
      <c r="N113" s="486">
        <f>[22]Sheet1!C111</f>
        <v>2</v>
      </c>
      <c r="O113" s="1095"/>
      <c r="P113" s="1082"/>
      <c r="Q113" s="1091"/>
      <c r="R113" s="1094">
        <f>'CDM Activity'!C161</f>
        <v>297325.02195768995</v>
      </c>
      <c r="S113" s="105"/>
      <c r="T113" s="105"/>
      <c r="U113" s="105"/>
      <c r="V113" s="1092"/>
      <c r="W113" s="1093">
        <f>[30]GDP!D136</f>
        <v>112.69841261884129</v>
      </c>
      <c r="X113" s="1097">
        <f>'[30]Customer Count'!L132</f>
        <v>5859</v>
      </c>
      <c r="Y113" s="1098"/>
      <c r="Z113" s="375"/>
      <c r="AA113"/>
      <c r="AB113"/>
      <c r="AC113"/>
      <c r="AD113"/>
      <c r="AE113"/>
      <c r="AF113"/>
      <c r="AG113"/>
      <c r="AH113"/>
      <c r="AI113"/>
      <c r="AJ113" s="107"/>
      <c r="AK113" s="88"/>
      <c r="AL113" s="88"/>
      <c r="AM113" s="88"/>
      <c r="AN113" s="88"/>
      <c r="AO113" s="88"/>
      <c r="AP113" s="88"/>
      <c r="AQ113" s="88"/>
      <c r="AR113" s="88"/>
      <c r="AS113" s="88"/>
    </row>
    <row r="114" spans="2:45">
      <c r="B114" s="100">
        <f t="shared" si="6"/>
        <v>41670</v>
      </c>
      <c r="C114" s="108">
        <f>[21]Sheet1!C60</f>
        <v>12521267</v>
      </c>
      <c r="D114" s="111"/>
      <c r="E114" s="108">
        <f>[21]Sheet1!D60</f>
        <v>864</v>
      </c>
      <c r="F114" s="111"/>
      <c r="G114" s="112"/>
      <c r="H114" s="110">
        <f t="shared" si="7"/>
        <v>12522131</v>
      </c>
      <c r="I114" s="369"/>
      <c r="J114" s="214">
        <f>'HDD &amp; CDD'!U6</f>
        <v>918.30000000000007</v>
      </c>
      <c r="K114" s="214">
        <f>'HDD &amp; CDD'!U24</f>
        <v>0</v>
      </c>
      <c r="L114" s="485">
        <f t="shared" si="5"/>
        <v>31</v>
      </c>
      <c r="M114" s="214">
        <v>0</v>
      </c>
      <c r="N114" s="485">
        <f>[22]Sheet1!C112</f>
        <v>1</v>
      </c>
      <c r="O114" s="1095"/>
      <c r="P114" s="1082"/>
      <c r="Q114" s="1091"/>
      <c r="R114" s="1094">
        <f>'CDM Activity'!C162</f>
        <v>303357.20281439635</v>
      </c>
      <c r="S114" s="105"/>
      <c r="T114" s="105"/>
      <c r="U114" s="105"/>
      <c r="V114" s="1092"/>
      <c r="W114" s="1093">
        <f>[30]GDP!D137</f>
        <v>112.87531646974237</v>
      </c>
      <c r="X114" s="1097">
        <f>'[30]Customer Count'!L133</f>
        <v>5858.916666666667</v>
      </c>
      <c r="Y114" s="1098"/>
      <c r="Z114" s="375"/>
      <c r="AA114"/>
      <c r="AB114"/>
      <c r="AC114"/>
      <c r="AD114"/>
      <c r="AE114"/>
      <c r="AF114"/>
      <c r="AG114"/>
      <c r="AH114"/>
      <c r="AI114"/>
      <c r="AJ114" s="107"/>
      <c r="AK114" s="88"/>
      <c r="AL114" s="88"/>
      <c r="AM114" s="88"/>
      <c r="AN114" s="88"/>
      <c r="AO114" s="88"/>
      <c r="AP114" s="88"/>
      <c r="AQ114" s="88"/>
      <c r="AR114" s="88"/>
      <c r="AS114" s="88"/>
    </row>
    <row r="115" spans="2:45">
      <c r="B115" s="100">
        <f t="shared" si="6"/>
        <v>41698</v>
      </c>
      <c r="C115" s="108">
        <f>[21]Sheet1!C61</f>
        <v>10693642</v>
      </c>
      <c r="D115" s="111"/>
      <c r="E115" s="108">
        <f>[21]Sheet1!D61</f>
        <v>1826</v>
      </c>
      <c r="F115" s="111"/>
      <c r="G115" s="112"/>
      <c r="H115" s="110">
        <f t="shared" si="7"/>
        <v>10695468</v>
      </c>
      <c r="I115" s="369"/>
      <c r="J115" s="214">
        <f>'HDD &amp; CDD'!U7</f>
        <v>793.2</v>
      </c>
      <c r="K115" s="214">
        <f>'HDD &amp; CDD'!U25</f>
        <v>0</v>
      </c>
      <c r="L115" s="485">
        <f t="shared" si="5"/>
        <v>28</v>
      </c>
      <c r="M115" s="214">
        <v>0</v>
      </c>
      <c r="N115" s="485">
        <f>[22]Sheet1!C113</f>
        <v>1</v>
      </c>
      <c r="O115" s="1095"/>
      <c r="P115" s="1082"/>
      <c r="Q115" s="1091"/>
      <c r="R115" s="1094">
        <f>'CDM Activity'!C163</f>
        <v>309389.38367110275</v>
      </c>
      <c r="S115" s="105"/>
      <c r="T115" s="105"/>
      <c r="U115" s="105"/>
      <c r="V115" s="1092"/>
      <c r="W115" s="1093">
        <f>[30]GDP!D138</f>
        <v>113.05249800842749</v>
      </c>
      <c r="X115" s="1097">
        <f>'[30]Customer Count'!L134</f>
        <v>5858.8333333333339</v>
      </c>
      <c r="Y115" s="1098"/>
      <c r="Z115" s="375"/>
      <c r="AA115"/>
      <c r="AB115"/>
      <c r="AC115"/>
      <c r="AD115"/>
      <c r="AE115"/>
      <c r="AF115"/>
      <c r="AG115"/>
      <c r="AH115"/>
      <c r="AI115"/>
      <c r="AJ115" s="107"/>
      <c r="AK115" s="88"/>
      <c r="AL115" s="88"/>
      <c r="AM115" s="88"/>
      <c r="AN115" s="88"/>
      <c r="AO115" s="88"/>
      <c r="AP115" s="88"/>
      <c r="AQ115" s="88"/>
      <c r="AR115" s="88"/>
      <c r="AS115" s="88"/>
    </row>
    <row r="116" spans="2:45">
      <c r="B116" s="100">
        <f t="shared" si="6"/>
        <v>41729</v>
      </c>
      <c r="C116" s="108">
        <f>[21]Sheet1!C62</f>
        <v>11270883</v>
      </c>
      <c r="D116" s="111"/>
      <c r="E116" s="108">
        <f>[21]Sheet1!D62</f>
        <v>2647</v>
      </c>
      <c r="F116" s="111"/>
      <c r="G116" s="112"/>
      <c r="H116" s="110">
        <f t="shared" si="7"/>
        <v>11273530</v>
      </c>
      <c r="I116" s="369"/>
      <c r="J116" s="214">
        <f>'HDD &amp; CDD'!U8</f>
        <v>783.6</v>
      </c>
      <c r="K116" s="214">
        <f>'HDD &amp; CDD'!U26</f>
        <v>0</v>
      </c>
      <c r="L116" s="485">
        <f t="shared" si="5"/>
        <v>31</v>
      </c>
      <c r="M116" s="214">
        <v>1</v>
      </c>
      <c r="N116" s="485">
        <f>[22]Sheet1!C114</f>
        <v>0</v>
      </c>
      <c r="O116" s="1095"/>
      <c r="P116" s="1082"/>
      <c r="Q116" s="1091"/>
      <c r="R116" s="1094">
        <f>'CDM Activity'!C164</f>
        <v>315421.56452780915</v>
      </c>
      <c r="S116" s="105"/>
      <c r="T116" s="105"/>
      <c r="U116" s="105"/>
      <c r="V116" s="1092"/>
      <c r="W116" s="1093">
        <f>[30]GDP!D139</f>
        <v>113.22995767078599</v>
      </c>
      <c r="X116" s="1097">
        <f>'[30]Customer Count'!L135</f>
        <v>5858.7500000000009</v>
      </c>
      <c r="Y116" s="1098"/>
      <c r="Z116" s="375"/>
      <c r="AA116"/>
      <c r="AB116"/>
      <c r="AC116"/>
      <c r="AD116"/>
      <c r="AE116"/>
      <c r="AF116"/>
      <c r="AG116"/>
      <c r="AH116"/>
      <c r="AI116"/>
      <c r="AJ116" s="107"/>
      <c r="AK116" s="88"/>
      <c r="AL116" s="88"/>
      <c r="AM116" s="88"/>
      <c r="AN116" s="88"/>
      <c r="AO116" s="88"/>
      <c r="AP116" s="88"/>
      <c r="AQ116" s="88"/>
      <c r="AR116" s="88"/>
      <c r="AS116" s="88"/>
    </row>
    <row r="117" spans="2:45">
      <c r="B117" s="100">
        <f t="shared" si="6"/>
        <v>41759</v>
      </c>
      <c r="C117" s="108">
        <f>[21]Sheet1!C63</f>
        <v>9026483</v>
      </c>
      <c r="D117" s="111"/>
      <c r="E117" s="108">
        <f>[21]Sheet1!D63</f>
        <v>5510</v>
      </c>
      <c r="F117" s="111"/>
      <c r="G117" s="112"/>
      <c r="H117" s="110">
        <f t="shared" si="7"/>
        <v>9031993</v>
      </c>
      <c r="I117" s="369"/>
      <c r="J117" s="214">
        <f>'HDD &amp; CDD'!U9</f>
        <v>384.20000000000005</v>
      </c>
      <c r="K117" s="214">
        <f>'HDD &amp; CDD'!U27</f>
        <v>0</v>
      </c>
      <c r="L117" s="485">
        <f t="shared" si="5"/>
        <v>30</v>
      </c>
      <c r="M117" s="214">
        <v>1</v>
      </c>
      <c r="N117" s="485">
        <f>[22]Sheet1!C115</f>
        <v>2</v>
      </c>
      <c r="O117" s="1095"/>
      <c r="P117" s="1082"/>
      <c r="Q117" s="1091"/>
      <c r="R117" s="1094">
        <f>'CDM Activity'!C165</f>
        <v>321453.74538451555</v>
      </c>
      <c r="S117" s="105"/>
      <c r="T117" s="105"/>
      <c r="U117" s="105"/>
      <c r="V117" s="1092"/>
      <c r="W117" s="1093">
        <f>[30]GDP!D140</f>
        <v>113.40769589339145</v>
      </c>
      <c r="X117" s="1097">
        <f>'[30]Customer Count'!L136</f>
        <v>5858.6666666666679</v>
      </c>
      <c r="Y117" s="1098"/>
      <c r="Z117" s="375"/>
      <c r="AA117"/>
      <c r="AB117"/>
      <c r="AC117"/>
      <c r="AD117"/>
      <c r="AE117"/>
      <c r="AF117"/>
      <c r="AG117"/>
      <c r="AH117"/>
      <c r="AI117"/>
      <c r="AJ117" s="107"/>
      <c r="AK117" s="88"/>
      <c r="AL117" s="88"/>
      <c r="AM117" s="88"/>
      <c r="AN117" s="88"/>
      <c r="AO117" s="88"/>
      <c r="AP117" s="88"/>
      <c r="AQ117" s="88"/>
      <c r="AR117" s="88"/>
      <c r="AS117" s="88"/>
    </row>
    <row r="118" spans="2:45">
      <c r="B118" s="100">
        <f t="shared" si="6"/>
        <v>41790</v>
      </c>
      <c r="C118" s="108">
        <f>[21]Sheet1!C64</f>
        <v>8278885</v>
      </c>
      <c r="D118" s="111"/>
      <c r="E118" s="108">
        <f>[21]Sheet1!D64</f>
        <v>8035</v>
      </c>
      <c r="F118" s="111"/>
      <c r="G118" s="112"/>
      <c r="H118" s="110">
        <f t="shared" si="7"/>
        <v>8286920</v>
      </c>
      <c r="I118" s="369"/>
      <c r="J118" s="214">
        <f>'HDD &amp; CDD'!U10</f>
        <v>127.3</v>
      </c>
      <c r="K118" s="214">
        <f>'HDD &amp; CDD'!U28</f>
        <v>8.8000000000000007</v>
      </c>
      <c r="L118" s="485">
        <f t="shared" si="5"/>
        <v>31</v>
      </c>
      <c r="M118" s="214">
        <v>1</v>
      </c>
      <c r="N118" s="485">
        <f>[22]Sheet1!C116</f>
        <v>1</v>
      </c>
      <c r="O118" s="1095"/>
      <c r="P118" s="1082"/>
      <c r="Q118" s="1091"/>
      <c r="R118" s="1094">
        <f>'CDM Activity'!C166</f>
        <v>327485.92624122195</v>
      </c>
      <c r="S118" s="105"/>
      <c r="T118" s="105"/>
      <c r="U118" s="105"/>
      <c r="V118" s="1092"/>
      <c r="W118" s="1093">
        <f>[30]GDP!D141</f>
        <v>113.58571311350273</v>
      </c>
      <c r="X118" s="1097">
        <f>'[30]Customer Count'!L137</f>
        <v>5858.5833333333348</v>
      </c>
      <c r="Y118" s="1098"/>
      <c r="Z118" s="375"/>
      <c r="AA118"/>
      <c r="AB118"/>
      <c r="AC118"/>
      <c r="AD118"/>
      <c r="AE118"/>
      <c r="AF118"/>
      <c r="AG118"/>
      <c r="AH118"/>
      <c r="AI118"/>
      <c r="AJ118" s="107"/>
      <c r="AK118" s="88"/>
      <c r="AL118" s="88"/>
      <c r="AM118" s="88"/>
      <c r="AN118" s="88"/>
      <c r="AO118" s="88"/>
      <c r="AP118" s="88"/>
      <c r="AQ118" s="88"/>
      <c r="AR118" s="88"/>
      <c r="AS118" s="88"/>
    </row>
    <row r="119" spans="2:45">
      <c r="B119" s="100">
        <f t="shared" si="6"/>
        <v>41820</v>
      </c>
      <c r="C119" s="108">
        <f>[21]Sheet1!C65</f>
        <v>8570154</v>
      </c>
      <c r="D119" s="111"/>
      <c r="E119" s="108">
        <f>[21]Sheet1!D65</f>
        <v>9577</v>
      </c>
      <c r="F119" s="111"/>
      <c r="G119" s="112"/>
      <c r="H119" s="110">
        <f t="shared" si="7"/>
        <v>8579731</v>
      </c>
      <c r="I119" s="369"/>
      <c r="J119" s="214">
        <f>'HDD &amp; CDD'!U11</f>
        <v>20.299999999999997</v>
      </c>
      <c r="K119" s="214">
        <f>'HDD &amp; CDD'!U29</f>
        <v>54.9</v>
      </c>
      <c r="L119" s="485">
        <f t="shared" si="5"/>
        <v>30</v>
      </c>
      <c r="M119" s="214">
        <v>0</v>
      </c>
      <c r="N119" s="485">
        <f>[22]Sheet1!C117</f>
        <v>0</v>
      </c>
      <c r="O119" s="1095"/>
      <c r="P119" s="1082"/>
      <c r="Q119" s="1091"/>
      <c r="R119" s="1094">
        <f>'CDM Activity'!C167</f>
        <v>333518.10709792835</v>
      </c>
      <c r="S119" s="105"/>
      <c r="T119" s="105"/>
      <c r="U119" s="105"/>
      <c r="V119" s="1092"/>
      <c r="W119" s="1093">
        <f>[30]GDP!D142</f>
        <v>113.76400976906508</v>
      </c>
      <c r="X119" s="1097">
        <f>'[30]Customer Count'!L138</f>
        <v>5858.5000000000018</v>
      </c>
      <c r="Y119" s="1098"/>
      <c r="Z119" s="375"/>
      <c r="AA119"/>
      <c r="AB119"/>
      <c r="AC119"/>
      <c r="AD119"/>
      <c r="AE119"/>
      <c r="AF119"/>
      <c r="AG119"/>
      <c r="AH119"/>
      <c r="AI119"/>
      <c r="AJ119" s="107"/>
      <c r="AK119" s="88"/>
      <c r="AL119" s="88"/>
      <c r="AM119" s="88"/>
      <c r="AN119" s="88"/>
      <c r="AO119" s="88"/>
      <c r="AP119" s="88"/>
      <c r="AQ119" s="88"/>
      <c r="AR119" s="88"/>
      <c r="AS119" s="88"/>
    </row>
    <row r="120" spans="2:45">
      <c r="B120" s="100">
        <f t="shared" si="6"/>
        <v>41851</v>
      </c>
      <c r="C120" s="139">
        <f>[21]Sheet1!C66</f>
        <v>9070654</v>
      </c>
      <c r="D120" s="111"/>
      <c r="E120" s="108">
        <f>[21]Sheet1!D66</f>
        <v>9467</v>
      </c>
      <c r="F120" s="111"/>
      <c r="G120" s="112"/>
      <c r="H120" s="110">
        <f t="shared" si="7"/>
        <v>9080121</v>
      </c>
      <c r="I120" s="369"/>
      <c r="J120" s="214">
        <f>'HDD &amp; CDD'!U12</f>
        <v>8.8000000000000007</v>
      </c>
      <c r="K120" s="214">
        <f>'HDD &amp; CDD'!U30</f>
        <v>62.800000000000011</v>
      </c>
      <c r="L120" s="485">
        <f t="shared" si="5"/>
        <v>31</v>
      </c>
      <c r="M120" s="214">
        <v>0</v>
      </c>
      <c r="N120" s="485">
        <f>[22]Sheet1!C118</f>
        <v>1</v>
      </c>
      <c r="O120" s="1095"/>
      <c r="P120" s="1082"/>
      <c r="Q120" s="1091"/>
      <c r="R120" s="1094">
        <f>'CDM Activity'!C168</f>
        <v>339550.28795463475</v>
      </c>
      <c r="S120" s="105"/>
      <c r="T120" s="105"/>
      <c r="U120" s="105"/>
      <c r="V120" s="1092"/>
      <c r="W120" s="1093">
        <f>[30]GDP!D143</f>
        <v>113.94258629871118</v>
      </c>
      <c r="X120" s="1097">
        <f>'[30]Customer Count'!L139</f>
        <v>5858.4166666666688</v>
      </c>
      <c r="Y120" s="1098"/>
      <c r="Z120" s="375"/>
      <c r="AA120"/>
      <c r="AB120"/>
      <c r="AC120"/>
      <c r="AD120"/>
      <c r="AE120"/>
      <c r="AF120"/>
      <c r="AG120"/>
      <c r="AH120"/>
      <c r="AI120"/>
      <c r="AJ120" s="107"/>
      <c r="AK120" s="88"/>
      <c r="AL120" s="88"/>
      <c r="AM120" s="88"/>
      <c r="AN120" s="88"/>
      <c r="AO120" s="88"/>
      <c r="AP120" s="88"/>
      <c r="AQ120" s="88"/>
      <c r="AR120" s="88"/>
      <c r="AS120" s="88"/>
    </row>
    <row r="121" spans="2:45">
      <c r="B121" s="100">
        <f t="shared" si="6"/>
        <v>41882</v>
      </c>
      <c r="C121" s="139">
        <f>[21]Sheet1!C67</f>
        <v>8980123</v>
      </c>
      <c r="D121" s="111"/>
      <c r="E121" s="108">
        <f>[21]Sheet1!D67</f>
        <v>9127</v>
      </c>
      <c r="F121" s="111"/>
      <c r="G121" s="112"/>
      <c r="H121" s="110">
        <f t="shared" si="7"/>
        <v>8989250</v>
      </c>
      <c r="I121" s="369"/>
      <c r="J121" s="214">
        <f>'HDD &amp; CDD'!U13</f>
        <v>21.400000000000002</v>
      </c>
      <c r="K121" s="214">
        <f>'HDD &amp; CDD'!U31</f>
        <v>55.800000000000004</v>
      </c>
      <c r="L121" s="485">
        <f t="shared" si="5"/>
        <v>31</v>
      </c>
      <c r="M121" s="214">
        <v>0</v>
      </c>
      <c r="N121" s="485">
        <f>[22]Sheet1!C119</f>
        <v>1</v>
      </c>
      <c r="O121" s="1095"/>
      <c r="P121" s="1082"/>
      <c r="Q121" s="1091"/>
      <c r="R121" s="1094">
        <f>'CDM Activity'!C169</f>
        <v>345582.46881134115</v>
      </c>
      <c r="S121" s="105"/>
      <c r="T121" s="105"/>
      <c r="U121" s="105"/>
      <c r="V121" s="1092"/>
      <c r="W121" s="1093">
        <f>[30]GDP!D144</f>
        <v>114.12144314176223</v>
      </c>
      <c r="X121" s="1097">
        <f>'[30]Customer Count'!L140</f>
        <v>5858.3333333333358</v>
      </c>
      <c r="Y121" s="1099"/>
      <c r="Z121" s="375"/>
      <c r="AA121"/>
      <c r="AB121"/>
      <c r="AC121"/>
      <c r="AD121"/>
      <c r="AE121"/>
      <c r="AF121"/>
      <c r="AG121"/>
      <c r="AH121"/>
      <c r="AI121"/>
      <c r="AJ121" s="107"/>
      <c r="AK121" s="88"/>
      <c r="AL121" s="88"/>
      <c r="AM121" s="88"/>
      <c r="AN121" s="88"/>
      <c r="AO121" s="88"/>
      <c r="AP121" s="88"/>
      <c r="AQ121" s="88"/>
      <c r="AR121" s="88"/>
      <c r="AS121" s="88"/>
    </row>
    <row r="122" spans="2:45">
      <c r="B122" s="100">
        <f t="shared" si="6"/>
        <v>41912</v>
      </c>
      <c r="C122" s="139">
        <f>[21]Sheet1!C68</f>
        <v>8455877</v>
      </c>
      <c r="D122" s="111"/>
      <c r="E122" s="108">
        <f>[21]Sheet1!D68</f>
        <v>8673</v>
      </c>
      <c r="F122" s="111"/>
      <c r="G122" s="112"/>
      <c r="H122" s="110">
        <f t="shared" si="7"/>
        <v>8464550</v>
      </c>
      <c r="I122" s="369"/>
      <c r="J122" s="214">
        <f>'HDD &amp; CDD'!U14</f>
        <v>110.3</v>
      </c>
      <c r="K122" s="214">
        <f>'HDD &amp; CDD'!U32</f>
        <v>21.600000000000005</v>
      </c>
      <c r="L122" s="485">
        <f t="shared" si="5"/>
        <v>30</v>
      </c>
      <c r="M122" s="214">
        <v>1</v>
      </c>
      <c r="N122" s="485">
        <f>[22]Sheet1!C120</f>
        <v>1</v>
      </c>
      <c r="O122" s="1095"/>
      <c r="P122" s="1082"/>
      <c r="Q122" s="1091"/>
      <c r="R122" s="1094">
        <f>'CDM Activity'!C170</f>
        <v>351614.64966804755</v>
      </c>
      <c r="S122" s="105"/>
      <c r="T122" s="105"/>
      <c r="U122" s="105"/>
      <c r="V122" s="1092"/>
      <c r="W122" s="1093">
        <f>[30]GDP!D145</f>
        <v>114.30058073822906</v>
      </c>
      <c r="X122" s="1097">
        <f>'[30]Customer Count'!L141</f>
        <v>5858.2500000000027</v>
      </c>
      <c r="Y122" s="1099"/>
      <c r="Z122" s="375"/>
      <c r="AA122"/>
      <c r="AB122"/>
      <c r="AC122"/>
      <c r="AD122"/>
      <c r="AE122"/>
      <c r="AF122"/>
      <c r="AG122"/>
      <c r="AH122"/>
      <c r="AI122"/>
      <c r="AJ122" s="107"/>
      <c r="AK122" s="88"/>
      <c r="AL122" s="88"/>
      <c r="AM122" s="88"/>
      <c r="AN122" s="88"/>
      <c r="AO122" s="88"/>
      <c r="AP122" s="88"/>
      <c r="AQ122" s="88"/>
      <c r="AR122" s="88"/>
      <c r="AS122" s="88"/>
    </row>
    <row r="123" spans="2:45">
      <c r="B123" s="100">
        <f t="shared" si="6"/>
        <v>41943</v>
      </c>
      <c r="C123" s="139">
        <f>[21]Sheet1!C69</f>
        <v>8663323</v>
      </c>
      <c r="D123" s="111"/>
      <c r="E123" s="108">
        <f>[21]Sheet1!D69</f>
        <v>7439</v>
      </c>
      <c r="F123" s="111"/>
      <c r="G123" s="112"/>
      <c r="H123" s="110">
        <f t="shared" si="7"/>
        <v>8670762</v>
      </c>
      <c r="I123" s="369"/>
      <c r="J123" s="214">
        <f>'HDD &amp; CDD'!U15</f>
        <v>257.90000000000003</v>
      </c>
      <c r="K123" s="214">
        <f>'HDD &amp; CDD'!U33</f>
        <v>3.1</v>
      </c>
      <c r="L123" s="485">
        <f t="shared" si="5"/>
        <v>31</v>
      </c>
      <c r="M123" s="214">
        <v>1</v>
      </c>
      <c r="N123" s="485">
        <f>[22]Sheet1!C121</f>
        <v>1</v>
      </c>
      <c r="O123" s="1095"/>
      <c r="P123" s="1082"/>
      <c r="Q123" s="1091"/>
      <c r="R123" s="1094">
        <f>'CDM Activity'!C171</f>
        <v>357646.83052475395</v>
      </c>
      <c r="S123" s="105"/>
      <c r="T123" s="105"/>
      <c r="U123" s="105"/>
      <c r="V123" s="1092"/>
      <c r="W123" s="1093">
        <f>[30]GDP!D146</f>
        <v>114.47999952881318</v>
      </c>
      <c r="X123" s="1097">
        <f>'[30]Customer Count'!L142</f>
        <v>5858.1666666666697</v>
      </c>
      <c r="Y123" s="1099"/>
      <c r="Z123" s="375"/>
      <c r="AA123"/>
      <c r="AB123"/>
      <c r="AC123"/>
      <c r="AD123"/>
      <c r="AE123"/>
      <c r="AF123"/>
      <c r="AG123"/>
      <c r="AH123"/>
      <c r="AI123"/>
      <c r="AJ123" s="107"/>
      <c r="AK123" s="88"/>
      <c r="AL123" s="88"/>
      <c r="AM123" s="88"/>
      <c r="AN123" s="88"/>
      <c r="AO123" s="88"/>
      <c r="AP123" s="88"/>
      <c r="AQ123" s="88"/>
      <c r="AR123" s="88"/>
      <c r="AS123" s="88"/>
    </row>
    <row r="124" spans="2:45">
      <c r="B124" s="100">
        <f t="shared" si="6"/>
        <v>41973</v>
      </c>
      <c r="C124" s="139">
        <f>[21]Sheet1!C70</f>
        <v>9594308</v>
      </c>
      <c r="D124" s="111"/>
      <c r="E124" s="108">
        <f>[21]Sheet1!D70</f>
        <v>4365</v>
      </c>
      <c r="F124" s="111"/>
      <c r="G124" s="112"/>
      <c r="H124" s="110">
        <f t="shared" si="7"/>
        <v>9598673</v>
      </c>
      <c r="I124" s="369"/>
      <c r="J124" s="214">
        <f>'HDD &amp; CDD'!U16</f>
        <v>510.6</v>
      </c>
      <c r="K124" s="214">
        <f>'HDD &amp; CDD'!U34</f>
        <v>0</v>
      </c>
      <c r="L124" s="485">
        <f t="shared" si="5"/>
        <v>30</v>
      </c>
      <c r="M124" s="214">
        <v>1</v>
      </c>
      <c r="N124" s="485">
        <f>[22]Sheet1!C122</f>
        <v>0</v>
      </c>
      <c r="O124" s="1095"/>
      <c r="P124" s="1082"/>
      <c r="Q124" s="1091"/>
      <c r="R124" s="1094">
        <f>'CDM Activity'!C172</f>
        <v>363679.01138146035</v>
      </c>
      <c r="S124" s="105"/>
      <c r="T124" s="105"/>
      <c r="U124" s="105"/>
      <c r="V124" s="1092"/>
      <c r="W124" s="1093">
        <f>[30]GDP!D147</f>
        <v>114.65969995490788</v>
      </c>
      <c r="X124" s="1097">
        <f>'[30]Customer Count'!L143</f>
        <v>5858.0833333333367</v>
      </c>
      <c r="Y124" s="1099"/>
      <c r="AJ124" s="107"/>
      <c r="AK124" s="88"/>
      <c r="AL124" s="88"/>
      <c r="AM124" s="88"/>
      <c r="AN124" s="88"/>
      <c r="AO124" s="88"/>
      <c r="AP124" s="88"/>
      <c r="AQ124" s="88"/>
      <c r="AR124" s="88"/>
      <c r="AS124" s="88"/>
    </row>
    <row r="125" spans="2:45">
      <c r="B125" s="955">
        <f t="shared" si="6"/>
        <v>42004</v>
      </c>
      <c r="C125" s="956">
        <f>[21]Sheet1!C71</f>
        <v>10753031</v>
      </c>
      <c r="D125" s="957"/>
      <c r="E125" s="956">
        <f>[21]Sheet1!D71</f>
        <v>2388</v>
      </c>
      <c r="F125" s="957"/>
      <c r="G125" s="958"/>
      <c r="H125" s="956">
        <f t="shared" si="7"/>
        <v>10755419</v>
      </c>
      <c r="I125" s="959"/>
      <c r="J125" s="960">
        <f>'HDD &amp; CDD'!U17</f>
        <v>696.39999999999986</v>
      </c>
      <c r="K125" s="960">
        <f>'HDD &amp; CDD'!U35</f>
        <v>0</v>
      </c>
      <c r="L125" s="961">
        <f t="shared" si="5"/>
        <v>31</v>
      </c>
      <c r="M125" s="960">
        <v>0</v>
      </c>
      <c r="N125" s="961">
        <f>[22]Sheet1!C123</f>
        <v>2</v>
      </c>
      <c r="O125" s="1104"/>
      <c r="P125" s="1103"/>
      <c r="Q125" s="1091"/>
      <c r="R125" s="1094">
        <f>'CDM Activity'!C173</f>
        <v>369711.19223816675</v>
      </c>
      <c r="S125" s="105"/>
      <c r="T125" s="105"/>
      <c r="U125" s="105"/>
      <c r="V125" s="1092"/>
      <c r="W125" s="1093">
        <f>[30]GDP!D148</f>
        <v>114.83968245859928</v>
      </c>
      <c r="X125" s="1097">
        <f>'[30]Customer Count'!L144</f>
        <v>5858</v>
      </c>
      <c r="Y125" s="1099"/>
      <c r="AJ125" s="107"/>
      <c r="AK125" s="88"/>
      <c r="AL125" s="88"/>
      <c r="AM125" s="88"/>
      <c r="AN125" s="88"/>
      <c r="AO125" s="88"/>
      <c r="AP125" s="88"/>
      <c r="AQ125" s="88"/>
      <c r="AR125" s="88"/>
      <c r="AS125" s="88"/>
    </row>
    <row r="126" spans="2:45">
      <c r="B126" s="217">
        <f t="shared" si="6"/>
        <v>42035</v>
      </c>
      <c r="C126" s="124">
        <f>[21]Sheet1!C72</f>
        <v>12178875.15</v>
      </c>
      <c r="D126" s="125"/>
      <c r="E126" s="117">
        <f>[21]Sheet1!D72</f>
        <v>2052</v>
      </c>
      <c r="F126" s="125"/>
      <c r="G126" s="126"/>
      <c r="H126" s="117">
        <f t="shared" si="7"/>
        <v>12180927.15</v>
      </c>
      <c r="S126" s="142"/>
      <c r="T126" s="169"/>
      <c r="U126" s="169"/>
      <c r="V126" s="145"/>
      <c r="W126" s="1081"/>
      <c r="X126" s="1081"/>
      <c r="Y126" s="1099"/>
      <c r="AJ126" s="88"/>
      <c r="AK126" s="88"/>
      <c r="AL126" s="88"/>
      <c r="AM126" s="88"/>
      <c r="AN126" s="88"/>
      <c r="AO126" s="88"/>
      <c r="AP126" s="88"/>
      <c r="AQ126" s="88"/>
      <c r="AR126" s="88"/>
      <c r="AS126" s="88"/>
    </row>
    <row r="127" spans="2:45">
      <c r="B127" s="100">
        <f t="shared" si="6"/>
        <v>42063</v>
      </c>
      <c r="C127" s="108">
        <f>[21]Sheet1!C73</f>
        <v>11445612.18</v>
      </c>
      <c r="D127" s="111"/>
      <c r="E127" s="108">
        <f>[21]Sheet1!D73</f>
        <v>2693</v>
      </c>
      <c r="F127" s="483"/>
      <c r="G127" s="484"/>
      <c r="H127" s="110">
        <f t="shared" si="7"/>
        <v>11448305.18</v>
      </c>
      <c r="S127" s="142"/>
      <c r="T127" s="169"/>
      <c r="U127" s="169"/>
      <c r="V127" s="145"/>
      <c r="Y127" s="1099"/>
      <c r="AJ127" s="88"/>
      <c r="AK127" s="88"/>
      <c r="AL127" s="88"/>
      <c r="AM127" s="88"/>
      <c r="AN127" s="88"/>
      <c r="AO127" s="88"/>
      <c r="AP127" s="88"/>
      <c r="AQ127" s="88"/>
      <c r="AR127" s="88"/>
      <c r="AS127" s="88"/>
    </row>
    <row r="128" spans="2:45">
      <c r="B128" s="100">
        <f t="shared" si="6"/>
        <v>42094</v>
      </c>
      <c r="C128" s="108">
        <f>[21]Sheet1!C74</f>
        <v>10922675.359999999</v>
      </c>
      <c r="D128" s="111"/>
      <c r="E128" s="108">
        <f>[21]Sheet1!D74</f>
        <v>2302</v>
      </c>
      <c r="F128" s="140"/>
      <c r="G128" s="140"/>
      <c r="H128" s="110">
        <f t="shared" si="7"/>
        <v>10924977.359999999</v>
      </c>
      <c r="S128" s="142"/>
      <c r="T128" s="169"/>
      <c r="U128" s="169"/>
      <c r="V128" s="145"/>
      <c r="AJ128" s="88"/>
      <c r="AK128" s="88"/>
      <c r="AL128" s="88"/>
      <c r="AM128" s="88"/>
      <c r="AN128" s="88"/>
      <c r="AO128" s="88"/>
      <c r="AP128" s="88"/>
      <c r="AQ128" s="88"/>
      <c r="AR128" s="88"/>
      <c r="AS128" s="88"/>
    </row>
    <row r="129" spans="2:45">
      <c r="B129" s="100">
        <f t="shared" si="6"/>
        <v>42124</v>
      </c>
      <c r="C129" s="108">
        <f>[21]Sheet1!C75</f>
        <v>8724747</v>
      </c>
      <c r="D129" s="111"/>
      <c r="E129" s="108">
        <f>[21]Sheet1!D75</f>
        <v>7189</v>
      </c>
      <c r="F129" s="140"/>
      <c r="G129" s="140"/>
      <c r="H129" s="110">
        <f t="shared" si="7"/>
        <v>8731936</v>
      </c>
      <c r="S129" s="142"/>
      <c r="T129" s="169"/>
      <c r="U129" s="169"/>
      <c r="V129" s="145"/>
      <c r="AJ129" s="88"/>
      <c r="AK129" s="88"/>
      <c r="AL129" s="88"/>
      <c r="AM129" s="88"/>
      <c r="AN129" s="88"/>
      <c r="AO129" s="88"/>
      <c r="AP129" s="88"/>
      <c r="AQ129" s="88"/>
      <c r="AR129" s="88"/>
      <c r="AS129" s="88"/>
    </row>
    <row r="130" spans="2:45">
      <c r="B130" s="100">
        <f t="shared" si="6"/>
        <v>42155</v>
      </c>
      <c r="C130" s="108">
        <f>[21]Sheet1!C76</f>
        <v>8214245.5700000003</v>
      </c>
      <c r="D130" s="111"/>
      <c r="E130" s="108">
        <f>[21]Sheet1!D76</f>
        <v>8877</v>
      </c>
      <c r="F130" s="140"/>
      <c r="G130" s="140"/>
      <c r="H130" s="110">
        <f t="shared" si="7"/>
        <v>8223122.5700000003</v>
      </c>
      <c r="S130" s="142"/>
      <c r="T130" s="169"/>
      <c r="U130" s="169"/>
      <c r="V130" s="145"/>
      <c r="AJ130" s="88"/>
      <c r="AK130" s="88"/>
      <c r="AL130" s="88"/>
      <c r="AM130" s="88"/>
      <c r="AN130" s="88"/>
      <c r="AO130" s="88"/>
      <c r="AP130" s="88"/>
      <c r="AQ130" s="88"/>
      <c r="AR130" s="88"/>
      <c r="AS130" s="88"/>
    </row>
    <row r="131" spans="2:45">
      <c r="B131" s="100">
        <f t="shared" si="6"/>
        <v>42185</v>
      </c>
      <c r="C131" s="108">
        <f>[21]Sheet1!C77</f>
        <v>8082238.46</v>
      </c>
      <c r="D131" s="111"/>
      <c r="E131" s="108">
        <f>[21]Sheet1!D77</f>
        <v>10420</v>
      </c>
      <c r="F131" s="140"/>
      <c r="G131" s="140"/>
      <c r="H131" s="110">
        <f t="shared" si="7"/>
        <v>8092658.46</v>
      </c>
      <c r="S131" s="142"/>
      <c r="T131" s="169"/>
      <c r="U131" s="169"/>
      <c r="V131" s="145"/>
      <c r="AK131" s="88"/>
      <c r="AL131" s="88"/>
      <c r="AM131" s="88"/>
      <c r="AN131" s="88"/>
      <c r="AO131" s="88"/>
      <c r="AP131" s="88"/>
      <c r="AQ131" s="88"/>
      <c r="AR131" s="88"/>
      <c r="AS131" s="88"/>
    </row>
    <row r="132" spans="2:45">
      <c r="B132" s="100">
        <f t="shared" si="6"/>
        <v>42216</v>
      </c>
      <c r="C132" s="108">
        <f>[21]Sheet1!C78</f>
        <v>8969560.4600000009</v>
      </c>
      <c r="D132" s="111"/>
      <c r="E132" s="108">
        <f>[21]Sheet1!D78</f>
        <v>9244</v>
      </c>
      <c r="F132" s="140"/>
      <c r="G132" s="140"/>
      <c r="H132" s="110">
        <f t="shared" si="7"/>
        <v>8978804.4600000009</v>
      </c>
      <c r="S132" s="142"/>
      <c r="T132" s="169"/>
      <c r="U132" s="169"/>
      <c r="V132" s="145"/>
      <c r="AK132" s="88"/>
      <c r="AL132" s="88"/>
      <c r="AM132" s="88"/>
      <c r="AN132" s="88"/>
      <c r="AO132" s="88"/>
      <c r="AP132" s="88"/>
      <c r="AQ132" s="88"/>
      <c r="AR132" s="88"/>
      <c r="AS132" s="88"/>
    </row>
    <row r="133" spans="2:45">
      <c r="B133" s="100">
        <f t="shared" si="6"/>
        <v>42247</v>
      </c>
      <c r="C133" s="139">
        <f>[21]Sheet1!C79</f>
        <v>8928792.9100000001</v>
      </c>
      <c r="D133" s="111"/>
      <c r="E133" s="108">
        <f>[21]Sheet1!D79</f>
        <v>10629</v>
      </c>
      <c r="F133" s="140"/>
      <c r="G133" s="140"/>
      <c r="H133" s="110">
        <f t="shared" si="7"/>
        <v>8939421.9100000001</v>
      </c>
      <c r="S133" s="142"/>
      <c r="T133" s="169"/>
      <c r="U133" s="169"/>
      <c r="V133" s="145"/>
      <c r="AK133" s="88"/>
      <c r="AL133" s="88"/>
      <c r="AM133" s="88"/>
      <c r="AN133" s="88"/>
      <c r="AO133" s="88"/>
      <c r="AP133" s="88"/>
      <c r="AQ133" s="88"/>
      <c r="AR133" s="88"/>
      <c r="AS133" s="88"/>
    </row>
    <row r="134" spans="2:45">
      <c r="B134" s="100">
        <f t="shared" si="6"/>
        <v>42277</v>
      </c>
      <c r="C134" s="139">
        <f>[21]Sheet1!C80</f>
        <v>8487585.6799999997</v>
      </c>
      <c r="D134" s="111"/>
      <c r="E134" s="108">
        <f>[21]Sheet1!D80</f>
        <v>9115</v>
      </c>
      <c r="F134" s="140"/>
      <c r="G134" s="140"/>
      <c r="H134" s="110">
        <f t="shared" si="7"/>
        <v>8496700.6799999997</v>
      </c>
      <c r="S134" s="142"/>
      <c r="T134" s="169"/>
      <c r="U134" s="169"/>
      <c r="V134" s="145"/>
      <c r="AK134" s="88"/>
      <c r="AL134" s="88"/>
      <c r="AM134" s="88"/>
      <c r="AN134" s="88"/>
      <c r="AO134" s="88"/>
      <c r="AP134" s="88"/>
      <c r="AQ134" s="88"/>
      <c r="AR134" s="88"/>
      <c r="AS134" s="88"/>
    </row>
    <row r="135" spans="2:45">
      <c r="B135" s="100">
        <f t="shared" si="6"/>
        <v>42308</v>
      </c>
      <c r="C135" s="139">
        <f>[21]Sheet1!C81</f>
        <v>8442807.8100000005</v>
      </c>
      <c r="D135" s="111"/>
      <c r="E135" s="108">
        <f>[21]Sheet1!D81</f>
        <v>7694</v>
      </c>
      <c r="F135" s="140"/>
      <c r="G135" s="140"/>
      <c r="H135" s="110">
        <f t="shared" si="7"/>
        <v>8450501.8100000005</v>
      </c>
      <c r="S135" s="142"/>
      <c r="T135" s="169"/>
      <c r="U135" s="169"/>
      <c r="V135" s="145"/>
      <c r="AK135" s="88"/>
      <c r="AL135" s="88"/>
      <c r="AM135" s="88"/>
      <c r="AN135" s="88"/>
      <c r="AO135" s="88"/>
      <c r="AP135" s="88"/>
      <c r="AQ135" s="88"/>
      <c r="AR135" s="88"/>
      <c r="AS135" s="88"/>
    </row>
    <row r="136" spans="2:45">
      <c r="B136" s="100">
        <f>EOMONTH(B135,1)</f>
        <v>42338</v>
      </c>
      <c r="C136" s="139">
        <f>[21]Sheet1!C82</f>
        <v>8788398.0199999996</v>
      </c>
      <c r="D136" s="111"/>
      <c r="E136" s="108">
        <f>[21]Sheet1!D82</f>
        <v>5620</v>
      </c>
      <c r="F136" s="140"/>
      <c r="G136" s="140"/>
      <c r="H136" s="110">
        <f t="shared" si="7"/>
        <v>8794018.0199999996</v>
      </c>
      <c r="S136" s="142"/>
      <c r="T136" s="169"/>
      <c r="U136" s="169"/>
      <c r="V136" s="145"/>
      <c r="AK136" s="88"/>
      <c r="AL136" s="88"/>
      <c r="AM136" s="88"/>
      <c r="AN136" s="88"/>
      <c r="AO136" s="88"/>
      <c r="AP136" s="88"/>
      <c r="AQ136" s="88"/>
      <c r="AR136" s="88"/>
      <c r="AS136" s="88"/>
    </row>
    <row r="137" spans="2:45">
      <c r="B137" s="100">
        <f>EOMONTH(B136,1)</f>
        <v>42369</v>
      </c>
      <c r="C137" s="139">
        <f>[21]Sheet1!C83</f>
        <v>9419775.3499999996</v>
      </c>
      <c r="D137" s="111"/>
      <c r="E137" s="108">
        <f>[21]Sheet1!D83</f>
        <v>3629</v>
      </c>
      <c r="F137" s="140"/>
      <c r="G137" s="140"/>
      <c r="H137" s="110">
        <f t="shared" si="7"/>
        <v>9423404.3499999996</v>
      </c>
      <c r="S137" s="143"/>
      <c r="T137" s="165"/>
      <c r="U137" s="165"/>
      <c r="V137" s="144"/>
      <c r="AK137" s="88"/>
      <c r="AL137" s="88"/>
      <c r="AM137" s="88"/>
      <c r="AN137" s="88"/>
      <c r="AO137" s="88"/>
      <c r="AP137" s="88"/>
      <c r="AQ137" s="88"/>
      <c r="AR137" s="88"/>
      <c r="AS137" s="88"/>
    </row>
    <row r="138" spans="2:45">
      <c r="B138" s="1171">
        <f>EOMONTH(B137,1)</f>
        <v>42400</v>
      </c>
      <c r="C138" s="1172">
        <f>[21]Sheet1!C84</f>
        <v>10989034.470000001</v>
      </c>
      <c r="D138" s="1173"/>
      <c r="E138" s="1172">
        <f>[21]Sheet1!D84</f>
        <v>1660</v>
      </c>
      <c r="F138" s="1174"/>
      <c r="G138" s="1174"/>
      <c r="H138" s="1172">
        <f t="shared" si="7"/>
        <v>10990694.470000001</v>
      </c>
      <c r="S138" s="141"/>
      <c r="T138" s="163"/>
      <c r="U138" s="163"/>
      <c r="V138" s="145"/>
      <c r="AK138" s="88"/>
      <c r="AL138" s="88"/>
      <c r="AM138" s="88"/>
      <c r="AN138" s="88"/>
      <c r="AO138" s="88"/>
      <c r="AP138" s="88"/>
      <c r="AQ138" s="88"/>
      <c r="AR138" s="88"/>
      <c r="AS138" s="88"/>
    </row>
    <row r="139" spans="2:45" ht="14.25">
      <c r="B139" s="152"/>
      <c r="C139" s="153"/>
      <c r="D139" s="154"/>
      <c r="E139" s="149"/>
      <c r="S139" s="142"/>
      <c r="T139" s="169"/>
      <c r="U139" s="169"/>
      <c r="V139" s="145"/>
      <c r="AK139" s="88"/>
      <c r="AL139" s="88"/>
      <c r="AM139" s="88"/>
      <c r="AN139" s="88"/>
      <c r="AO139" s="88"/>
      <c r="AP139" s="88"/>
      <c r="AQ139" s="88"/>
      <c r="AR139" s="88"/>
      <c r="AS139" s="88"/>
    </row>
    <row r="140" spans="2:45" ht="14.25">
      <c r="B140" s="152"/>
      <c r="C140" s="153"/>
      <c r="D140" s="154"/>
      <c r="E140" s="149"/>
      <c r="S140" s="142"/>
      <c r="T140" s="169"/>
      <c r="U140" s="169"/>
      <c r="V140" s="145"/>
      <c r="AK140" s="88"/>
      <c r="AL140" s="88"/>
      <c r="AM140" s="88"/>
      <c r="AN140" s="88"/>
      <c r="AO140" s="88"/>
      <c r="AP140" s="88"/>
      <c r="AQ140" s="88"/>
      <c r="AR140" s="88"/>
      <c r="AS140" s="88"/>
    </row>
    <row r="141" spans="2:45" ht="14.25">
      <c r="B141" s="152"/>
      <c r="C141" s="153"/>
      <c r="D141" s="154"/>
      <c r="E141" s="149"/>
      <c r="S141" s="142"/>
      <c r="T141" s="169"/>
      <c r="U141" s="169"/>
      <c r="V141" s="145"/>
      <c r="AK141" s="88"/>
      <c r="AL141" s="88"/>
      <c r="AM141" s="88"/>
      <c r="AN141" s="88"/>
      <c r="AO141" s="88"/>
      <c r="AP141" s="88"/>
      <c r="AQ141" s="88"/>
      <c r="AR141" s="88"/>
      <c r="AS141" s="88"/>
    </row>
    <row r="142" spans="2:45" ht="14.25">
      <c r="B142" s="152"/>
      <c r="C142" s="153"/>
      <c r="D142" s="154"/>
      <c r="E142" s="149"/>
      <c r="S142" s="142"/>
      <c r="T142" s="169"/>
      <c r="U142" s="169"/>
      <c r="V142" s="145"/>
      <c r="AK142" s="88"/>
      <c r="AL142" s="88"/>
      <c r="AM142" s="88"/>
      <c r="AN142" s="88"/>
      <c r="AO142" s="88"/>
      <c r="AP142" s="88"/>
      <c r="AQ142" s="88"/>
      <c r="AR142" s="88"/>
      <c r="AS142" s="88"/>
    </row>
    <row r="143" spans="2:45" ht="14.25">
      <c r="B143" s="152"/>
      <c r="C143" s="153"/>
      <c r="D143" s="154"/>
      <c r="E143" s="149"/>
      <c r="S143" s="142"/>
      <c r="T143" s="169"/>
      <c r="U143" s="169"/>
      <c r="V143" s="145"/>
      <c r="AK143" s="88"/>
      <c r="AL143" s="88"/>
      <c r="AM143" s="88"/>
      <c r="AN143" s="88"/>
      <c r="AO143" s="88"/>
      <c r="AP143" s="88"/>
      <c r="AQ143" s="88"/>
      <c r="AR143" s="88"/>
      <c r="AS143" s="88"/>
    </row>
    <row r="144" spans="2:45" ht="14.25">
      <c r="B144" s="152"/>
      <c r="C144" s="153"/>
      <c r="D144" s="154"/>
      <c r="E144" s="149"/>
      <c r="S144" s="142"/>
      <c r="T144" s="169"/>
      <c r="U144" s="169"/>
      <c r="V144" s="145"/>
      <c r="AK144" s="88"/>
      <c r="AL144" s="88"/>
      <c r="AM144" s="88"/>
      <c r="AN144" s="88"/>
      <c r="AO144" s="88"/>
      <c r="AP144" s="88"/>
      <c r="AQ144" s="88"/>
      <c r="AR144" s="88"/>
      <c r="AS144" s="88"/>
    </row>
    <row r="145" spans="2:45" ht="14.25">
      <c r="B145" s="152"/>
      <c r="C145" s="153"/>
      <c r="D145" s="154"/>
      <c r="E145" s="149"/>
      <c r="S145" s="142"/>
      <c r="T145" s="169"/>
      <c r="U145" s="169"/>
      <c r="V145" s="145"/>
      <c r="AK145" s="88"/>
      <c r="AL145" s="88"/>
      <c r="AM145" s="88"/>
      <c r="AN145" s="88"/>
      <c r="AO145" s="88"/>
      <c r="AP145" s="88"/>
      <c r="AQ145" s="88"/>
      <c r="AR145" s="88"/>
      <c r="AS145" s="88"/>
    </row>
    <row r="146" spans="2:45" ht="14.25">
      <c r="B146" s="152"/>
      <c r="C146" s="153"/>
      <c r="D146" s="154"/>
      <c r="E146" s="149"/>
      <c r="S146" s="142"/>
      <c r="T146" s="169"/>
      <c r="U146" s="169"/>
      <c r="V146" s="145"/>
      <c r="AK146" s="88"/>
      <c r="AL146" s="88"/>
      <c r="AM146" s="88"/>
      <c r="AN146" s="88"/>
      <c r="AO146" s="88"/>
      <c r="AP146" s="88"/>
      <c r="AQ146" s="88"/>
      <c r="AR146" s="88"/>
      <c r="AS146" s="88"/>
    </row>
    <row r="147" spans="2:45" ht="14.25">
      <c r="B147" s="152"/>
      <c r="C147" s="153"/>
      <c r="D147" s="154"/>
      <c r="E147" s="149"/>
      <c r="S147" s="142"/>
      <c r="T147" s="169"/>
      <c r="U147" s="169"/>
      <c r="V147" s="145"/>
      <c r="AK147" s="88"/>
      <c r="AL147" s="88"/>
      <c r="AM147" s="88"/>
      <c r="AN147" s="88"/>
      <c r="AO147" s="88"/>
      <c r="AP147" s="88"/>
      <c r="AQ147" s="88"/>
      <c r="AR147" s="88"/>
      <c r="AS147" s="88"/>
    </row>
    <row r="148" spans="2:45" ht="14.25">
      <c r="B148" s="152"/>
      <c r="C148" s="153"/>
      <c r="D148" s="154"/>
      <c r="E148" s="149"/>
      <c r="S148" s="142"/>
      <c r="T148" s="169"/>
      <c r="U148" s="169"/>
      <c r="V148" s="145"/>
      <c r="AK148" s="88"/>
      <c r="AL148" s="88"/>
      <c r="AM148" s="88"/>
      <c r="AN148" s="88"/>
      <c r="AO148" s="88"/>
      <c r="AP148" s="88"/>
      <c r="AQ148" s="88"/>
      <c r="AR148" s="88"/>
      <c r="AS148" s="88"/>
    </row>
    <row r="149" spans="2:45" ht="14.25">
      <c r="B149" s="152"/>
      <c r="C149" s="153"/>
      <c r="D149" s="154"/>
      <c r="E149" s="149"/>
      <c r="S149" s="143"/>
      <c r="T149" s="165"/>
      <c r="U149" s="165"/>
      <c r="V149" s="144"/>
      <c r="AK149" s="88"/>
      <c r="AL149" s="88"/>
      <c r="AM149" s="88"/>
      <c r="AN149" s="88"/>
      <c r="AO149" s="88"/>
      <c r="AP149" s="88"/>
      <c r="AQ149" s="88"/>
      <c r="AR149" s="88"/>
      <c r="AS149" s="88"/>
    </row>
    <row r="150" spans="2:45" ht="14.25">
      <c r="B150" s="152"/>
      <c r="C150" s="153"/>
      <c r="D150" s="154"/>
      <c r="E150" s="149"/>
      <c r="AK150" s="88"/>
      <c r="AL150" s="88"/>
      <c r="AM150" s="88"/>
      <c r="AN150" s="88"/>
      <c r="AO150" s="88"/>
      <c r="AP150" s="88"/>
      <c r="AQ150" s="88"/>
      <c r="AR150" s="88"/>
      <c r="AS150" s="88"/>
    </row>
    <row r="151" spans="2:45" ht="14.25">
      <c r="B151" s="152"/>
      <c r="C151" s="153"/>
      <c r="D151" s="154"/>
      <c r="E151" s="149"/>
      <c r="S151" s="137"/>
      <c r="T151" s="137"/>
      <c r="U151" s="137"/>
      <c r="V151" s="137"/>
      <c r="AK151" s="88"/>
      <c r="AL151" s="88"/>
      <c r="AM151" s="88"/>
      <c r="AN151" s="88"/>
      <c r="AO151" s="88"/>
      <c r="AP151" s="88"/>
      <c r="AQ151" s="88"/>
      <c r="AR151" s="88"/>
      <c r="AS151" s="88"/>
    </row>
    <row r="152" spans="2:45" ht="14.25">
      <c r="B152" s="152"/>
      <c r="C152" s="153"/>
      <c r="D152" s="154"/>
      <c r="E152" s="149"/>
      <c r="AK152" s="88"/>
      <c r="AL152" s="88"/>
      <c r="AM152" s="88"/>
      <c r="AN152" s="88"/>
      <c r="AO152" s="88"/>
      <c r="AP152" s="88"/>
      <c r="AQ152" s="88"/>
      <c r="AR152" s="88"/>
      <c r="AS152" s="88"/>
    </row>
    <row r="153" spans="2:45" ht="14.25">
      <c r="B153" s="152"/>
      <c r="C153" s="153"/>
      <c r="D153" s="154"/>
      <c r="E153" s="149"/>
      <c r="AK153" s="88"/>
      <c r="AL153" s="88"/>
      <c r="AM153" s="88"/>
      <c r="AN153" s="88"/>
      <c r="AO153" s="88"/>
      <c r="AP153" s="88"/>
      <c r="AQ153" s="88"/>
      <c r="AR153" s="88"/>
      <c r="AS153" s="88"/>
    </row>
    <row r="154" spans="2:45" ht="14.25">
      <c r="B154" s="152"/>
      <c r="C154" s="153"/>
      <c r="D154" s="154"/>
      <c r="E154" s="149"/>
      <c r="AK154" s="88"/>
      <c r="AL154" s="88"/>
      <c r="AM154" s="88"/>
      <c r="AN154" s="88"/>
      <c r="AO154" s="88"/>
      <c r="AP154" s="88"/>
      <c r="AQ154" s="88"/>
      <c r="AR154" s="88"/>
      <c r="AS154" s="88"/>
    </row>
    <row r="155" spans="2:45" ht="14.25">
      <c r="B155" s="152"/>
      <c r="C155" s="153"/>
      <c r="D155" s="154"/>
      <c r="E155" s="149"/>
    </row>
    <row r="156" spans="2:45" ht="14.25">
      <c r="B156" s="152"/>
      <c r="C156" s="153"/>
      <c r="D156" s="154"/>
      <c r="E156" s="149"/>
    </row>
    <row r="157" spans="2:45" ht="14.25">
      <c r="B157" s="152"/>
      <c r="C157" s="153"/>
      <c r="D157" s="154"/>
      <c r="E157" s="149"/>
    </row>
    <row r="158" spans="2:45" ht="14.25">
      <c r="B158" s="152"/>
      <c r="C158" s="153"/>
      <c r="D158" s="154"/>
      <c r="E158" s="149"/>
    </row>
    <row r="159" spans="2:45" ht="14.25">
      <c r="B159" s="152"/>
      <c r="C159" s="153"/>
      <c r="D159" s="154"/>
      <c r="E159" s="149"/>
    </row>
    <row r="160" spans="2:45" ht="14.25">
      <c r="B160" s="152"/>
      <c r="C160" s="153"/>
      <c r="D160" s="154"/>
      <c r="E160" s="149"/>
    </row>
    <row r="161" spans="2:63" ht="14.25">
      <c r="B161" s="152"/>
      <c r="C161" s="153"/>
      <c r="D161" s="154"/>
      <c r="E161" s="149"/>
    </row>
    <row r="162" spans="2:63" ht="14.25">
      <c r="B162" s="152"/>
      <c r="C162" s="153"/>
      <c r="D162" s="154"/>
      <c r="E162" s="149"/>
      <c r="AZ162" s="79"/>
    </row>
    <row r="163" spans="2:63" ht="14.25">
      <c r="B163" s="152"/>
      <c r="C163" s="153"/>
      <c r="D163" s="154"/>
      <c r="E163" s="149"/>
      <c r="AY163" s="79"/>
      <c r="AZ163" s="79"/>
      <c r="BA163" s="79"/>
      <c r="BB163" s="79"/>
      <c r="BC163" s="79"/>
      <c r="BD163" s="79"/>
      <c r="BE163" s="79"/>
      <c r="BF163" s="79"/>
      <c r="BG163" s="79"/>
      <c r="BH163" s="79"/>
      <c r="BI163" s="79"/>
      <c r="BJ163" s="79"/>
      <c r="BK163" s="79"/>
    </row>
    <row r="164" spans="2:63" s="79" customFormat="1" ht="14.25">
      <c r="B164" s="152"/>
      <c r="C164" s="153"/>
      <c r="D164" s="154"/>
      <c r="E164" s="149"/>
      <c r="I164" s="149"/>
      <c r="J164" s="81"/>
      <c r="K164" s="81"/>
      <c r="L164" s="81"/>
      <c r="M164" s="81"/>
      <c r="N164" s="81"/>
      <c r="O164" s="81"/>
      <c r="P164" s="81"/>
      <c r="Q164" s="1083"/>
      <c r="R164" s="81"/>
      <c r="S164" s="81"/>
      <c r="T164" s="81"/>
      <c r="U164" s="81"/>
      <c r="V164" s="81"/>
      <c r="W164" s="81"/>
      <c r="X164" s="81"/>
      <c r="Y164" s="81"/>
      <c r="Z164" s="82"/>
      <c r="AA164" s="82"/>
      <c r="AB164" s="82"/>
      <c r="AC164" s="82"/>
      <c r="AD164" s="82"/>
      <c r="AE164" s="82"/>
      <c r="AF164" s="82"/>
      <c r="AG164" s="82"/>
      <c r="AH164" s="82"/>
      <c r="AI164" s="82"/>
      <c r="AJ164" s="82"/>
      <c r="AK164" s="82"/>
      <c r="AL164" s="82"/>
      <c r="AM164" s="82"/>
      <c r="AN164" s="82"/>
      <c r="AO164" s="82"/>
      <c r="AP164" s="82"/>
      <c r="AQ164" s="82"/>
      <c r="AR164" s="82"/>
      <c r="AS164" s="82"/>
      <c r="AT164" s="82"/>
      <c r="AU164" s="82"/>
      <c r="AV164" s="82"/>
      <c r="AW164" s="82"/>
      <c r="AX164" s="82"/>
    </row>
    <row r="165" spans="2:63" s="79" customFormat="1" ht="14.25">
      <c r="B165" s="152"/>
      <c r="C165" s="153"/>
      <c r="D165" s="154"/>
      <c r="E165" s="149"/>
      <c r="I165" s="149"/>
      <c r="J165" s="81"/>
      <c r="K165" s="81"/>
      <c r="L165" s="81"/>
      <c r="M165" s="81"/>
      <c r="N165" s="81"/>
      <c r="O165" s="81"/>
      <c r="P165" s="81"/>
      <c r="Q165" s="1083"/>
      <c r="R165" s="81"/>
      <c r="S165" s="81"/>
      <c r="T165" s="81"/>
      <c r="U165" s="81"/>
      <c r="V165" s="81"/>
      <c r="W165" s="81"/>
      <c r="X165" s="81"/>
      <c r="Y165" s="81"/>
      <c r="Z165" s="82"/>
      <c r="AA165" s="82"/>
      <c r="AB165" s="82"/>
      <c r="AC165" s="82"/>
      <c r="AD165" s="82"/>
      <c r="AE165" s="82"/>
      <c r="AF165" s="82"/>
      <c r="AG165" s="82"/>
      <c r="AH165" s="82"/>
      <c r="AI165" s="82"/>
      <c r="AJ165" s="82"/>
      <c r="AK165" s="82"/>
      <c r="AL165" s="82"/>
      <c r="AM165" s="82"/>
      <c r="AN165" s="82"/>
      <c r="AO165" s="82"/>
      <c r="AP165" s="82"/>
      <c r="AQ165" s="82"/>
      <c r="AR165" s="82"/>
      <c r="AS165" s="82"/>
      <c r="AT165" s="82"/>
      <c r="AU165" s="82"/>
      <c r="AV165" s="82"/>
      <c r="AW165" s="82"/>
      <c r="AX165" s="82"/>
    </row>
    <row r="166" spans="2:63" s="79" customFormat="1" ht="14.25">
      <c r="B166" s="152"/>
      <c r="C166" s="153"/>
      <c r="D166" s="154"/>
      <c r="E166" s="149"/>
      <c r="I166" s="149"/>
      <c r="J166" s="590"/>
      <c r="K166" s="81"/>
      <c r="L166" s="81"/>
      <c r="M166" s="81"/>
      <c r="N166" s="81"/>
      <c r="O166" s="81"/>
      <c r="P166" s="81"/>
      <c r="Q166" s="1083"/>
      <c r="S166" s="81"/>
      <c r="T166" s="81"/>
      <c r="U166" s="81"/>
      <c r="V166" s="81"/>
      <c r="W166" s="81"/>
      <c r="X166" s="81"/>
      <c r="Y166" s="81"/>
      <c r="Z166" s="82"/>
      <c r="AA166" s="82"/>
      <c r="AB166" s="82"/>
      <c r="AC166" s="82"/>
      <c r="AD166" s="82"/>
      <c r="AE166" s="82"/>
      <c r="AF166" s="82"/>
      <c r="AG166" s="82"/>
      <c r="AH166" s="82"/>
      <c r="AI166" s="82"/>
      <c r="AJ166" s="82"/>
      <c r="AK166" s="82"/>
      <c r="AL166" s="82"/>
      <c r="AM166" s="82"/>
      <c r="AN166" s="82"/>
      <c r="AO166" s="82"/>
      <c r="AP166" s="82"/>
      <c r="AQ166" s="82"/>
      <c r="AR166" s="82"/>
      <c r="AS166" s="82"/>
      <c r="AT166" s="82"/>
      <c r="AU166" s="82"/>
      <c r="AV166" s="82"/>
      <c r="AW166" s="82"/>
      <c r="AX166" s="82"/>
    </row>
    <row r="167" spans="2:63" s="79" customFormat="1" ht="14.25">
      <c r="B167" s="152"/>
      <c r="C167" s="153"/>
      <c r="D167" s="154"/>
      <c r="E167" s="149"/>
      <c r="I167" s="149"/>
      <c r="J167" s="590"/>
      <c r="K167" s="81"/>
      <c r="L167" s="81"/>
      <c r="M167" s="81"/>
      <c r="N167" s="81"/>
      <c r="O167" s="81"/>
      <c r="P167" s="81"/>
      <c r="Q167" s="1083"/>
      <c r="R167" s="81"/>
      <c r="S167" s="81"/>
      <c r="T167" s="81"/>
      <c r="U167" s="81"/>
      <c r="V167" s="81"/>
      <c r="W167" s="81"/>
      <c r="X167" s="81"/>
      <c r="Y167" s="81"/>
      <c r="Z167" s="82"/>
      <c r="AA167" s="82"/>
      <c r="AB167" s="82"/>
      <c r="AC167" s="82"/>
      <c r="AD167" s="82"/>
      <c r="AE167" s="82"/>
      <c r="AF167" s="82"/>
      <c r="AG167" s="82"/>
      <c r="AH167" s="82"/>
      <c r="AI167" s="82"/>
      <c r="AJ167" s="82"/>
      <c r="AK167" s="82"/>
      <c r="AL167" s="82"/>
      <c r="AM167" s="82"/>
      <c r="AN167" s="82"/>
      <c r="AO167" s="82"/>
      <c r="AP167" s="82"/>
      <c r="AQ167" s="82"/>
      <c r="AR167" s="82"/>
      <c r="AS167" s="82"/>
      <c r="AT167" s="82"/>
      <c r="AU167" s="82"/>
      <c r="AZ167" s="82"/>
    </row>
    <row r="168" spans="2:63" s="79" customFormat="1">
      <c r="B168" s="151"/>
      <c r="C168" s="150"/>
      <c r="D168" s="151"/>
      <c r="E168" s="149"/>
      <c r="I168" s="149"/>
      <c r="J168" s="81"/>
      <c r="K168" s="81"/>
      <c r="L168" s="81"/>
      <c r="M168" s="81"/>
      <c r="N168" s="81"/>
      <c r="O168" s="81"/>
      <c r="P168" s="81"/>
      <c r="Q168" s="1083"/>
      <c r="R168" s="81"/>
      <c r="S168" s="81"/>
      <c r="T168" s="81"/>
      <c r="U168" s="81"/>
      <c r="V168" s="81"/>
      <c r="W168" s="81"/>
      <c r="X168" s="81"/>
      <c r="Y168" s="81"/>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Y168" s="82"/>
      <c r="AZ168" s="82"/>
      <c r="BA168" s="82"/>
      <c r="BB168" s="82"/>
      <c r="BC168" s="82"/>
      <c r="BD168" s="82"/>
      <c r="BE168" s="82"/>
      <c r="BF168" s="82"/>
      <c r="BG168" s="82"/>
      <c r="BH168" s="82"/>
      <c r="BI168" s="82"/>
      <c r="BJ168" s="82"/>
      <c r="BK168" s="82"/>
    </row>
    <row r="169" spans="2:63">
      <c r="AV169" s="79"/>
      <c r="AW169" s="79"/>
      <c r="AX169" s="79"/>
    </row>
    <row r="170" spans="2:63">
      <c r="AV170" s="79"/>
      <c r="AW170" s="79"/>
      <c r="AX170" s="79"/>
    </row>
    <row r="171" spans="2:63">
      <c r="AV171" s="79"/>
      <c r="AW171" s="79"/>
      <c r="AX171" s="79"/>
    </row>
  </sheetData>
  <pageMargins left="0.7" right="0.7" top="0.75" bottom="0.75" header="0.3" footer="0.3"/>
  <pageSetup orientation="portrait" r:id="rId1"/>
  <legacyDrawing r:id="rId2"/>
</worksheet>
</file>

<file path=xl/worksheets/sheet15.xml><?xml version="1.0" encoding="utf-8"?>
<worksheet xmlns="http://schemas.openxmlformats.org/spreadsheetml/2006/main" xmlns:r="http://schemas.openxmlformats.org/officeDocument/2006/relationships">
  <sheetPr>
    <pageSetUpPr fitToPage="1"/>
  </sheetPr>
  <dimension ref="B1:U99"/>
  <sheetViews>
    <sheetView topLeftCell="A7" zoomScale="110" zoomScaleNormal="110" workbookViewId="0">
      <selection activeCell="J13" sqref="J13"/>
    </sheetView>
  </sheetViews>
  <sheetFormatPr defaultRowHeight="12.75"/>
  <cols>
    <col min="1" max="1" width="1" customWidth="1"/>
    <col min="2" max="2" width="31.42578125" bestFit="1" customWidth="1"/>
    <col min="3" max="3" width="14.140625" customWidth="1"/>
    <col min="4" max="4" width="11.7109375" customWidth="1"/>
    <col min="5" max="5" width="13.42578125" customWidth="1"/>
    <col min="6" max="6" width="10" customWidth="1"/>
    <col min="7" max="7" width="12.7109375" customWidth="1"/>
    <col min="8" max="8" width="2.42578125" customWidth="1"/>
    <col min="9" max="9" width="5" bestFit="1" customWidth="1"/>
    <col min="11" max="11" width="17.5703125" customWidth="1"/>
    <col min="12" max="12" width="10.28515625" customWidth="1"/>
  </cols>
  <sheetData>
    <row r="1" spans="2:12" ht="13.5" thickBot="1">
      <c r="B1" s="1245" t="s">
        <v>117</v>
      </c>
      <c r="C1" s="1246"/>
      <c r="D1" s="1246"/>
      <c r="E1" s="1247"/>
    </row>
    <row r="2" spans="2:12">
      <c r="B2" s="581"/>
      <c r="C2" s="581"/>
      <c r="D2" s="581"/>
      <c r="E2" s="581"/>
    </row>
    <row r="3" spans="2:12">
      <c r="B3" s="76" t="s">
        <v>118</v>
      </c>
      <c r="C3" s="26" t="s">
        <v>64</v>
      </c>
      <c r="D3" s="26" t="s">
        <v>65</v>
      </c>
      <c r="E3" s="26" t="s">
        <v>361</v>
      </c>
      <c r="F3" s="555"/>
      <c r="J3" s="52"/>
    </row>
    <row r="4" spans="2:12">
      <c r="B4" s="578" t="s">
        <v>1</v>
      </c>
      <c r="C4" s="30">
        <f>Summary!L16</f>
        <v>40938310.960000001</v>
      </c>
      <c r="D4" s="31"/>
      <c r="E4" s="474">
        <f>[31]Summary!I6</f>
        <v>0.95087149535883053</v>
      </c>
      <c r="F4" s="475"/>
    </row>
    <row r="5" spans="2:12">
      <c r="B5" s="579" t="s">
        <v>116</v>
      </c>
      <c r="C5" s="30">
        <f>Summary!L20</f>
        <v>20653133.002</v>
      </c>
      <c r="D5" s="31"/>
      <c r="E5" s="474">
        <f>[31]Summary!I7</f>
        <v>0.83068873868643145</v>
      </c>
      <c r="F5" s="475"/>
      <c r="G5" s="52" t="s">
        <v>324</v>
      </c>
    </row>
    <row r="6" spans="2:12">
      <c r="B6" s="579" t="s">
        <v>299</v>
      </c>
      <c r="C6" s="30">
        <f>Summary!L24</f>
        <v>40918077</v>
      </c>
      <c r="D6" s="32">
        <f>Summary!L25</f>
        <v>125734.44</v>
      </c>
      <c r="E6" s="474">
        <f>[31]Summary!I8</f>
        <v>4.9836164099305059E-2</v>
      </c>
      <c r="F6" s="475"/>
      <c r="G6" s="52" t="s">
        <v>330</v>
      </c>
    </row>
    <row r="7" spans="2:12">
      <c r="B7" s="579" t="s">
        <v>215</v>
      </c>
      <c r="C7" s="30">
        <f>Summary!L29</f>
        <v>1052678</v>
      </c>
      <c r="D7" s="32">
        <f>Summary!L30</f>
        <v>2861.6</v>
      </c>
      <c r="E7" s="474">
        <f>[31]Summary!I9</f>
        <v>0.14403169820210929</v>
      </c>
      <c r="F7" s="577"/>
      <c r="L7" s="33"/>
    </row>
    <row r="8" spans="2:12">
      <c r="B8" s="579" t="s">
        <v>181</v>
      </c>
      <c r="C8" s="30">
        <f>Summary!L34</f>
        <v>109502</v>
      </c>
      <c r="D8" s="32">
        <f>Summary!L35</f>
        <v>302</v>
      </c>
      <c r="E8" s="474">
        <f>[31]Summary!I10</f>
        <v>0.97585432229548319</v>
      </c>
      <c r="F8" s="475"/>
    </row>
    <row r="9" spans="2:12">
      <c r="B9" s="580" t="s">
        <v>2</v>
      </c>
      <c r="C9" s="30">
        <f>Summary!L39</f>
        <v>543571</v>
      </c>
      <c r="D9" s="32"/>
      <c r="E9" s="474">
        <f>[31]Summary!I11</f>
        <v>0.90505012224713977</v>
      </c>
      <c r="F9" s="475"/>
    </row>
    <row r="10" spans="2:12">
      <c r="B10" s="34" t="s">
        <v>66</v>
      </c>
      <c r="C10" s="35">
        <f>SUM(C4:C9)</f>
        <v>104215271.962</v>
      </c>
      <c r="D10" s="35">
        <f>SUM(D4:D9)</f>
        <v>128898.04000000001</v>
      </c>
      <c r="E10" s="35"/>
      <c r="I10" s="21"/>
    </row>
    <row r="11" spans="2:12">
      <c r="C11" s="21"/>
      <c r="D11" s="21"/>
    </row>
    <row r="13" spans="2:12">
      <c r="B13" s="63" t="s">
        <v>67</v>
      </c>
      <c r="C13" s="1248" t="s">
        <v>119</v>
      </c>
      <c r="D13" s="1250" t="s">
        <v>120</v>
      </c>
      <c r="E13" s="1252">
        <v>2015</v>
      </c>
      <c r="F13" s="1253"/>
      <c r="G13" s="1254"/>
    </row>
    <row r="14" spans="2:12">
      <c r="B14" s="64" t="s">
        <v>68</v>
      </c>
      <c r="C14" s="1249"/>
      <c r="D14" s="1251"/>
      <c r="E14" s="1243"/>
      <c r="F14" s="1241"/>
      <c r="G14" s="1242"/>
    </row>
    <row r="15" spans="2:12">
      <c r="B15" s="24" t="str">
        <f t="shared" ref="B15:B20" si="0">B4</f>
        <v xml:space="preserve">Residential </v>
      </c>
      <c r="C15" s="30">
        <f t="shared" ref="C15:C20" si="1">C4*E4</f>
        <v>38927072.960000001</v>
      </c>
      <c r="D15" s="444">
        <f>'Rate Class Energy Model '!C17</f>
        <v>1.0819000000000001</v>
      </c>
      <c r="E15" s="37">
        <f t="shared" ref="E15:E20" si="2">C15*D15</f>
        <v>42115200.235424004</v>
      </c>
      <c r="F15" s="480">
        <f>'2017 COP Forecast'!F15</f>
        <v>0.11239</v>
      </c>
      <c r="G15" s="38">
        <f t="shared" ref="G15:G20" si="3">E15*F15</f>
        <v>4733327.3544593044</v>
      </c>
    </row>
    <row r="16" spans="2:12">
      <c r="B16" s="24" t="str">
        <f t="shared" si="0"/>
        <v>General Service &lt; 50 kW</v>
      </c>
      <c r="C16" s="30">
        <f t="shared" si="1"/>
        <v>17156325.003354494</v>
      </c>
      <c r="D16" s="444">
        <f>D15</f>
        <v>1.0819000000000001</v>
      </c>
      <c r="E16" s="37">
        <f t="shared" si="2"/>
        <v>18561428.021129228</v>
      </c>
      <c r="F16" s="462">
        <f>F15</f>
        <v>0.11239</v>
      </c>
      <c r="G16" s="38">
        <f t="shared" si="3"/>
        <v>2086118.895294714</v>
      </c>
    </row>
    <row r="17" spans="2:7">
      <c r="B17" s="24" t="str">
        <f t="shared" si="0"/>
        <v>General Service 50 to 4,999 kW</v>
      </c>
      <c r="C17" s="30">
        <f t="shared" si="1"/>
        <v>2039200</v>
      </c>
      <c r="D17" s="444">
        <f>D16</f>
        <v>1.0819000000000001</v>
      </c>
      <c r="E17" s="37">
        <f t="shared" si="2"/>
        <v>2206210.48</v>
      </c>
      <c r="F17" s="462">
        <f>F16</f>
        <v>0.11239</v>
      </c>
      <c r="G17" s="38">
        <f t="shared" si="3"/>
        <v>247955.99584720001</v>
      </c>
    </row>
    <row r="18" spans="2:7">
      <c r="B18" s="24" t="str">
        <f t="shared" si="0"/>
        <v xml:space="preserve">Street Lights </v>
      </c>
      <c r="C18" s="30">
        <f t="shared" si="1"/>
        <v>151619</v>
      </c>
      <c r="D18" s="444">
        <f>D17</f>
        <v>1.0819000000000001</v>
      </c>
      <c r="E18" s="37">
        <f t="shared" si="2"/>
        <v>164036.59610000002</v>
      </c>
      <c r="F18" s="462">
        <f>F17</f>
        <v>0.11239</v>
      </c>
      <c r="G18" s="38">
        <f t="shared" si="3"/>
        <v>18436.073035679005</v>
      </c>
    </row>
    <row r="19" spans="2:7">
      <c r="B19" s="24" t="str">
        <f t="shared" si="0"/>
        <v>Sentinel Lights</v>
      </c>
      <c r="C19" s="30">
        <f t="shared" si="1"/>
        <v>106858</v>
      </c>
      <c r="D19" s="444">
        <f>D18</f>
        <v>1.0819000000000001</v>
      </c>
      <c r="E19" s="37">
        <f t="shared" si="2"/>
        <v>115609.67020000001</v>
      </c>
      <c r="F19" s="462">
        <f>F18</f>
        <v>0.11239</v>
      </c>
      <c r="G19" s="38">
        <f t="shared" si="3"/>
        <v>12993.370833778001</v>
      </c>
    </row>
    <row r="20" spans="2:7">
      <c r="B20" s="24" t="str">
        <f t="shared" si="0"/>
        <v xml:space="preserve">Unmetered Loads </v>
      </c>
      <c r="C20" s="30">
        <f t="shared" si="1"/>
        <v>491959</v>
      </c>
      <c r="D20" s="444">
        <f>D19</f>
        <v>1.0819000000000001</v>
      </c>
      <c r="E20" s="37">
        <f t="shared" si="2"/>
        <v>532250.44209999999</v>
      </c>
      <c r="F20" s="462">
        <f>F19</f>
        <v>0.11239</v>
      </c>
      <c r="G20" s="38">
        <f t="shared" si="3"/>
        <v>59819.627187619</v>
      </c>
    </row>
    <row r="21" spans="2:7">
      <c r="B21" s="34" t="s">
        <v>66</v>
      </c>
      <c r="C21" s="35">
        <f>SUM(C15:C20)</f>
        <v>58873033.963354498</v>
      </c>
      <c r="D21" s="36"/>
      <c r="E21" s="35">
        <f>SUM(E15:E20)</f>
        <v>63694735.444953233</v>
      </c>
      <c r="F21" s="39"/>
      <c r="G21" s="40">
        <f>SUM(G15:G20)</f>
        <v>7158651.3166582938</v>
      </c>
    </row>
    <row r="22" spans="2:7">
      <c r="B22" s="41"/>
      <c r="C22" s="42"/>
      <c r="D22" s="43"/>
      <c r="E22" s="42"/>
      <c r="F22" s="44"/>
      <c r="G22" s="45"/>
    </row>
    <row r="23" spans="2:7">
      <c r="B23" s="63" t="s">
        <v>69</v>
      </c>
      <c r="C23" s="1248" t="s">
        <v>119</v>
      </c>
      <c r="D23" s="1250" t="s">
        <v>120</v>
      </c>
      <c r="E23" s="1252">
        <v>2015</v>
      </c>
      <c r="F23" s="1253"/>
      <c r="G23" s="1254"/>
    </row>
    <row r="24" spans="2:7">
      <c r="B24" s="64" t="s">
        <v>70</v>
      </c>
      <c r="C24" s="1249"/>
      <c r="D24" s="1251"/>
      <c r="E24" s="1243"/>
      <c r="F24" s="1241"/>
      <c r="G24" s="1242"/>
    </row>
    <row r="25" spans="2:7">
      <c r="B25" s="24" t="str">
        <f t="shared" ref="B25:B30" si="4">B15</f>
        <v xml:space="preserve">Residential </v>
      </c>
      <c r="C25" s="30">
        <f t="shared" ref="C25:C30" si="5">C4-C15</f>
        <v>2011238</v>
      </c>
      <c r="D25" s="31">
        <f t="shared" ref="D25:D30" si="6">D15</f>
        <v>1.0819000000000001</v>
      </c>
      <c r="E25" s="37">
        <f t="shared" ref="E25:E30" si="7">C25*D25</f>
        <v>2175958.3922000001</v>
      </c>
      <c r="F25" s="480">
        <f>'2017 COP Forecast'!F25</f>
        <v>0.10709</v>
      </c>
      <c r="G25" s="38">
        <f t="shared" ref="G25:G30" si="8">E25*F25</f>
        <v>233023.38422069803</v>
      </c>
    </row>
    <row r="26" spans="2:7">
      <c r="B26" s="24" t="str">
        <f t="shared" si="4"/>
        <v>General Service &lt; 50 kW</v>
      </c>
      <c r="C26" s="30">
        <f t="shared" si="5"/>
        <v>3496807.9986455068</v>
      </c>
      <c r="D26" s="31">
        <f t="shared" si="6"/>
        <v>1.0819000000000001</v>
      </c>
      <c r="E26" s="37">
        <f t="shared" si="7"/>
        <v>3783196.573734574</v>
      </c>
      <c r="F26" s="462">
        <f>F25</f>
        <v>0.10709</v>
      </c>
      <c r="G26" s="38">
        <f t="shared" si="8"/>
        <v>405142.52108123555</v>
      </c>
    </row>
    <row r="27" spans="2:7">
      <c r="B27" s="24" t="str">
        <f t="shared" si="4"/>
        <v>General Service 50 to 4,999 kW</v>
      </c>
      <c r="C27" s="30">
        <f t="shared" si="5"/>
        <v>38878877</v>
      </c>
      <c r="D27" s="31">
        <f t="shared" si="6"/>
        <v>1.0819000000000001</v>
      </c>
      <c r="E27" s="37">
        <f t="shared" si="7"/>
        <v>42063057.026300006</v>
      </c>
      <c r="F27" s="462">
        <f>F26</f>
        <v>0.10709</v>
      </c>
      <c r="G27" s="38">
        <f t="shared" si="8"/>
        <v>4504532.7769464673</v>
      </c>
    </row>
    <row r="28" spans="2:7">
      <c r="B28" s="24" t="str">
        <f t="shared" si="4"/>
        <v xml:space="preserve">Street Lights </v>
      </c>
      <c r="C28" s="30">
        <f t="shared" si="5"/>
        <v>901059</v>
      </c>
      <c r="D28" s="31">
        <f t="shared" si="6"/>
        <v>1.0819000000000001</v>
      </c>
      <c r="E28" s="37">
        <f t="shared" si="7"/>
        <v>974855.73210000002</v>
      </c>
      <c r="F28" s="462">
        <f>F27</f>
        <v>0.10709</v>
      </c>
      <c r="G28" s="38">
        <f t="shared" si="8"/>
        <v>104397.30035058901</v>
      </c>
    </row>
    <row r="29" spans="2:7">
      <c r="B29" s="24" t="str">
        <f t="shared" si="4"/>
        <v>Sentinel Lights</v>
      </c>
      <c r="C29" s="30">
        <f t="shared" si="5"/>
        <v>2644</v>
      </c>
      <c r="D29" s="31">
        <f t="shared" si="6"/>
        <v>1.0819000000000001</v>
      </c>
      <c r="E29" s="37">
        <f t="shared" si="7"/>
        <v>2860.5436000000004</v>
      </c>
      <c r="F29" s="462">
        <f>F28</f>
        <v>0.10709</v>
      </c>
      <c r="G29" s="38">
        <f t="shared" si="8"/>
        <v>306.33561412400007</v>
      </c>
    </row>
    <row r="30" spans="2:7">
      <c r="B30" s="24" t="str">
        <f t="shared" si="4"/>
        <v xml:space="preserve">Unmetered Loads </v>
      </c>
      <c r="C30" s="30">
        <f t="shared" si="5"/>
        <v>51612</v>
      </c>
      <c r="D30" s="31">
        <f t="shared" si="6"/>
        <v>1.0819000000000001</v>
      </c>
      <c r="E30" s="37">
        <f t="shared" si="7"/>
        <v>55839.022800000006</v>
      </c>
      <c r="F30" s="462">
        <f>F29</f>
        <v>0.10709</v>
      </c>
      <c r="G30" s="38">
        <f t="shared" si="8"/>
        <v>5979.8009516520005</v>
      </c>
    </row>
    <row r="31" spans="2:7">
      <c r="B31" s="34" t="s">
        <v>66</v>
      </c>
      <c r="C31" s="35">
        <f>SUM(C25:C30)</f>
        <v>45342237.998645507</v>
      </c>
      <c r="D31" s="36"/>
      <c r="E31" s="35">
        <f>SUM(E25:E30)</f>
        <v>49055767.290734582</v>
      </c>
      <c r="F31" s="39"/>
      <c r="G31" s="40">
        <f>SUM(G25:G30)</f>
        <v>5253382.1191647658</v>
      </c>
    </row>
    <row r="33" spans="2:21">
      <c r="B33" s="65" t="s">
        <v>71</v>
      </c>
      <c r="C33" s="66"/>
      <c r="D33" s="67" t="s">
        <v>72</v>
      </c>
      <c r="E33" s="68"/>
      <c r="F33" s="69"/>
      <c r="G33" s="66"/>
    </row>
    <row r="34" spans="2:21">
      <c r="B34" s="64" t="s">
        <v>70</v>
      </c>
      <c r="C34" s="78"/>
      <c r="D34" s="70" t="s">
        <v>73</v>
      </c>
      <c r="E34" s="1243">
        <v>2015</v>
      </c>
      <c r="F34" s="1241"/>
      <c r="G34" s="1242"/>
    </row>
    <row r="35" spans="2:21">
      <c r="B35" s="46" t="str">
        <f t="shared" ref="B35:B40" si="9">B25</f>
        <v xml:space="preserve">Residential </v>
      </c>
      <c r="C35" s="37"/>
      <c r="D35" s="47" t="s">
        <v>64</v>
      </c>
      <c r="E35" s="37">
        <f>E15+E25</f>
        <v>44291158.627624005</v>
      </c>
      <c r="F35" s="463">
        <v>8.2000000000000007E-3</v>
      </c>
      <c r="G35" s="38">
        <f t="shared" ref="G35:G40" si="10">E35*F35</f>
        <v>363187.50074651686</v>
      </c>
      <c r="J35" s="52" t="s">
        <v>285</v>
      </c>
      <c r="M35" s="476" t="s">
        <v>284</v>
      </c>
      <c r="N35" s="477"/>
    </row>
    <row r="36" spans="2:21">
      <c r="B36" s="46" t="str">
        <f t="shared" si="9"/>
        <v>General Service &lt; 50 kW</v>
      </c>
      <c r="C36" s="37"/>
      <c r="D36" s="47" t="s">
        <v>64</v>
      </c>
      <c r="E36" s="37">
        <f>E16+E26</f>
        <v>22344624.594863802</v>
      </c>
      <c r="F36" s="463">
        <v>7.4999999999999997E-3</v>
      </c>
      <c r="G36" s="38">
        <f t="shared" si="10"/>
        <v>167584.68446147852</v>
      </c>
      <c r="M36" t="s">
        <v>278</v>
      </c>
      <c r="N36" t="s">
        <v>279</v>
      </c>
      <c r="O36" t="s">
        <v>282</v>
      </c>
      <c r="P36" t="s">
        <v>159</v>
      </c>
    </row>
    <row r="37" spans="2:21">
      <c r="B37" s="46" t="str">
        <f t="shared" si="9"/>
        <v>General Service 50 to 4,999 kW</v>
      </c>
      <c r="C37" s="37"/>
      <c r="D37" s="47" t="s">
        <v>65</v>
      </c>
      <c r="E37" s="37">
        <f>D6</f>
        <v>125734.44</v>
      </c>
      <c r="F37" s="463" t="e">
        <f>M39</f>
        <v>#REF!</v>
      </c>
      <c r="G37" s="38" t="e">
        <f t="shared" si="10"/>
        <v>#REF!</v>
      </c>
      <c r="J37" t="s">
        <v>281</v>
      </c>
      <c r="L37" t="s">
        <v>65</v>
      </c>
      <c r="M37" s="479">
        <f>'[28]3. Rate Classes'!G19</f>
        <v>3.1307999999999998</v>
      </c>
      <c r="N37" s="479">
        <f>'[28]3. Rate Classes'!I19</f>
        <v>2.1617999999999999</v>
      </c>
      <c r="O37" s="516" t="e">
        <f>'[28]4. RRR Data'!#REF!</f>
        <v>#REF!</v>
      </c>
      <c r="P37" s="475" t="e">
        <f>O37/O39</f>
        <v>#REF!</v>
      </c>
      <c r="R37" s="479">
        <v>3.1307999999999998</v>
      </c>
      <c r="S37" s="479">
        <v>2.1617999999999999</v>
      </c>
      <c r="T37" s="516" t="e">
        <f>'[28]4. RRR Data'!#REF!</f>
        <v>#REF!</v>
      </c>
      <c r="U37" s="475" t="e">
        <f>T37/T39</f>
        <v>#REF!</v>
      </c>
    </row>
    <row r="38" spans="2:21">
      <c r="B38" s="46" t="str">
        <f t="shared" si="9"/>
        <v xml:space="preserve">Street Lights </v>
      </c>
      <c r="C38" s="37"/>
      <c r="D38" s="47" t="s">
        <v>65</v>
      </c>
      <c r="E38" s="37">
        <f>D7</f>
        <v>2861.6</v>
      </c>
      <c r="F38" s="463">
        <v>2.3611</v>
      </c>
      <c r="G38" s="38">
        <f t="shared" si="10"/>
        <v>6756.52376</v>
      </c>
      <c r="I38" s="15"/>
      <c r="J38" t="s">
        <v>280</v>
      </c>
      <c r="L38" t="s">
        <v>65</v>
      </c>
      <c r="M38" s="479">
        <f>'[28]3. Rate Classes'!G20</f>
        <v>3.4979</v>
      </c>
      <c r="N38" s="479">
        <f>'[28]3. Rate Classes'!I20</f>
        <v>2.4096000000000002</v>
      </c>
      <c r="O38" s="516" t="e">
        <f>'[28]4. RRR Data'!#REF!</f>
        <v>#REF!</v>
      </c>
      <c r="P38" s="475" t="e">
        <f>1-P37</f>
        <v>#REF!</v>
      </c>
      <c r="R38" s="479">
        <v>3.4979</v>
      </c>
      <c r="S38" s="479">
        <v>2.4096000000000002</v>
      </c>
      <c r="T38" s="516" t="e">
        <f>'[28]4. RRR Data'!#REF!</f>
        <v>#REF!</v>
      </c>
      <c r="U38" s="475" t="e">
        <f>1-U37</f>
        <v>#REF!</v>
      </c>
    </row>
    <row r="39" spans="2:21">
      <c r="B39" s="46" t="str">
        <f t="shared" si="9"/>
        <v>Sentinel Lights</v>
      </c>
      <c r="C39" s="37"/>
      <c r="D39" s="47" t="s">
        <v>65</v>
      </c>
      <c r="E39" s="37">
        <f>D8</f>
        <v>302</v>
      </c>
      <c r="F39" s="463">
        <v>2.3731</v>
      </c>
      <c r="G39" s="38">
        <f t="shared" si="10"/>
        <v>716.67619999999999</v>
      </c>
      <c r="J39" s="6" t="s">
        <v>283</v>
      </c>
      <c r="K39" s="6"/>
      <c r="L39" s="6"/>
      <c r="M39" s="478" t="e">
        <f>M37*P37+M38*P38</f>
        <v>#REF!</v>
      </c>
      <c r="N39" s="478" t="e">
        <f>N37*P37+N38*P38</f>
        <v>#REF!</v>
      </c>
      <c r="O39" s="21" t="e">
        <f>SUM(O37:O38)</f>
        <v>#REF!</v>
      </c>
      <c r="P39" s="475" t="e">
        <f>SUM(P37:P38)</f>
        <v>#REF!</v>
      </c>
      <c r="R39" s="478" t="e">
        <f>R37*U37+R38*U38</f>
        <v>#REF!</v>
      </c>
      <c r="S39" s="478" t="e">
        <f>S37*U37+S38*U38</f>
        <v>#REF!</v>
      </c>
      <c r="T39" s="21" t="e">
        <f>SUM(T37:T38)</f>
        <v>#REF!</v>
      </c>
      <c r="U39" s="475" t="e">
        <f>SUM(U37:U38)</f>
        <v>#REF!</v>
      </c>
    </row>
    <row r="40" spans="2:21">
      <c r="B40" s="46" t="str">
        <f t="shared" si="9"/>
        <v xml:space="preserve">Unmetered Loads </v>
      </c>
      <c r="C40" s="37"/>
      <c r="D40" s="47" t="s">
        <v>64</v>
      </c>
      <c r="E40" s="37">
        <f>E20+E30</f>
        <v>588089.46490000002</v>
      </c>
      <c r="F40" s="463">
        <v>7.4999999999999997E-3</v>
      </c>
      <c r="G40" s="38">
        <f t="shared" si="10"/>
        <v>4410.6709867500003</v>
      </c>
    </row>
    <row r="41" spans="2:21">
      <c r="B41" s="34" t="s">
        <v>66</v>
      </c>
      <c r="C41" s="35"/>
      <c r="D41" s="36"/>
      <c r="E41" s="35"/>
      <c r="F41" s="39"/>
      <c r="G41" s="48" t="e">
        <f>SUM(G35:G40)</f>
        <v>#REF!</v>
      </c>
    </row>
    <row r="43" spans="2:21">
      <c r="B43" s="65" t="s">
        <v>74</v>
      </c>
      <c r="C43" s="66"/>
      <c r="D43" s="71" t="s">
        <v>72</v>
      </c>
      <c r="E43" s="68"/>
      <c r="F43" s="69"/>
      <c r="G43" s="66"/>
    </row>
    <row r="44" spans="2:21">
      <c r="B44" s="64" t="s">
        <v>70</v>
      </c>
      <c r="C44" s="78"/>
      <c r="D44" s="72" t="s">
        <v>73</v>
      </c>
      <c r="E44" s="1243">
        <v>2015</v>
      </c>
      <c r="F44" s="1241"/>
      <c r="G44" s="1242"/>
    </row>
    <row r="45" spans="2:21">
      <c r="B45" s="46" t="str">
        <f t="shared" ref="B45:B50" si="11">B35</f>
        <v xml:space="preserve">Residential </v>
      </c>
      <c r="C45" s="37"/>
      <c r="D45" s="47" t="str">
        <f t="shared" ref="D45:D50" si="12">D35</f>
        <v>kWh</v>
      </c>
      <c r="E45" s="37">
        <f t="shared" ref="E45:E50" si="13">E35</f>
        <v>44291158.627624005</v>
      </c>
      <c r="F45" s="463">
        <v>5.8999999999999999E-3</v>
      </c>
      <c r="G45" s="38">
        <f t="shared" ref="G45:G50" si="14">E45*F45</f>
        <v>261317.83590298163</v>
      </c>
    </row>
    <row r="46" spans="2:21">
      <c r="B46" s="46" t="str">
        <f t="shared" si="11"/>
        <v>General Service &lt; 50 kW</v>
      </c>
      <c r="C46" s="37"/>
      <c r="D46" s="47" t="str">
        <f t="shared" si="12"/>
        <v>kWh</v>
      </c>
      <c r="E46" s="37">
        <f t="shared" si="13"/>
        <v>22344624.594863802</v>
      </c>
      <c r="F46" s="463">
        <v>5.4000000000000003E-3</v>
      </c>
      <c r="G46" s="38">
        <f t="shared" si="14"/>
        <v>120660.97281226453</v>
      </c>
    </row>
    <row r="47" spans="2:21">
      <c r="B47" s="46" t="str">
        <f t="shared" si="11"/>
        <v>General Service 50 to 4,999 kW</v>
      </c>
      <c r="C47" s="37"/>
      <c r="D47" s="47" t="str">
        <f t="shared" si="12"/>
        <v>kW</v>
      </c>
      <c r="E47" s="37">
        <f t="shared" si="13"/>
        <v>125734.44</v>
      </c>
      <c r="F47" s="463" t="e">
        <f>N39</f>
        <v>#REF!</v>
      </c>
      <c r="G47" s="38" t="e">
        <f t="shared" si="14"/>
        <v>#REF!</v>
      </c>
    </row>
    <row r="48" spans="2:21">
      <c r="B48" s="46" t="str">
        <f t="shared" si="11"/>
        <v xml:space="preserve">Street Lights </v>
      </c>
      <c r="C48" s="37"/>
      <c r="D48" s="47" t="str">
        <f t="shared" si="12"/>
        <v>kW</v>
      </c>
      <c r="E48" s="37">
        <f t="shared" si="13"/>
        <v>2861.6</v>
      </c>
      <c r="F48" s="463">
        <v>1.6714</v>
      </c>
      <c r="G48" s="38">
        <f t="shared" si="14"/>
        <v>4782.87824</v>
      </c>
    </row>
    <row r="49" spans="2:7">
      <c r="B49" s="46" t="str">
        <f t="shared" si="11"/>
        <v>Sentinel Lights</v>
      </c>
      <c r="C49" s="37"/>
      <c r="D49" s="47" t="str">
        <f t="shared" si="12"/>
        <v>kW</v>
      </c>
      <c r="E49" s="37">
        <f t="shared" si="13"/>
        <v>302</v>
      </c>
      <c r="F49" s="463">
        <v>1.7060999999999999</v>
      </c>
      <c r="G49" s="38">
        <f t="shared" si="14"/>
        <v>515.24220000000003</v>
      </c>
    </row>
    <row r="50" spans="2:7">
      <c r="B50" s="46" t="str">
        <f t="shared" si="11"/>
        <v xml:space="preserve">Unmetered Loads </v>
      </c>
      <c r="C50" s="37"/>
      <c r="D50" s="47" t="str">
        <f t="shared" si="12"/>
        <v>kWh</v>
      </c>
      <c r="E50" s="37">
        <f t="shared" si="13"/>
        <v>588089.46490000002</v>
      </c>
      <c r="F50" s="463">
        <v>5.4000000000000003E-3</v>
      </c>
      <c r="G50" s="38">
        <f t="shared" si="14"/>
        <v>3175.6831104600001</v>
      </c>
    </row>
    <row r="51" spans="2:7">
      <c r="B51" s="34" t="s">
        <v>66</v>
      </c>
      <c r="C51" s="35"/>
      <c r="D51" s="36"/>
      <c r="E51" s="35"/>
      <c r="F51" s="39"/>
      <c r="G51" s="48" t="e">
        <f>SUM(G45:G50)</f>
        <v>#REF!</v>
      </c>
    </row>
    <row r="53" spans="2:7">
      <c r="B53" s="65" t="s">
        <v>75</v>
      </c>
      <c r="C53" s="66"/>
      <c r="D53" s="71"/>
      <c r="E53" s="68"/>
      <c r="F53" s="69"/>
      <c r="G53" s="66"/>
    </row>
    <row r="54" spans="2:7">
      <c r="B54" s="64" t="s">
        <v>70</v>
      </c>
      <c r="C54" s="78"/>
      <c r="D54" s="72"/>
      <c r="E54" s="1243">
        <v>2015</v>
      </c>
      <c r="F54" s="1241"/>
      <c r="G54" s="1244"/>
    </row>
    <row r="55" spans="2:7">
      <c r="B55" s="46" t="str">
        <f t="shared" ref="B55:B60" si="15">B45</f>
        <v xml:space="preserve">Residential </v>
      </c>
      <c r="C55" s="37"/>
      <c r="D55" s="47" t="s">
        <v>64</v>
      </c>
      <c r="E55" s="37">
        <f t="shared" ref="E55:E60" si="16">E15+E25</f>
        <v>44291158.627624005</v>
      </c>
      <c r="F55" s="463">
        <v>4.4000000000000003E-3</v>
      </c>
      <c r="G55" s="38">
        <f t="shared" ref="G55:G60" si="17">E55*F55</f>
        <v>194881.09796154563</v>
      </c>
    </row>
    <row r="56" spans="2:7">
      <c r="B56" s="46" t="str">
        <f t="shared" si="15"/>
        <v>General Service &lt; 50 kW</v>
      </c>
      <c r="C56" s="37"/>
      <c r="D56" s="47" t="s">
        <v>64</v>
      </c>
      <c r="E56" s="37">
        <f t="shared" si="16"/>
        <v>22344624.594863802</v>
      </c>
      <c r="F56" s="464">
        <f>F55</f>
        <v>4.4000000000000003E-3</v>
      </c>
      <c r="G56" s="38">
        <f t="shared" si="17"/>
        <v>98316.348217400737</v>
      </c>
    </row>
    <row r="57" spans="2:7">
      <c r="B57" s="46" t="str">
        <f t="shared" si="15"/>
        <v>General Service 50 to 4,999 kW</v>
      </c>
      <c r="C57" s="37"/>
      <c r="D57" s="47" t="s">
        <v>64</v>
      </c>
      <c r="E57" s="37">
        <f t="shared" si="16"/>
        <v>44269267.506300002</v>
      </c>
      <c r="F57" s="464">
        <f>F56</f>
        <v>4.4000000000000003E-3</v>
      </c>
      <c r="G57" s="38">
        <f t="shared" si="17"/>
        <v>194784.77702772003</v>
      </c>
    </row>
    <row r="58" spans="2:7">
      <c r="B58" s="46" t="str">
        <f t="shared" si="15"/>
        <v xml:space="preserve">Street Lights </v>
      </c>
      <c r="C58" s="37"/>
      <c r="D58" s="47" t="s">
        <v>64</v>
      </c>
      <c r="E58" s="37">
        <f t="shared" si="16"/>
        <v>1138892.3282000001</v>
      </c>
      <c r="F58" s="464">
        <f>F57</f>
        <v>4.4000000000000003E-3</v>
      </c>
      <c r="G58" s="38">
        <f t="shared" si="17"/>
        <v>5011.126244080001</v>
      </c>
    </row>
    <row r="59" spans="2:7">
      <c r="B59" s="46" t="str">
        <f t="shared" si="15"/>
        <v>Sentinel Lights</v>
      </c>
      <c r="C59" s="37"/>
      <c r="D59" s="47" t="s">
        <v>64</v>
      </c>
      <c r="E59" s="37">
        <f t="shared" si="16"/>
        <v>118470.21380000001</v>
      </c>
      <c r="F59" s="464">
        <f>F58</f>
        <v>4.4000000000000003E-3</v>
      </c>
      <c r="G59" s="38">
        <f t="shared" si="17"/>
        <v>521.26894072000005</v>
      </c>
    </row>
    <row r="60" spans="2:7">
      <c r="B60" s="46" t="str">
        <f t="shared" si="15"/>
        <v xml:space="preserve">Unmetered Loads </v>
      </c>
      <c r="C60" s="37"/>
      <c r="D60" s="47" t="s">
        <v>64</v>
      </c>
      <c r="E60" s="37">
        <f t="shared" si="16"/>
        <v>588089.46490000002</v>
      </c>
      <c r="F60" s="464">
        <f>F59</f>
        <v>4.4000000000000003E-3</v>
      </c>
      <c r="G60" s="38">
        <f t="shared" si="17"/>
        <v>2587.5936455600004</v>
      </c>
    </row>
    <row r="61" spans="2:7">
      <c r="B61" s="34" t="s">
        <v>66</v>
      </c>
      <c r="C61" s="35"/>
      <c r="D61" s="36"/>
      <c r="E61" s="35">
        <f>SUM(E55:E60)</f>
        <v>112750502.73568781</v>
      </c>
      <c r="F61" s="39"/>
      <c r="G61" s="48">
        <f>SUM(G55:G60)</f>
        <v>496102.21203702642</v>
      </c>
    </row>
    <row r="63" spans="2:7">
      <c r="B63" s="65" t="s">
        <v>76</v>
      </c>
      <c r="C63" s="66"/>
      <c r="D63" s="71"/>
      <c r="E63" s="68"/>
      <c r="F63" s="69"/>
      <c r="G63" s="66"/>
    </row>
    <row r="64" spans="2:7">
      <c r="B64" s="64" t="s">
        <v>70</v>
      </c>
      <c r="C64" s="78"/>
      <c r="D64" s="72"/>
      <c r="E64" s="1240">
        <v>2015</v>
      </c>
      <c r="F64" s="1241"/>
      <c r="G64" s="1242"/>
    </row>
    <row r="65" spans="2:7">
      <c r="B65" s="46" t="str">
        <f t="shared" ref="B65:B70" si="18">B55</f>
        <v xml:space="preserve">Residential </v>
      </c>
      <c r="C65" s="37"/>
      <c r="D65" s="47" t="s">
        <v>64</v>
      </c>
      <c r="E65" s="37">
        <f t="shared" ref="E65:E70" si="19">E55</f>
        <v>44291158.627624005</v>
      </c>
      <c r="F65" s="463">
        <v>1.2999999999999999E-3</v>
      </c>
      <c r="G65" s="38">
        <f t="shared" ref="G65:G70" si="20">E65*F65</f>
        <v>57578.506215911206</v>
      </c>
    </row>
    <row r="66" spans="2:7">
      <c r="B66" s="46" t="str">
        <f t="shared" si="18"/>
        <v>General Service &lt; 50 kW</v>
      </c>
      <c r="C66" s="37"/>
      <c r="D66" s="47" t="s">
        <v>64</v>
      </c>
      <c r="E66" s="37">
        <f t="shared" si="19"/>
        <v>22344624.594863802</v>
      </c>
      <c r="F66" s="464">
        <f>F65</f>
        <v>1.2999999999999999E-3</v>
      </c>
      <c r="G66" s="38">
        <f t="shared" si="20"/>
        <v>29048.01197332294</v>
      </c>
    </row>
    <row r="67" spans="2:7">
      <c r="B67" s="46" t="str">
        <f t="shared" si="18"/>
        <v>General Service 50 to 4,999 kW</v>
      </c>
      <c r="C67" s="37"/>
      <c r="D67" s="47" t="s">
        <v>64</v>
      </c>
      <c r="E67" s="37">
        <f t="shared" si="19"/>
        <v>44269267.506300002</v>
      </c>
      <c r="F67" s="464">
        <f>F66</f>
        <v>1.2999999999999999E-3</v>
      </c>
      <c r="G67" s="38">
        <f t="shared" si="20"/>
        <v>57550.047758189998</v>
      </c>
    </row>
    <row r="68" spans="2:7">
      <c r="B68" s="46" t="str">
        <f t="shared" si="18"/>
        <v xml:space="preserve">Street Lights </v>
      </c>
      <c r="C68" s="37"/>
      <c r="D68" s="47" t="s">
        <v>64</v>
      </c>
      <c r="E68" s="37">
        <f t="shared" si="19"/>
        <v>1138892.3282000001</v>
      </c>
      <c r="F68" s="464">
        <f>F67</f>
        <v>1.2999999999999999E-3</v>
      </c>
      <c r="G68" s="38">
        <f t="shared" si="20"/>
        <v>1480.5600266600002</v>
      </c>
    </row>
    <row r="69" spans="2:7">
      <c r="B69" s="46" t="str">
        <f t="shared" si="18"/>
        <v>Sentinel Lights</v>
      </c>
      <c r="C69" s="37"/>
      <c r="D69" s="47" t="s">
        <v>64</v>
      </c>
      <c r="E69" s="37">
        <f t="shared" si="19"/>
        <v>118470.21380000001</v>
      </c>
      <c r="F69" s="464">
        <f>F68</f>
        <v>1.2999999999999999E-3</v>
      </c>
      <c r="G69" s="38">
        <f t="shared" si="20"/>
        <v>154.01127794000001</v>
      </c>
    </row>
    <row r="70" spans="2:7">
      <c r="B70" s="46" t="str">
        <f t="shared" si="18"/>
        <v xml:space="preserve">Unmetered Loads </v>
      </c>
      <c r="C70" s="37"/>
      <c r="D70" s="47" t="s">
        <v>64</v>
      </c>
      <c r="E70" s="37">
        <f t="shared" si="19"/>
        <v>588089.46490000002</v>
      </c>
      <c r="F70" s="464">
        <f>F69</f>
        <v>1.2999999999999999E-3</v>
      </c>
      <c r="G70" s="38">
        <f t="shared" si="20"/>
        <v>764.51630436999994</v>
      </c>
    </row>
    <row r="71" spans="2:7">
      <c r="B71" s="34" t="s">
        <v>66</v>
      </c>
      <c r="C71" s="35"/>
      <c r="D71" s="36"/>
      <c r="E71" s="35">
        <f>SUM(E65:E70)</f>
        <v>112750502.73568781</v>
      </c>
      <c r="F71" s="39"/>
      <c r="G71" s="48">
        <f>SUM(G65:G70)</f>
        <v>146575.65355639416</v>
      </c>
    </row>
    <row r="72" spans="2:7">
      <c r="B72" s="41"/>
      <c r="C72" s="42"/>
      <c r="D72" s="43"/>
      <c r="E72" s="42"/>
      <c r="F72" s="44"/>
      <c r="G72" s="465"/>
    </row>
    <row r="73" spans="2:7">
      <c r="B73" s="65" t="s">
        <v>271</v>
      </c>
      <c r="C73" s="66"/>
      <c r="D73" s="71" t="s">
        <v>72</v>
      </c>
      <c r="E73" s="68"/>
      <c r="F73" s="69"/>
      <c r="G73" s="66"/>
    </row>
    <row r="74" spans="2:7">
      <c r="B74" s="64" t="s">
        <v>70</v>
      </c>
      <c r="C74" s="437"/>
      <c r="D74" s="72" t="s">
        <v>73</v>
      </c>
      <c r="E74" s="1240">
        <v>2015</v>
      </c>
      <c r="F74" s="1241"/>
      <c r="G74" s="1242"/>
    </row>
    <row r="75" spans="2:7">
      <c r="B75" s="46" t="str">
        <f t="shared" ref="B75:B80" si="21">B65</f>
        <v xml:space="preserve">Residential </v>
      </c>
      <c r="C75" s="37"/>
      <c r="D75" s="47" t="str">
        <f t="shared" ref="D75:E80" si="22">D35</f>
        <v>kWh</v>
      </c>
      <c r="E75" s="37">
        <f t="shared" si="22"/>
        <v>44291158.627624005</v>
      </c>
      <c r="F75" s="463">
        <v>2.3999999999999998E-3</v>
      </c>
      <c r="G75" s="38">
        <f t="shared" ref="G75:G80" si="23">E75*F75</f>
        <v>106298.78070629761</v>
      </c>
    </row>
    <row r="76" spans="2:7">
      <c r="B76" s="46" t="str">
        <f t="shared" si="21"/>
        <v>General Service &lt; 50 kW</v>
      </c>
      <c r="C76" s="37"/>
      <c r="D76" s="47" t="str">
        <f t="shared" si="22"/>
        <v>kWh</v>
      </c>
      <c r="E76" s="37">
        <f t="shared" si="22"/>
        <v>22344624.594863802</v>
      </c>
      <c r="F76" s="463">
        <v>2.2000000000000001E-3</v>
      </c>
      <c r="G76" s="38">
        <f t="shared" si="23"/>
        <v>49158.174108700368</v>
      </c>
    </row>
    <row r="77" spans="2:7">
      <c r="B77" s="46" t="str">
        <f t="shared" si="21"/>
        <v>General Service 50 to 4,999 kW</v>
      </c>
      <c r="C77" s="37"/>
      <c r="D77" s="47" t="str">
        <f t="shared" si="22"/>
        <v>kW</v>
      </c>
      <c r="E77" s="37">
        <f t="shared" si="22"/>
        <v>125734.44</v>
      </c>
      <c r="F77" s="463">
        <v>0.8135</v>
      </c>
      <c r="G77" s="38">
        <f t="shared" si="23"/>
        <v>102284.96694</v>
      </c>
    </row>
    <row r="78" spans="2:7">
      <c r="B78" s="46" t="str">
        <f t="shared" si="21"/>
        <v xml:space="preserve">Street Lights </v>
      </c>
      <c r="C78" s="37"/>
      <c r="D78" s="47" t="str">
        <f t="shared" si="22"/>
        <v>kW</v>
      </c>
      <c r="E78" s="37">
        <f t="shared" si="22"/>
        <v>2861.6</v>
      </c>
      <c r="F78" s="463">
        <v>0.62890000000000001</v>
      </c>
      <c r="G78" s="38">
        <f t="shared" si="23"/>
        <v>1799.6602399999999</v>
      </c>
    </row>
    <row r="79" spans="2:7">
      <c r="B79" s="46" t="str">
        <f t="shared" si="21"/>
        <v>Sentinel Lights</v>
      </c>
      <c r="C79" s="37"/>
      <c r="D79" s="47" t="str">
        <f t="shared" si="22"/>
        <v>kW</v>
      </c>
      <c r="E79" s="37">
        <f t="shared" si="22"/>
        <v>302</v>
      </c>
      <c r="F79" s="463">
        <v>0.64200000000000002</v>
      </c>
      <c r="G79" s="38">
        <f t="shared" si="23"/>
        <v>193.88400000000001</v>
      </c>
    </row>
    <row r="80" spans="2:7">
      <c r="B80" s="46" t="str">
        <f t="shared" si="21"/>
        <v xml:space="preserve">Unmetered Loads </v>
      </c>
      <c r="C80" s="37"/>
      <c r="D80" s="47" t="str">
        <f t="shared" si="22"/>
        <v>kWh</v>
      </c>
      <c r="E80" s="37">
        <f t="shared" si="22"/>
        <v>588089.46490000002</v>
      </c>
      <c r="F80" s="463">
        <v>2.2000000000000001E-3</v>
      </c>
      <c r="G80" s="38">
        <f t="shared" si="23"/>
        <v>1293.7968227800002</v>
      </c>
    </row>
    <row r="81" spans="2:7">
      <c r="B81" s="34" t="s">
        <v>66</v>
      </c>
      <c r="C81" s="35"/>
      <c r="D81" s="36"/>
      <c r="E81" s="35"/>
      <c r="F81" s="39"/>
      <c r="G81" s="48">
        <f>SUM(G75:G80)</f>
        <v>261029.26281777796</v>
      </c>
    </row>
    <row r="82" spans="2:7">
      <c r="B82" s="41"/>
      <c r="C82" s="42"/>
      <c r="D82" s="43"/>
      <c r="E82" s="42"/>
      <c r="F82" s="44"/>
      <c r="G82" s="465"/>
    </row>
    <row r="83" spans="2:7">
      <c r="B83" s="65" t="s">
        <v>286</v>
      </c>
      <c r="C83" s="66"/>
      <c r="D83" s="71"/>
      <c r="E83" s="68"/>
      <c r="F83" s="69"/>
      <c r="G83" s="66"/>
    </row>
    <row r="84" spans="2:7">
      <c r="B84" s="64" t="s">
        <v>70</v>
      </c>
      <c r="C84" s="437"/>
      <c r="D84" s="72" t="s">
        <v>272</v>
      </c>
      <c r="E84" s="1240">
        <v>2013</v>
      </c>
      <c r="F84" s="1241"/>
      <c r="G84" s="1242"/>
    </row>
    <row r="85" spans="2:7">
      <c r="B85" s="46" t="s">
        <v>1</v>
      </c>
      <c r="C85" s="467"/>
      <c r="D85" s="469"/>
      <c r="E85" s="473">
        <f>'Rate Class Customer Model'!B14</f>
        <v>5054</v>
      </c>
      <c r="F85" s="472">
        <v>0.79</v>
      </c>
      <c r="G85" s="38">
        <f>E85*F85*12</f>
        <v>47911.920000000006</v>
      </c>
    </row>
    <row r="86" spans="2:7">
      <c r="B86" s="46" t="s">
        <v>116</v>
      </c>
      <c r="C86" s="467"/>
      <c r="D86" s="470"/>
      <c r="E86" s="473">
        <f>'Rate Class Customer Model'!C14</f>
        <v>742</v>
      </c>
      <c r="F86" s="472">
        <f>F85</f>
        <v>0.79</v>
      </c>
      <c r="G86" s="38">
        <f>E86*F86*12</f>
        <v>7034.1600000000008</v>
      </c>
    </row>
    <row r="87" spans="2:7">
      <c r="B87" s="34" t="s">
        <v>66</v>
      </c>
      <c r="C87" s="468"/>
      <c r="D87" s="466"/>
      <c r="E87" s="468"/>
      <c r="F87" s="471"/>
      <c r="G87" s="48">
        <f>SUM(G85:G86)</f>
        <v>54946.080000000009</v>
      </c>
    </row>
    <row r="88" spans="2:7">
      <c r="B88" s="41"/>
      <c r="C88" s="42"/>
      <c r="D88" s="43"/>
      <c r="E88" s="42"/>
      <c r="F88" s="44"/>
      <c r="G88" s="465"/>
    </row>
    <row r="90" spans="2:7">
      <c r="B90" s="73"/>
      <c r="C90" s="74">
        <v>2015</v>
      </c>
    </row>
    <row r="91" spans="2:7">
      <c r="B91" s="23"/>
      <c r="C91" s="49"/>
    </row>
    <row r="92" spans="2:7">
      <c r="B92" s="22" t="s">
        <v>77</v>
      </c>
      <c r="C92" s="50">
        <f>G21+G31</f>
        <v>12412033.435823061</v>
      </c>
    </row>
    <row r="93" spans="2:7">
      <c r="B93" s="22" t="s">
        <v>78</v>
      </c>
      <c r="C93" s="51">
        <f>G61</f>
        <v>496102.21203702642</v>
      </c>
    </row>
    <row r="94" spans="2:7">
      <c r="B94" s="22" t="s">
        <v>79</v>
      </c>
      <c r="C94" s="51" t="e">
        <f>G41</f>
        <v>#REF!</v>
      </c>
    </row>
    <row r="95" spans="2:7">
      <c r="B95" s="22" t="s">
        <v>80</v>
      </c>
      <c r="C95" s="51" t="e">
        <f>G51</f>
        <v>#REF!</v>
      </c>
    </row>
    <row r="96" spans="2:7">
      <c r="B96" s="22" t="s">
        <v>81</v>
      </c>
      <c r="C96" s="51">
        <f>G71</f>
        <v>146575.65355639416</v>
      </c>
    </row>
    <row r="97" spans="2:3">
      <c r="B97" s="22" t="s">
        <v>82</v>
      </c>
      <c r="C97" s="51">
        <f>G81</f>
        <v>261029.26281777796</v>
      </c>
    </row>
    <row r="98" spans="2:3">
      <c r="B98" s="22" t="s">
        <v>114</v>
      </c>
      <c r="C98" s="75">
        <f>G87</f>
        <v>54946.080000000009</v>
      </c>
    </row>
    <row r="99" spans="2:3">
      <c r="B99" s="25" t="s">
        <v>66</v>
      </c>
      <c r="C99" s="559" t="e">
        <f>SUM(C92:C98)</f>
        <v>#REF!</v>
      </c>
    </row>
  </sheetData>
  <mergeCells count="13">
    <mergeCell ref="B1:E1"/>
    <mergeCell ref="C13:C14"/>
    <mergeCell ref="D13:D14"/>
    <mergeCell ref="E13:G14"/>
    <mergeCell ref="C23:C24"/>
    <mergeCell ref="D23:D24"/>
    <mergeCell ref="E23:G24"/>
    <mergeCell ref="E74:G74"/>
    <mergeCell ref="E84:G84"/>
    <mergeCell ref="E34:G34"/>
    <mergeCell ref="E44:G44"/>
    <mergeCell ref="E54:G54"/>
    <mergeCell ref="E64:G64"/>
  </mergeCells>
  <pageMargins left="0.7" right="0.7" top="0.75" bottom="0.75" header="0.3" footer="0.3"/>
  <pageSetup scale="57" orientation="portrait" r:id="rId1"/>
  <headerFooter>
    <oddFooter>&amp;Z&amp;F</oddFooter>
  </headerFooter>
  <legacyDrawing r:id="rId2"/>
</worksheet>
</file>

<file path=xl/worksheets/sheet16.xml><?xml version="1.0" encoding="utf-8"?>
<worksheet xmlns="http://schemas.openxmlformats.org/spreadsheetml/2006/main" xmlns:r="http://schemas.openxmlformats.org/officeDocument/2006/relationships">
  <dimension ref="A1:J72"/>
  <sheetViews>
    <sheetView showGridLines="0" tabSelected="1" topLeftCell="A8" zoomScaleNormal="100" workbookViewId="0">
      <selection activeCell="A12" sqref="A12:H27"/>
    </sheetView>
  </sheetViews>
  <sheetFormatPr defaultRowHeight="12.75"/>
  <cols>
    <col min="1" max="1" width="8.7109375" style="398" customWidth="1"/>
    <col min="2" max="2" width="30.7109375" style="398" customWidth="1"/>
    <col min="3" max="3" width="12.7109375" style="398" customWidth="1"/>
    <col min="4" max="4" width="14" style="398" customWidth="1"/>
    <col min="5" max="7" width="12.7109375" style="398" customWidth="1"/>
    <col min="8" max="8" width="14.7109375" style="398" customWidth="1"/>
    <col min="9" max="16384" width="9.140625" style="398"/>
  </cols>
  <sheetData>
    <row r="1" spans="1:10">
      <c r="G1" s="399" t="s">
        <v>217</v>
      </c>
      <c r="H1" s="400">
        <v>0</v>
      </c>
    </row>
    <row r="2" spans="1:10">
      <c r="A2" s="398" t="s">
        <v>218</v>
      </c>
      <c r="B2" s="398" t="s">
        <v>219</v>
      </c>
      <c r="G2" s="399" t="s">
        <v>220</v>
      </c>
      <c r="H2" s="401"/>
    </row>
    <row r="3" spans="1:10">
      <c r="G3" s="399" t="s">
        <v>221</v>
      </c>
      <c r="H3" s="401"/>
    </row>
    <row r="4" spans="1:10">
      <c r="G4" s="399" t="s">
        <v>222</v>
      </c>
      <c r="H4" s="401"/>
    </row>
    <row r="5" spans="1:10">
      <c r="G5" s="399" t="s">
        <v>223</v>
      </c>
      <c r="H5" s="402"/>
    </row>
    <row r="6" spans="1:10">
      <c r="G6" s="399"/>
      <c r="H6" s="400"/>
    </row>
    <row r="7" spans="1:10">
      <c r="G7" s="399" t="s">
        <v>224</v>
      </c>
      <c r="H7" s="402"/>
    </row>
    <row r="9" spans="1:10" ht="18">
      <c r="A9" s="1256" t="s">
        <v>225</v>
      </c>
      <c r="B9" s="1256"/>
      <c r="C9" s="1256"/>
      <c r="D9" s="1256"/>
      <c r="E9" s="1256"/>
      <c r="F9" s="1256"/>
      <c r="G9" s="1256"/>
      <c r="H9" s="1256"/>
    </row>
    <row r="10" spans="1:10" ht="18">
      <c r="A10" s="1256" t="s">
        <v>226</v>
      </c>
      <c r="B10" s="1256"/>
      <c r="C10" s="1256"/>
      <c r="D10" s="1256"/>
      <c r="E10" s="1256"/>
      <c r="F10" s="1256"/>
      <c r="G10" s="1256"/>
      <c r="H10" s="1256"/>
    </row>
    <row r="11" spans="1:10">
      <c r="A11" s="1257"/>
      <c r="B11" s="1257"/>
      <c r="C11" s="1257"/>
      <c r="D11" s="1257"/>
      <c r="E11" s="1257"/>
      <c r="F11" s="1257"/>
      <c r="G11" s="1257"/>
      <c r="H11" s="1257"/>
    </row>
    <row r="12" spans="1:10" ht="13.5" thickBot="1">
      <c r="H12" s="420" t="s">
        <v>581</v>
      </c>
    </row>
    <row r="13" spans="1:10">
      <c r="A13" s="1258"/>
      <c r="B13" s="1259"/>
      <c r="C13" s="1262" t="s">
        <v>227</v>
      </c>
      <c r="D13" s="1263"/>
      <c r="E13" s="1263"/>
      <c r="F13" s="1263"/>
      <c r="G13" s="1264"/>
      <c r="H13" s="1265" t="s">
        <v>228</v>
      </c>
    </row>
    <row r="14" spans="1:10">
      <c r="A14" s="1260"/>
      <c r="B14" s="1261"/>
      <c r="C14" s="403">
        <v>2012</v>
      </c>
      <c r="D14" s="403">
        <v>2013</v>
      </c>
      <c r="E14" s="403">
        <v>2014</v>
      </c>
      <c r="F14" s="403">
        <v>2015</v>
      </c>
      <c r="G14" s="403">
        <v>2016</v>
      </c>
      <c r="H14" s="1266"/>
    </row>
    <row r="15" spans="1:10">
      <c r="A15" s="404"/>
      <c r="B15" s="1267"/>
      <c r="C15" s="1268"/>
      <c r="D15" s="1268"/>
      <c r="E15" s="1268"/>
      <c r="F15" s="1268"/>
      <c r="G15" s="1268"/>
      <c r="H15" s="1269"/>
    </row>
    <row r="16" spans="1:10" ht="25.5">
      <c r="A16" s="405" t="s">
        <v>229</v>
      </c>
      <c r="B16" s="406" t="s">
        <v>230</v>
      </c>
      <c r="C16" s="407">
        <f>SUM('Purchased Power Model'!C90:C101)</f>
        <v>115215976</v>
      </c>
      <c r="D16" s="407">
        <f>SUM('Purchased Power Model'!C102:C113)</f>
        <v>116534650</v>
      </c>
      <c r="E16" s="407">
        <f>SUM('Purchased Power Model'!C114:C125)</f>
        <v>115878630</v>
      </c>
      <c r="F16" s="407">
        <f>SUM('Purchased Power Model'!C126:C137)</f>
        <v>112605313.95</v>
      </c>
      <c r="G16" s="407">
        <f>SUM('Purchased Power Model'!C138:C149)</f>
        <v>109654088.34999999</v>
      </c>
      <c r="H16" s="1194">
        <f>IF(SUM(C16:G16)=0,0,AVERAGE(C16:G16))</f>
        <v>113977731.66</v>
      </c>
      <c r="J16" s="409" t="s">
        <v>231</v>
      </c>
    </row>
    <row r="17" spans="1:10" ht="25.5">
      <c r="A17" s="405" t="s">
        <v>232</v>
      </c>
      <c r="B17" s="406" t="s">
        <v>233</v>
      </c>
      <c r="C17" s="741">
        <f>C16/C25+SUM('Purchased Power Model'!E90:E101)</f>
        <v>111492513.94003868</v>
      </c>
      <c r="D17" s="424">
        <f>D16/D25+SUM('Purchased Power Model'!E102:E113)</f>
        <v>112763572.28626692</v>
      </c>
      <c r="E17" s="424">
        <f>E16/E25+SUM('Purchased Power Model'!E114:E125)</f>
        <v>112138225.5435203</v>
      </c>
      <c r="F17" s="424">
        <f>F16/F25+SUM('Purchased Power Model'!E126:E137)</f>
        <v>108982088.7098646</v>
      </c>
      <c r="G17" s="424">
        <f>G16/G25+SUM('Purchased Power Model'!E138:E149)</f>
        <v>106128716.344294</v>
      </c>
      <c r="H17" s="1194">
        <f>IF(SUM(C17:G17)=0,0,AVERAGE(C17:G17))</f>
        <v>110301023.36479691</v>
      </c>
      <c r="J17" s="409" t="s">
        <v>234</v>
      </c>
    </row>
    <row r="18" spans="1:10" ht="38.25">
      <c r="A18" s="405" t="s">
        <v>212</v>
      </c>
      <c r="B18" s="406" t="s">
        <v>235</v>
      </c>
      <c r="C18" s="410"/>
      <c r="D18" s="410"/>
      <c r="E18" s="410"/>
      <c r="F18" s="410"/>
      <c r="G18" s="410"/>
      <c r="H18" s="1194">
        <f>IF(SUM(C18:G18)=0,0,AVERAGE(C18:G18))</f>
        <v>0</v>
      </c>
    </row>
    <row r="19" spans="1:10" ht="25.5">
      <c r="A19" s="405" t="s">
        <v>236</v>
      </c>
      <c r="B19" s="406" t="s">
        <v>237</v>
      </c>
      <c r="C19" s="408">
        <f t="shared" ref="C19:H19" si="0">C17-C18</f>
        <v>111492513.94003868</v>
      </c>
      <c r="D19" s="408">
        <f t="shared" si="0"/>
        <v>112763572.28626692</v>
      </c>
      <c r="E19" s="408">
        <f t="shared" si="0"/>
        <v>112138225.5435203</v>
      </c>
      <c r="F19" s="408">
        <f t="shared" si="0"/>
        <v>108982088.7098646</v>
      </c>
      <c r="G19" s="408">
        <f t="shared" si="0"/>
        <v>106128716.344294</v>
      </c>
      <c r="H19" s="1195">
        <f t="shared" si="0"/>
        <v>110301023.36479691</v>
      </c>
    </row>
    <row r="20" spans="1:10" ht="14.25" customHeight="1">
      <c r="A20" s="405" t="s">
        <v>238</v>
      </c>
      <c r="B20" s="406" t="s">
        <v>239</v>
      </c>
      <c r="C20" s="407">
        <f t="array" ref="C20:G20">TRANSPOSE('Rate Class Energy Model '!D10:D14)</f>
        <v>106397501</v>
      </c>
      <c r="D20" s="407">
        <v>107193012</v>
      </c>
      <c r="E20" s="407">
        <v>107593001</v>
      </c>
      <c r="F20" s="407">
        <v>104215271.962</v>
      </c>
      <c r="G20" s="407">
        <v>101711018.28400001</v>
      </c>
      <c r="H20" s="1194">
        <f>IF(SUM(C20:G20)=0,0,AVERAGE(C20:G20))</f>
        <v>105421960.84920001</v>
      </c>
    </row>
    <row r="21" spans="1:10" ht="38.25">
      <c r="A21" s="405" t="s">
        <v>213</v>
      </c>
      <c r="B21" s="406" t="s">
        <v>240</v>
      </c>
      <c r="C21" s="412"/>
      <c r="D21" s="410"/>
      <c r="E21" s="410"/>
      <c r="F21" s="410"/>
      <c r="G21" s="410"/>
      <c r="H21" s="1194">
        <f>IF(SUM(C21:G21)=0,0,AVERAGE(C21:G21))</f>
        <v>0</v>
      </c>
    </row>
    <row r="22" spans="1:10" ht="25.5">
      <c r="A22" s="405" t="s">
        <v>28</v>
      </c>
      <c r="B22" s="406" t="s">
        <v>241</v>
      </c>
      <c r="C22" s="408">
        <f t="shared" ref="C22:H22" si="1">C20-C21</f>
        <v>106397501</v>
      </c>
      <c r="D22" s="408">
        <f t="shared" si="1"/>
        <v>107193012</v>
      </c>
      <c r="E22" s="408">
        <f t="shared" si="1"/>
        <v>107593001</v>
      </c>
      <c r="F22" s="408">
        <f t="shared" si="1"/>
        <v>104215271.962</v>
      </c>
      <c r="G22" s="408">
        <f t="shared" si="1"/>
        <v>101711018.28400001</v>
      </c>
      <c r="H22" s="1195">
        <f t="shared" si="1"/>
        <v>105421960.84920001</v>
      </c>
    </row>
    <row r="23" spans="1:10" ht="25.5">
      <c r="A23" s="405" t="s">
        <v>242</v>
      </c>
      <c r="B23" s="406" t="s">
        <v>243</v>
      </c>
      <c r="C23" s="413">
        <f t="shared" ref="C23:H23" si="2">IF(C22=0,"",C19/C22)</f>
        <v>1.0478865846674226</v>
      </c>
      <c r="D23" s="413">
        <f t="shared" si="2"/>
        <v>1.0519675693623287</v>
      </c>
      <c r="E23" s="413">
        <f t="shared" si="2"/>
        <v>1.0422446116501602</v>
      </c>
      <c r="F23" s="413">
        <f t="shared" si="2"/>
        <v>1.0457400979541918</v>
      </c>
      <c r="G23" s="413">
        <f t="shared" si="2"/>
        <v>1.0434338200012783</v>
      </c>
      <c r="H23" s="1196">
        <f t="shared" si="2"/>
        <v>1.0462812726712236</v>
      </c>
    </row>
    <row r="24" spans="1:10" ht="13.5" customHeight="1">
      <c r="A24" s="414"/>
      <c r="B24" s="1270" t="s">
        <v>244</v>
      </c>
      <c r="C24" s="1271"/>
      <c r="D24" s="1271"/>
      <c r="E24" s="1271"/>
      <c r="F24" s="1271"/>
      <c r="G24" s="1271"/>
      <c r="H24" s="1272"/>
    </row>
    <row r="25" spans="1:10">
      <c r="A25" s="405" t="s">
        <v>245</v>
      </c>
      <c r="B25" s="406" t="s">
        <v>246</v>
      </c>
      <c r="C25" s="410">
        <v>1.034</v>
      </c>
      <c r="D25" s="410">
        <f>C25</f>
        <v>1.034</v>
      </c>
      <c r="E25" s="410">
        <f>D25</f>
        <v>1.034</v>
      </c>
      <c r="F25" s="410">
        <f>E25</f>
        <v>1.034</v>
      </c>
      <c r="G25" s="410">
        <f>F25</f>
        <v>1.034</v>
      </c>
      <c r="H25" s="411">
        <f>IF(SUM(C25:G25)=0,0,AVERAGE(C25:G25))</f>
        <v>1.034</v>
      </c>
    </row>
    <row r="26" spans="1:10">
      <c r="A26" s="414"/>
      <c r="B26" s="1270" t="s">
        <v>247</v>
      </c>
      <c r="C26" s="1271"/>
      <c r="D26" s="1271"/>
      <c r="E26" s="1271"/>
      <c r="F26" s="1271"/>
      <c r="G26" s="1271"/>
      <c r="H26" s="1272"/>
    </row>
    <row r="27" spans="1:10" ht="13.5" thickBot="1">
      <c r="A27" s="415" t="s">
        <v>248</v>
      </c>
      <c r="B27" s="416" t="s">
        <v>249</v>
      </c>
      <c r="C27" s="417">
        <f t="shared" ref="C27:H27" si="3">IF(C23="","",C23*C25)</f>
        <v>1.0835147285461151</v>
      </c>
      <c r="D27" s="417">
        <f t="shared" si="3"/>
        <v>1.0877344667206479</v>
      </c>
      <c r="E27" s="417">
        <f t="shared" si="3"/>
        <v>1.0776809284462656</v>
      </c>
      <c r="F27" s="417">
        <f t="shared" si="3"/>
        <v>1.0812952612846343</v>
      </c>
      <c r="G27" s="417">
        <f t="shared" si="3"/>
        <v>1.0789105698813217</v>
      </c>
      <c r="H27" s="418">
        <f t="shared" si="3"/>
        <v>1.0818548359420452</v>
      </c>
    </row>
    <row r="29" spans="1:10">
      <c r="A29" s="419" t="s">
        <v>250</v>
      </c>
      <c r="E29" s="423"/>
      <c r="F29" s="423"/>
      <c r="G29" s="423"/>
    </row>
    <row r="30" spans="1:10" ht="7.5" customHeight="1"/>
    <row r="32" spans="1:10">
      <c r="A32" s="420" t="s">
        <v>229</v>
      </c>
      <c r="B32" s="1255" t="s">
        <v>251</v>
      </c>
      <c r="C32" s="1255"/>
      <c r="D32" s="1255"/>
      <c r="E32" s="1255"/>
      <c r="F32" s="1255"/>
      <c r="G32" s="1255"/>
      <c r="H32" s="1255"/>
    </row>
    <row r="33" spans="1:8">
      <c r="A33" s="421"/>
      <c r="B33" s="1255"/>
      <c r="C33" s="1255"/>
      <c r="D33" s="1255"/>
      <c r="E33" s="1255"/>
      <c r="F33" s="1255"/>
      <c r="G33" s="1255"/>
      <c r="H33" s="1255"/>
    </row>
    <row r="34" spans="1:8">
      <c r="A34" s="421"/>
      <c r="B34" s="1255"/>
      <c r="C34" s="1255"/>
      <c r="D34" s="1255"/>
      <c r="E34" s="1255"/>
      <c r="F34" s="1255"/>
      <c r="G34" s="1255"/>
      <c r="H34" s="1255"/>
    </row>
    <row r="35" spans="1:8" ht="7.5" customHeight="1">
      <c r="A35" s="421"/>
      <c r="B35" s="422"/>
      <c r="C35" s="422"/>
      <c r="D35" s="422"/>
      <c r="E35" s="422"/>
      <c r="F35" s="422"/>
      <c r="G35" s="422"/>
      <c r="H35" s="422"/>
    </row>
    <row r="36" spans="1:8">
      <c r="A36" s="421"/>
      <c r="B36" s="1255" t="s">
        <v>252</v>
      </c>
      <c r="C36" s="1255"/>
      <c r="D36" s="1255"/>
      <c r="E36" s="1255"/>
      <c r="F36" s="1255"/>
      <c r="G36" s="1255"/>
      <c r="H36" s="1255"/>
    </row>
    <row r="37" spans="1:8">
      <c r="A37" s="421"/>
      <c r="B37" s="1255"/>
      <c r="C37" s="1255"/>
      <c r="D37" s="1255"/>
      <c r="E37" s="1255"/>
      <c r="F37" s="1255"/>
      <c r="G37" s="1255"/>
      <c r="H37" s="1255"/>
    </row>
    <row r="38" spans="1:8">
      <c r="A38" s="421"/>
      <c r="B38" s="1255"/>
      <c r="C38" s="1255"/>
      <c r="D38" s="1255"/>
      <c r="E38" s="1255"/>
      <c r="F38" s="1255"/>
      <c r="G38" s="1255"/>
      <c r="H38" s="1255"/>
    </row>
    <row r="39" spans="1:8">
      <c r="A39" s="421"/>
      <c r="B39" s="1255"/>
      <c r="C39" s="1255"/>
      <c r="D39" s="1255"/>
      <c r="E39" s="1255"/>
      <c r="F39" s="1255"/>
      <c r="G39" s="1255"/>
      <c r="H39" s="1255"/>
    </row>
    <row r="40" spans="1:8" ht="7.5" customHeight="1">
      <c r="A40" s="421"/>
      <c r="B40" s="422"/>
      <c r="C40" s="422"/>
      <c r="D40" s="422"/>
      <c r="E40" s="422"/>
      <c r="F40" s="422"/>
      <c r="G40" s="422"/>
      <c r="H40" s="422"/>
    </row>
    <row r="41" spans="1:8">
      <c r="A41" s="421"/>
      <c r="B41" s="422" t="s">
        <v>253</v>
      </c>
      <c r="C41" s="422"/>
      <c r="D41" s="422"/>
      <c r="E41" s="422"/>
      <c r="F41" s="422"/>
      <c r="G41" s="422"/>
      <c r="H41" s="422"/>
    </row>
    <row r="42" spans="1:8" ht="7.5" customHeight="1">
      <c r="A42" s="421"/>
      <c r="B42" s="422"/>
      <c r="C42" s="422"/>
      <c r="D42" s="422"/>
      <c r="E42" s="422"/>
      <c r="F42" s="422"/>
      <c r="G42" s="422"/>
      <c r="H42" s="422"/>
    </row>
    <row r="43" spans="1:8">
      <c r="A43" s="420" t="s">
        <v>232</v>
      </c>
      <c r="B43" s="1255" t="s">
        <v>254</v>
      </c>
      <c r="C43" s="1255"/>
      <c r="D43" s="1255"/>
      <c r="E43" s="1255"/>
      <c r="F43" s="1255"/>
      <c r="G43" s="1255"/>
      <c r="H43" s="1255"/>
    </row>
    <row r="44" spans="1:8">
      <c r="A44" s="421"/>
      <c r="B44" s="1255"/>
      <c r="C44" s="1255"/>
      <c r="D44" s="1255"/>
      <c r="E44" s="1255"/>
      <c r="F44" s="1255"/>
      <c r="G44" s="1255"/>
      <c r="H44" s="1255"/>
    </row>
    <row r="45" spans="1:8">
      <c r="A45" s="421"/>
      <c r="B45" s="1255"/>
      <c r="C45" s="1255"/>
      <c r="D45" s="1255"/>
      <c r="E45" s="1255"/>
      <c r="F45" s="1255"/>
      <c r="G45" s="1255"/>
      <c r="H45" s="1255"/>
    </row>
    <row r="46" spans="1:8" ht="7.5" customHeight="1">
      <c r="A46" s="421"/>
      <c r="B46" s="422"/>
      <c r="C46" s="422"/>
      <c r="D46" s="422"/>
      <c r="E46" s="422"/>
      <c r="F46" s="422"/>
      <c r="G46" s="422"/>
      <c r="H46" s="422"/>
    </row>
    <row r="47" spans="1:8" ht="12.75" customHeight="1">
      <c r="A47" s="421"/>
      <c r="B47" s="1255" t="s">
        <v>255</v>
      </c>
      <c r="C47" s="1255"/>
      <c r="D47" s="1255"/>
      <c r="E47" s="1255"/>
      <c r="F47" s="1255"/>
      <c r="G47" s="1255"/>
      <c r="H47" s="1255"/>
    </row>
    <row r="48" spans="1:8">
      <c r="A48" s="421"/>
      <c r="B48" s="1255"/>
      <c r="C48" s="1255"/>
      <c r="D48" s="1255"/>
      <c r="E48" s="1255"/>
      <c r="F48" s="1255"/>
      <c r="G48" s="1255"/>
      <c r="H48" s="1255"/>
    </row>
    <row r="49" spans="1:8">
      <c r="A49" s="421"/>
      <c r="B49" s="1255"/>
      <c r="C49" s="1255"/>
      <c r="D49" s="1255"/>
      <c r="E49" s="1255"/>
      <c r="F49" s="1255"/>
      <c r="G49" s="1255"/>
      <c r="H49" s="1255"/>
    </row>
    <row r="50" spans="1:8">
      <c r="A50" s="421"/>
      <c r="B50" s="1255"/>
      <c r="C50" s="1255"/>
      <c r="D50" s="1255"/>
      <c r="E50" s="1255"/>
      <c r="F50" s="1255"/>
      <c r="G50" s="1255"/>
      <c r="H50" s="1255"/>
    </row>
    <row r="51" spans="1:8" ht="7.5" customHeight="1">
      <c r="A51" s="421"/>
      <c r="B51" s="422"/>
      <c r="C51" s="422"/>
      <c r="D51" s="422"/>
      <c r="E51" s="422"/>
      <c r="F51" s="422"/>
      <c r="G51" s="422"/>
      <c r="H51" s="422"/>
    </row>
    <row r="52" spans="1:8">
      <c r="A52" s="421"/>
      <c r="B52" s="1273" t="s">
        <v>253</v>
      </c>
      <c r="C52" s="1273"/>
      <c r="D52" s="1273"/>
      <c r="E52" s="1273"/>
      <c r="F52" s="1273"/>
      <c r="G52" s="1273"/>
      <c r="H52" s="1273"/>
    </row>
    <row r="53" spans="1:8" ht="7.5" customHeight="1">
      <c r="A53" s="421"/>
      <c r="B53" s="422"/>
      <c r="C53" s="422"/>
      <c r="D53" s="422"/>
      <c r="E53" s="422"/>
      <c r="F53" s="422"/>
      <c r="G53" s="422"/>
      <c r="H53" s="422"/>
    </row>
    <row r="54" spans="1:8">
      <c r="A54" s="421"/>
      <c r="B54" s="1275" t="s">
        <v>256</v>
      </c>
      <c r="C54" s="1275"/>
      <c r="D54" s="1275"/>
      <c r="E54" s="1275"/>
      <c r="F54" s="1275"/>
      <c r="G54" s="1275"/>
      <c r="H54" s="1275"/>
    </row>
    <row r="55" spans="1:8">
      <c r="A55" s="421"/>
      <c r="B55" s="1275"/>
      <c r="C55" s="1275"/>
      <c r="D55" s="1275"/>
      <c r="E55" s="1275"/>
      <c r="F55" s="1275"/>
      <c r="G55" s="1275"/>
      <c r="H55" s="1275"/>
    </row>
    <row r="56" spans="1:8" ht="7.5" customHeight="1">
      <c r="A56" s="421"/>
      <c r="B56" s="422"/>
      <c r="C56" s="422"/>
      <c r="D56" s="422"/>
      <c r="E56" s="422"/>
      <c r="F56" s="422"/>
      <c r="G56" s="422"/>
      <c r="H56" s="422"/>
    </row>
    <row r="57" spans="1:8">
      <c r="A57" s="420" t="s">
        <v>212</v>
      </c>
      <c r="B57" s="1255" t="s">
        <v>257</v>
      </c>
      <c r="C57" s="1255"/>
      <c r="D57" s="1255"/>
      <c r="E57" s="1255"/>
      <c r="F57" s="1255"/>
      <c r="G57" s="1255"/>
      <c r="H57" s="1255"/>
    </row>
    <row r="58" spans="1:8">
      <c r="A58" s="421"/>
      <c r="B58" s="1255"/>
      <c r="C58" s="1255"/>
      <c r="D58" s="1255"/>
      <c r="E58" s="1255"/>
      <c r="F58" s="1255"/>
      <c r="G58" s="1255"/>
      <c r="H58" s="1255"/>
    </row>
    <row r="59" spans="1:8" ht="7.5" customHeight="1">
      <c r="A59" s="421"/>
      <c r="B59" s="422"/>
      <c r="C59" s="422"/>
      <c r="D59" s="422"/>
      <c r="E59" s="422"/>
      <c r="F59" s="422"/>
      <c r="G59" s="422"/>
      <c r="H59" s="422"/>
    </row>
    <row r="60" spans="1:8">
      <c r="A60" s="420" t="s">
        <v>238</v>
      </c>
      <c r="B60" s="1255" t="s">
        <v>258</v>
      </c>
      <c r="C60" s="1255"/>
      <c r="D60" s="1255"/>
      <c r="E60" s="1255"/>
      <c r="F60" s="1255"/>
      <c r="G60" s="1255"/>
      <c r="H60" s="1255"/>
    </row>
    <row r="61" spans="1:8">
      <c r="A61" s="421"/>
      <c r="B61" s="1255"/>
      <c r="C61" s="1255"/>
      <c r="D61" s="1255"/>
      <c r="E61" s="1255"/>
      <c r="F61" s="1255"/>
      <c r="G61" s="1255"/>
      <c r="H61" s="1255"/>
    </row>
    <row r="62" spans="1:8">
      <c r="A62" s="421"/>
      <c r="B62" s="422"/>
      <c r="C62" s="422"/>
      <c r="D62" s="422"/>
      <c r="E62" s="422"/>
      <c r="F62" s="422"/>
      <c r="G62" s="422"/>
      <c r="H62" s="422"/>
    </row>
    <row r="63" spans="1:8">
      <c r="A63" s="420" t="s">
        <v>259</v>
      </c>
      <c r="B63" s="1273" t="s">
        <v>260</v>
      </c>
      <c r="C63" s="1273"/>
      <c r="D63" s="1273"/>
      <c r="E63" s="1273"/>
      <c r="F63" s="1273"/>
      <c r="G63" s="1273"/>
      <c r="H63" s="1273"/>
    </row>
    <row r="64" spans="1:8">
      <c r="A64" s="421"/>
      <c r="B64" s="422"/>
      <c r="C64" s="422"/>
      <c r="D64" s="422"/>
      <c r="E64" s="422"/>
      <c r="F64" s="422"/>
      <c r="G64" s="422"/>
      <c r="H64" s="422"/>
    </row>
    <row r="65" spans="1:8">
      <c r="A65" s="420" t="s">
        <v>245</v>
      </c>
      <c r="B65" s="1273" t="s">
        <v>261</v>
      </c>
      <c r="C65" s="1273"/>
      <c r="D65" s="1273"/>
      <c r="E65" s="1273"/>
      <c r="F65" s="1273"/>
      <c r="G65" s="1273"/>
      <c r="H65" s="1273"/>
    </row>
    <row r="66" spans="1:8">
      <c r="A66" s="422"/>
      <c r="B66" s="422"/>
      <c r="C66" s="422"/>
      <c r="D66" s="422"/>
      <c r="E66" s="422"/>
      <c r="F66" s="422"/>
      <c r="G66" s="422"/>
      <c r="H66" s="422"/>
    </row>
    <row r="67" spans="1:8">
      <c r="A67" s="422"/>
      <c r="B67" s="1255" t="s">
        <v>262</v>
      </c>
      <c r="C67" s="1255"/>
      <c r="D67" s="1255"/>
      <c r="E67" s="1255"/>
      <c r="F67" s="1255"/>
      <c r="G67" s="1255"/>
      <c r="H67" s="422"/>
    </row>
    <row r="68" spans="1:8">
      <c r="A68" s="422"/>
      <c r="B68" s="1255"/>
      <c r="C68" s="1255"/>
      <c r="D68" s="1255"/>
      <c r="E68" s="1255"/>
      <c r="F68" s="1255"/>
      <c r="G68" s="1255"/>
      <c r="H68" s="422"/>
    </row>
    <row r="69" spans="1:8">
      <c r="A69" s="422"/>
      <c r="B69" s="1255"/>
      <c r="C69" s="1255"/>
      <c r="D69" s="1255"/>
      <c r="E69" s="1255"/>
      <c r="F69" s="1255"/>
      <c r="G69" s="1255"/>
      <c r="H69" s="422"/>
    </row>
    <row r="70" spans="1:8">
      <c r="A70" s="422"/>
      <c r="B70" s="422"/>
      <c r="C70" s="422"/>
      <c r="D70" s="422"/>
      <c r="E70" s="422"/>
      <c r="F70" s="422"/>
      <c r="G70" s="422"/>
      <c r="H70" s="422"/>
    </row>
    <row r="71" spans="1:8">
      <c r="B71" s="1273" t="s">
        <v>263</v>
      </c>
      <c r="C71" s="1274"/>
      <c r="D71" s="1274"/>
      <c r="E71" s="1274"/>
      <c r="F71" s="1274"/>
      <c r="G71" s="1274"/>
      <c r="H71" s="1274"/>
    </row>
    <row r="72" spans="1:8">
      <c r="B72" s="398" t="s">
        <v>264</v>
      </c>
    </row>
  </sheetData>
  <mergeCells count="21">
    <mergeCell ref="B65:H65"/>
    <mergeCell ref="B67:G69"/>
    <mergeCell ref="B71:H71"/>
    <mergeCell ref="B47:H50"/>
    <mergeCell ref="B52:H52"/>
    <mergeCell ref="B54:H55"/>
    <mergeCell ref="B57:H58"/>
    <mergeCell ref="B60:H61"/>
    <mergeCell ref="B63:H63"/>
    <mergeCell ref="B43:H45"/>
    <mergeCell ref="A9:H9"/>
    <mergeCell ref="A10:H10"/>
    <mergeCell ref="A11:H11"/>
    <mergeCell ref="A13:B14"/>
    <mergeCell ref="C13:G13"/>
    <mergeCell ref="H13:H14"/>
    <mergeCell ref="B15:H15"/>
    <mergeCell ref="B24:H24"/>
    <mergeCell ref="B26:H26"/>
    <mergeCell ref="B32:H34"/>
    <mergeCell ref="B36:H39"/>
  </mergeCells>
  <dataValidations count="1">
    <dataValidation allowBlank="1" showInputMessage="1" showErrorMessage="1" promptTitle="Date Format" prompt="E.g:  &quot;August 1, 2011&quot;" sqref="H7"/>
  </dataValidations>
  <pageMargins left="0.75" right="0.75" top="1" bottom="1" header="0.5" footer="0.5"/>
  <pageSetup scale="64" fitToHeight="0" orientation="portrait" r:id="rId1"/>
  <headerFooter alignWithMargins="0"/>
  <legacyDrawing r:id="rId2"/>
</worksheet>
</file>

<file path=xl/worksheets/sheet17.xml><?xml version="1.0" encoding="utf-8"?>
<worksheet xmlns="http://schemas.openxmlformats.org/spreadsheetml/2006/main" xmlns:r="http://schemas.openxmlformats.org/officeDocument/2006/relationships">
  <dimension ref="A1"/>
  <sheetViews>
    <sheetView workbookViewId="0">
      <selection activeCell="J27" sqref="J27"/>
    </sheetView>
  </sheetViews>
  <sheetFormatPr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H142"/>
  <sheetViews>
    <sheetView topLeftCell="A100" zoomScale="90" zoomScaleNormal="90" workbookViewId="0">
      <selection activeCell="B116" sqref="B116"/>
    </sheetView>
  </sheetViews>
  <sheetFormatPr defaultRowHeight="12.75"/>
  <cols>
    <col min="2" max="2" width="34.5703125" customWidth="1"/>
    <col min="3" max="3" width="19.7109375" customWidth="1"/>
    <col min="4" max="4" width="17.42578125" customWidth="1"/>
    <col min="5" max="5" width="11.85546875" customWidth="1"/>
  </cols>
  <sheetData>
    <row r="1" spans="1:7" ht="15">
      <c r="B1" s="988" t="s">
        <v>496</v>
      </c>
    </row>
    <row r="4" spans="1:7" ht="15">
      <c r="B4" s="989" t="s">
        <v>497</v>
      </c>
    </row>
    <row r="5" spans="1:7" ht="13.5" thickBot="1"/>
    <row r="6" spans="1:7" ht="13.5" thickTop="1">
      <c r="A6" s="835" t="s">
        <v>406</v>
      </c>
      <c r="B6" s="836" t="s">
        <v>407</v>
      </c>
      <c r="C6" s="836" t="s">
        <v>340</v>
      </c>
      <c r="D6" s="837" t="s">
        <v>341</v>
      </c>
      <c r="E6" s="837" t="s">
        <v>162</v>
      </c>
      <c r="F6" s="843" t="s">
        <v>162</v>
      </c>
    </row>
    <row r="7" spans="1:7">
      <c r="A7" s="838"/>
      <c r="B7" s="839"/>
      <c r="C7" s="839"/>
      <c r="D7" s="840"/>
      <c r="E7" s="840"/>
      <c r="F7" s="844"/>
    </row>
    <row r="8" spans="1:7">
      <c r="A8" s="992"/>
      <c r="B8" s="993" t="s">
        <v>408</v>
      </c>
      <c r="C8" s="840"/>
      <c r="D8" s="840"/>
      <c r="E8" s="990" t="s">
        <v>419</v>
      </c>
      <c r="F8" s="991" t="s">
        <v>159</v>
      </c>
    </row>
    <row r="9" spans="1:7">
      <c r="A9" s="841">
        <v>4235</v>
      </c>
      <c r="B9" s="853" t="s">
        <v>351</v>
      </c>
      <c r="C9" s="852">
        <v>88900</v>
      </c>
      <c r="D9" s="852">
        <f>'[19]App.2-H_Other_Oper_Rev'!C15</f>
        <v>113461.25</v>
      </c>
      <c r="E9" s="852">
        <f>D9-C9</f>
        <v>24561.25</v>
      </c>
      <c r="F9" s="851">
        <f>E9/C9</f>
        <v>0.2762795275590551</v>
      </c>
      <c r="G9" s="15"/>
    </row>
    <row r="10" spans="1:7">
      <c r="A10" s="841">
        <v>4225</v>
      </c>
      <c r="B10" s="853" t="s">
        <v>352</v>
      </c>
      <c r="C10" s="852">
        <v>32400</v>
      </c>
      <c r="D10" s="852">
        <f>'[19]App.2-H_Other_Oper_Rev'!C16</f>
        <v>57518.62</v>
      </c>
      <c r="E10" s="852">
        <f t="shared" ref="E10:E21" si="0">D10-C10</f>
        <v>25118.620000000003</v>
      </c>
      <c r="F10" s="851">
        <f t="shared" ref="F10:F21" si="1">E10/C10</f>
        <v>0.77526604938271615</v>
      </c>
      <c r="G10" s="15"/>
    </row>
    <row r="11" spans="1:7">
      <c r="A11" s="841">
        <v>4082</v>
      </c>
      <c r="B11" s="853" t="s">
        <v>409</v>
      </c>
      <c r="C11" s="852">
        <v>8550</v>
      </c>
      <c r="D11" s="852">
        <f>'[19]App.2-H_Other_Oper_Rev'!C17</f>
        <v>6062.39</v>
      </c>
      <c r="E11" s="852">
        <f t="shared" si="0"/>
        <v>-2487.6099999999997</v>
      </c>
      <c r="F11" s="851">
        <f t="shared" si="1"/>
        <v>-0.29094853801169585</v>
      </c>
      <c r="G11" s="15"/>
    </row>
    <row r="12" spans="1:7">
      <c r="A12" s="841">
        <v>4084</v>
      </c>
      <c r="B12" s="997" t="s">
        <v>410</v>
      </c>
      <c r="C12" s="852">
        <v>136</v>
      </c>
      <c r="D12" s="852">
        <f>'[19]App.2-H_Other_Oper_Rev'!C18</f>
        <v>78.25</v>
      </c>
      <c r="E12" s="852">
        <f t="shared" si="0"/>
        <v>-57.75</v>
      </c>
      <c r="F12" s="851">
        <f t="shared" si="1"/>
        <v>-0.42463235294117646</v>
      </c>
      <c r="G12" s="15"/>
    </row>
    <row r="13" spans="1:7">
      <c r="A13" s="841">
        <v>4086</v>
      </c>
      <c r="B13" s="853" t="s">
        <v>411</v>
      </c>
      <c r="C13" s="852">
        <v>21528</v>
      </c>
      <c r="D13" s="852">
        <f>'[19]App.2-H_Other_Oper_Rev'!C19</f>
        <v>23748.959999999999</v>
      </c>
      <c r="E13" s="852">
        <f t="shared" si="0"/>
        <v>2220.9599999999991</v>
      </c>
      <c r="F13" s="851">
        <f t="shared" si="1"/>
        <v>0.10316610925306574</v>
      </c>
      <c r="G13" s="15"/>
    </row>
    <row r="14" spans="1:7">
      <c r="A14" s="841">
        <v>4210</v>
      </c>
      <c r="B14" s="853" t="s">
        <v>412</v>
      </c>
      <c r="C14" s="852">
        <v>44029</v>
      </c>
      <c r="D14" s="852">
        <f>'[19]App.2-H_Other_Oper_Rev'!C20</f>
        <v>44454.03</v>
      </c>
      <c r="E14" s="852">
        <f t="shared" si="0"/>
        <v>425.02999999999884</v>
      </c>
      <c r="F14" s="851">
        <f t="shared" si="1"/>
        <v>9.6534102523336621E-3</v>
      </c>
      <c r="G14" s="15"/>
    </row>
    <row r="15" spans="1:7">
      <c r="A15" s="841"/>
      <c r="B15" s="853"/>
      <c r="C15" s="852"/>
      <c r="D15" s="852"/>
      <c r="E15" s="852"/>
      <c r="F15" s="851"/>
      <c r="G15" s="15"/>
    </row>
    <row r="16" spans="1:7">
      <c r="A16" s="841">
        <v>4355</v>
      </c>
      <c r="B16" s="997" t="s">
        <v>413</v>
      </c>
      <c r="C16" s="852">
        <v>0</v>
      </c>
      <c r="D16" s="852">
        <f>'[19]App.2-H_Other_Oper_Rev'!C22</f>
        <v>9339.7999999999993</v>
      </c>
      <c r="E16" s="852">
        <f t="shared" si="0"/>
        <v>9339.7999999999993</v>
      </c>
      <c r="F16" s="851"/>
      <c r="G16" s="15"/>
    </row>
    <row r="17" spans="1:8">
      <c r="A17" s="841">
        <v>4360</v>
      </c>
      <c r="B17" s="853" t="s">
        <v>414</v>
      </c>
      <c r="C17" s="852">
        <v>0</v>
      </c>
      <c r="D17" s="852">
        <f>'[19]App.2-H_Other_Oper_Rev'!C23</f>
        <v>-8639.9500000000007</v>
      </c>
      <c r="E17" s="852">
        <f t="shared" si="0"/>
        <v>-8639.9500000000007</v>
      </c>
      <c r="F17" s="851"/>
      <c r="G17" s="15"/>
    </row>
    <row r="18" spans="1:8">
      <c r="A18" s="841">
        <v>4375</v>
      </c>
      <c r="B18" s="853" t="s">
        <v>415</v>
      </c>
      <c r="C18" s="852">
        <v>0</v>
      </c>
      <c r="D18" s="852">
        <f>'[19]App.2-H_Other_Oper_Rev'!C24</f>
        <v>22151</v>
      </c>
      <c r="E18" s="852">
        <f t="shared" si="0"/>
        <v>22151</v>
      </c>
      <c r="F18" s="851"/>
      <c r="G18" s="15"/>
    </row>
    <row r="19" spans="1:8">
      <c r="A19" s="841">
        <v>4380</v>
      </c>
      <c r="B19" s="853" t="s">
        <v>416</v>
      </c>
      <c r="C19" s="852">
        <v>0</v>
      </c>
      <c r="D19" s="852">
        <f>'[19]App.2-H_Other_Oper_Rev'!C25</f>
        <v>1106.49</v>
      </c>
      <c r="E19" s="852">
        <f t="shared" si="0"/>
        <v>1106.49</v>
      </c>
      <c r="F19" s="851"/>
      <c r="G19" s="15"/>
    </row>
    <row r="20" spans="1:8">
      <c r="A20" s="841">
        <v>4390</v>
      </c>
      <c r="B20" s="853" t="s">
        <v>417</v>
      </c>
      <c r="C20" s="852">
        <v>0</v>
      </c>
      <c r="D20" s="852">
        <f>'[19]App.2-H_Other_Oper_Rev'!C26</f>
        <v>1410.99</v>
      </c>
      <c r="E20" s="852">
        <f t="shared" si="0"/>
        <v>1410.99</v>
      </c>
      <c r="F20" s="851"/>
      <c r="G20" s="15"/>
    </row>
    <row r="21" spans="1:8">
      <c r="A21" s="841">
        <v>4405</v>
      </c>
      <c r="B21" s="997" t="s">
        <v>418</v>
      </c>
      <c r="C21" s="852">
        <v>12000</v>
      </c>
      <c r="D21" s="852">
        <f>'[19]App.2-H_Other_Oper_Rev'!C27</f>
        <v>2110.44</v>
      </c>
      <c r="E21" s="852">
        <f t="shared" si="0"/>
        <v>-9889.56</v>
      </c>
      <c r="F21" s="851">
        <f t="shared" si="1"/>
        <v>-0.82412999999999992</v>
      </c>
      <c r="G21" s="15"/>
    </row>
    <row r="22" spans="1:8" s="719" customFormat="1">
      <c r="A22" s="841"/>
      <c r="B22" s="853"/>
      <c r="C22" s="852"/>
      <c r="D22" s="852"/>
      <c r="E22" s="852"/>
      <c r="F22" s="854"/>
      <c r="G22" s="15"/>
      <c r="H22"/>
    </row>
    <row r="23" spans="1:8" s="719" customFormat="1">
      <c r="A23" s="841"/>
      <c r="B23" s="853"/>
      <c r="C23" s="852"/>
      <c r="D23" s="852"/>
      <c r="E23" s="852"/>
      <c r="F23" s="854"/>
      <c r="G23" s="15"/>
      <c r="H23"/>
    </row>
    <row r="24" spans="1:8" s="719" customFormat="1">
      <c r="A24" s="855"/>
      <c r="B24" s="856"/>
      <c r="C24" s="857"/>
      <c r="D24" s="857"/>
      <c r="E24" s="857"/>
      <c r="F24" s="861"/>
      <c r="G24" s="15"/>
      <c r="H24"/>
    </row>
    <row r="25" spans="1:8" s="719" customFormat="1">
      <c r="A25" s="1210" t="s">
        <v>351</v>
      </c>
      <c r="B25" s="1211"/>
      <c r="C25" s="852">
        <f t="shared" ref="C25:E26" si="2">C9</f>
        <v>88900</v>
      </c>
      <c r="D25" s="852">
        <f t="shared" si="2"/>
        <v>113461.25</v>
      </c>
      <c r="E25" s="852">
        <f t="shared" si="2"/>
        <v>24561.25</v>
      </c>
      <c r="F25" s="851">
        <f>E25/C25</f>
        <v>0.2762795275590551</v>
      </c>
      <c r="G25" s="15"/>
      <c r="H25"/>
    </row>
    <row r="26" spans="1:8" s="719" customFormat="1">
      <c r="A26" s="1210" t="s">
        <v>352</v>
      </c>
      <c r="B26" s="1211"/>
      <c r="C26" s="852">
        <f t="shared" si="2"/>
        <v>32400</v>
      </c>
      <c r="D26" s="852">
        <f t="shared" si="2"/>
        <v>57518.62</v>
      </c>
      <c r="E26" s="852">
        <f t="shared" si="2"/>
        <v>25118.620000000003</v>
      </c>
      <c r="F26" s="851">
        <f>E26/C26</f>
        <v>0.77526604938271615</v>
      </c>
      <c r="G26" s="15"/>
      <c r="H26"/>
    </row>
    <row r="27" spans="1:8" s="719" customFormat="1">
      <c r="A27" s="1210" t="s">
        <v>353</v>
      </c>
      <c r="B27" s="1211"/>
      <c r="C27" s="852">
        <f>SUM(C11:C14)</f>
        <v>74243</v>
      </c>
      <c r="D27" s="852">
        <f>SUM(D11:D14)</f>
        <v>74343.63</v>
      </c>
      <c r="E27" s="852">
        <f>SUM(E11:E14)</f>
        <v>100.62999999999829</v>
      </c>
      <c r="F27" s="851">
        <f>E27/C27</f>
        <v>1.355413978422185E-3</v>
      </c>
      <c r="G27" s="15"/>
      <c r="H27"/>
    </row>
    <row r="28" spans="1:8" s="719" customFormat="1" ht="13.5" thickBot="1">
      <c r="A28" s="1212" t="s">
        <v>354</v>
      </c>
      <c r="B28" s="1213"/>
      <c r="C28" s="724">
        <f>SUM(C16:C21)</f>
        <v>12000</v>
      </c>
      <c r="D28" s="724">
        <f>SUM(D16:D21)</f>
        <v>27478.77</v>
      </c>
      <c r="E28" s="724">
        <f>SUM(E16:E21)</f>
        <v>15478.770000000002</v>
      </c>
      <c r="F28" s="848">
        <f>E28/C28</f>
        <v>1.2898975000000001</v>
      </c>
      <c r="G28" s="15"/>
      <c r="H28"/>
    </row>
    <row r="29" spans="1:8" s="719" customFormat="1" ht="14.25" thickTop="1" thickBot="1">
      <c r="A29" s="1216" t="s">
        <v>5</v>
      </c>
      <c r="B29" s="1217"/>
      <c r="C29" s="725">
        <f>SUM(C25:C28)</f>
        <v>207543</v>
      </c>
      <c r="D29" s="725">
        <f>SUM(D25:D28)</f>
        <v>272802.27</v>
      </c>
      <c r="E29" s="725">
        <f>SUM(E25:E28)</f>
        <v>65259.270000000004</v>
      </c>
      <c r="F29" s="849">
        <f>E29/C29</f>
        <v>0.3144373455139417</v>
      </c>
      <c r="G29" s="15"/>
      <c r="H29"/>
    </row>
    <row r="30" spans="1:8">
      <c r="A30" s="15"/>
      <c r="B30" s="15"/>
      <c r="C30" s="15"/>
      <c r="D30" s="999">
        <f>D29-'[19]App.2-H_Other_Oper_Rev'!$C$35</f>
        <v>0</v>
      </c>
      <c r="E30" s="15"/>
      <c r="F30" s="15"/>
      <c r="G30" s="15"/>
    </row>
    <row r="32" spans="1:8" ht="15.75">
      <c r="B32" s="721" t="s">
        <v>498</v>
      </c>
    </row>
    <row r="33" spans="1:6" ht="13.5" thickBot="1"/>
    <row r="34" spans="1:6" ht="13.5" thickTop="1">
      <c r="A34" s="835" t="s">
        <v>406</v>
      </c>
      <c r="B34" s="836" t="s">
        <v>407</v>
      </c>
      <c r="C34" s="837" t="s">
        <v>341</v>
      </c>
      <c r="D34" s="837" t="s">
        <v>342</v>
      </c>
      <c r="E34" s="837" t="s">
        <v>162</v>
      </c>
      <c r="F34" s="843" t="s">
        <v>162</v>
      </c>
    </row>
    <row r="35" spans="1:6">
      <c r="A35" s="838"/>
      <c r="B35" s="839"/>
      <c r="C35" s="839"/>
      <c r="D35" s="840"/>
      <c r="E35" s="840"/>
      <c r="F35" s="844"/>
    </row>
    <row r="36" spans="1:6">
      <c r="A36" s="992"/>
      <c r="B36" s="993" t="s">
        <v>408</v>
      </c>
      <c r="C36" s="840"/>
      <c r="D36" s="840"/>
      <c r="E36" s="990" t="s">
        <v>419</v>
      </c>
      <c r="F36" s="991" t="s">
        <v>159</v>
      </c>
    </row>
    <row r="37" spans="1:6">
      <c r="A37" s="841">
        <v>4235</v>
      </c>
      <c r="B37" s="722" t="s">
        <v>351</v>
      </c>
      <c r="C37" s="720">
        <f>'[19]App.2-H_Other_Oper_Rev'!C15</f>
        <v>113461.25</v>
      </c>
      <c r="D37" s="720">
        <f>'[19]App.2-H_Other_Oper_Rev'!D15</f>
        <v>98803.450000000012</v>
      </c>
      <c r="E37" s="720">
        <f t="shared" ref="E37:E42" si="3">D37-C37</f>
        <v>-14657.799999999988</v>
      </c>
      <c r="F37" s="845">
        <f>E37/C37</f>
        <v>-0.12918771827385991</v>
      </c>
    </row>
    <row r="38" spans="1:6">
      <c r="A38" s="841">
        <v>4225</v>
      </c>
      <c r="B38" s="722" t="s">
        <v>352</v>
      </c>
      <c r="C38" s="720">
        <f>'[19]App.2-H_Other_Oper_Rev'!C16</f>
        <v>57518.62</v>
      </c>
      <c r="D38" s="720">
        <f>'[19]App.2-H_Other_Oper_Rev'!D16</f>
        <v>59435.51</v>
      </c>
      <c r="E38" s="720">
        <f t="shared" si="3"/>
        <v>1916.8899999999994</v>
      </c>
      <c r="F38" s="845">
        <f t="shared" ref="F38:F48" si="4">E38/C38</f>
        <v>3.3326425425366589E-2</v>
      </c>
    </row>
    <row r="39" spans="1:6">
      <c r="A39" s="841">
        <v>4082</v>
      </c>
      <c r="B39" s="722" t="s">
        <v>409</v>
      </c>
      <c r="C39" s="720">
        <f>'[19]App.2-H_Other_Oper_Rev'!C17</f>
        <v>6062.39</v>
      </c>
      <c r="D39" s="720">
        <f>'[19]App.2-H_Other_Oper_Rev'!D17</f>
        <v>6345.37</v>
      </c>
      <c r="E39" s="720">
        <f t="shared" si="3"/>
        <v>282.97999999999956</v>
      </c>
      <c r="F39" s="845">
        <f t="shared" si="4"/>
        <v>4.6677960342373148E-2</v>
      </c>
    </row>
    <row r="40" spans="1:6">
      <c r="A40" s="841">
        <v>4084</v>
      </c>
      <c r="B40" s="994" t="s">
        <v>410</v>
      </c>
      <c r="C40" s="720">
        <f>'[19]App.2-H_Other_Oper_Rev'!C18</f>
        <v>78.25</v>
      </c>
      <c r="D40" s="720">
        <f>'[19]App.2-H_Other_Oper_Rev'!D18</f>
        <v>79.5</v>
      </c>
      <c r="E40" s="720">
        <f t="shared" si="3"/>
        <v>1.25</v>
      </c>
      <c r="F40" s="845">
        <f t="shared" si="4"/>
        <v>1.5974440894568689E-2</v>
      </c>
    </row>
    <row r="41" spans="1:6">
      <c r="A41" s="841">
        <v>4086</v>
      </c>
      <c r="B41" s="722" t="s">
        <v>411</v>
      </c>
      <c r="C41" s="720">
        <f>'[19]App.2-H_Other_Oper_Rev'!C19</f>
        <v>23748.959999999999</v>
      </c>
      <c r="D41" s="720">
        <f>'[19]App.2-H_Other_Oper_Rev'!D19</f>
        <v>22339.68</v>
      </c>
      <c r="E41" s="720">
        <f t="shared" si="3"/>
        <v>-1409.2799999999988</v>
      </c>
      <c r="F41" s="845">
        <f t="shared" si="4"/>
        <v>-5.9340703761343608E-2</v>
      </c>
    </row>
    <row r="42" spans="1:6">
      <c r="A42" s="841">
        <v>4210</v>
      </c>
      <c r="B42" s="722" t="s">
        <v>412</v>
      </c>
      <c r="C42" s="720">
        <f>'[19]App.2-H_Other_Oper_Rev'!C20</f>
        <v>44454.03</v>
      </c>
      <c r="D42" s="720">
        <f>'[19]App.2-H_Other_Oper_Rev'!D20</f>
        <v>44476.38</v>
      </c>
      <c r="E42" s="720">
        <f t="shared" si="3"/>
        <v>22.349999999998545</v>
      </c>
      <c r="F42" s="845">
        <f t="shared" si="4"/>
        <v>5.0276656582088383E-4</v>
      </c>
    </row>
    <row r="43" spans="1:6">
      <c r="A43" s="841"/>
      <c r="B43" s="722"/>
      <c r="C43" s="720">
        <f>'[19]App.2-H_Other_Oper_Rev'!C21</f>
        <v>0</v>
      </c>
      <c r="D43" s="720">
        <f>'[19]App.2-H_Other_Oper_Rev'!D21</f>
        <v>0</v>
      </c>
      <c r="E43" s="720"/>
      <c r="F43" s="845"/>
    </row>
    <row r="44" spans="1:6">
      <c r="A44" s="841">
        <v>4355</v>
      </c>
      <c r="B44" s="994" t="s">
        <v>413</v>
      </c>
      <c r="C44" s="720">
        <f>'[19]App.2-H_Other_Oper_Rev'!C22</f>
        <v>9339.7999999999993</v>
      </c>
      <c r="D44" s="720">
        <f>'[19]App.2-H_Other_Oper_Rev'!D22</f>
        <v>0</v>
      </c>
      <c r="E44" s="720">
        <f t="shared" ref="E44:E49" si="5">D44-C44</f>
        <v>-9339.7999999999993</v>
      </c>
      <c r="F44" s="845"/>
    </row>
    <row r="45" spans="1:6">
      <c r="A45" s="841">
        <v>4360</v>
      </c>
      <c r="B45" s="722" t="s">
        <v>414</v>
      </c>
      <c r="C45" s="720">
        <f>'[19]App.2-H_Other_Oper_Rev'!C23</f>
        <v>-8639.9500000000007</v>
      </c>
      <c r="D45" s="720">
        <f>'[19]App.2-H_Other_Oper_Rev'!D23</f>
        <v>-8678.41</v>
      </c>
      <c r="E45" s="720">
        <f t="shared" si="5"/>
        <v>-38.459999999999127</v>
      </c>
      <c r="F45" s="845">
        <f t="shared" si="4"/>
        <v>4.4514146493902307E-3</v>
      </c>
    </row>
    <row r="46" spans="1:6">
      <c r="A46" s="841">
        <v>4375</v>
      </c>
      <c r="B46" s="722" t="s">
        <v>415</v>
      </c>
      <c r="C46" s="720">
        <f>'[19]App.2-H_Other_Oper_Rev'!C24</f>
        <v>22151</v>
      </c>
      <c r="D46" s="720">
        <f>'[19]App.2-H_Other_Oper_Rev'!D24</f>
        <v>14919.86</v>
      </c>
      <c r="E46" s="720">
        <f t="shared" si="5"/>
        <v>-7231.1399999999994</v>
      </c>
      <c r="F46" s="845">
        <f t="shared" si="4"/>
        <v>-0.32644756444404316</v>
      </c>
    </row>
    <row r="47" spans="1:6">
      <c r="A47" s="841">
        <v>4380</v>
      </c>
      <c r="B47" s="722" t="s">
        <v>416</v>
      </c>
      <c r="C47" s="720">
        <f>'[19]App.2-H_Other_Oper_Rev'!C25</f>
        <v>1106.49</v>
      </c>
      <c r="D47" s="720">
        <f>'[19]App.2-H_Other_Oper_Rev'!D25</f>
        <v>-2302.0100000000002</v>
      </c>
      <c r="E47" s="720">
        <f t="shared" si="5"/>
        <v>-3408.5</v>
      </c>
      <c r="F47" s="845">
        <f t="shared" si="4"/>
        <v>-3.0804616399605962</v>
      </c>
    </row>
    <row r="48" spans="1:6">
      <c r="A48" s="841">
        <v>4390</v>
      </c>
      <c r="B48" s="722" t="s">
        <v>417</v>
      </c>
      <c r="C48" s="720">
        <f>'[19]App.2-H_Other_Oper_Rev'!C26</f>
        <v>1410.99</v>
      </c>
      <c r="D48" s="720">
        <f>'[19]App.2-H_Other_Oper_Rev'!D26</f>
        <v>2940</v>
      </c>
      <c r="E48" s="720">
        <f t="shared" si="5"/>
        <v>1529.01</v>
      </c>
      <c r="F48" s="845">
        <f t="shared" si="4"/>
        <v>1.0836433993153742</v>
      </c>
    </row>
    <row r="49" spans="1:6">
      <c r="A49" s="841">
        <v>4405</v>
      </c>
      <c r="B49" s="994" t="s">
        <v>418</v>
      </c>
      <c r="C49" s="720">
        <f>'[19]App.2-H_Other_Oper_Rev'!C27</f>
        <v>2110.44</v>
      </c>
      <c r="D49" s="720">
        <f>'[19]App.2-H_Other_Oper_Rev'!D27</f>
        <v>14881.39</v>
      </c>
      <c r="E49" s="720">
        <f t="shared" si="5"/>
        <v>12770.949999999999</v>
      </c>
      <c r="F49" s="845">
        <f>E49/C49</f>
        <v>6.0513210515342761</v>
      </c>
    </row>
    <row r="50" spans="1:6">
      <c r="A50" s="841"/>
      <c r="B50" s="722"/>
      <c r="C50" s="720"/>
      <c r="D50" s="720"/>
      <c r="E50" s="720"/>
      <c r="F50" s="846"/>
    </row>
    <row r="51" spans="1:6">
      <c r="A51" s="841"/>
      <c r="B51" s="722"/>
      <c r="C51" s="720"/>
      <c r="D51" s="720"/>
      <c r="E51" s="720"/>
      <c r="F51" s="846"/>
    </row>
    <row r="52" spans="1:6">
      <c r="A52" s="995"/>
      <c r="B52" s="998"/>
      <c r="C52" s="842"/>
      <c r="D52" s="842"/>
      <c r="E52" s="842"/>
      <c r="F52" s="847"/>
    </row>
    <row r="53" spans="1:6">
      <c r="A53" s="1218" t="s">
        <v>351</v>
      </c>
      <c r="B53" s="1219"/>
      <c r="C53" s="852">
        <f t="shared" ref="C53:E54" si="6">C37</f>
        <v>113461.25</v>
      </c>
      <c r="D53" s="852">
        <f t="shared" si="6"/>
        <v>98803.450000000012</v>
      </c>
      <c r="E53" s="852">
        <f t="shared" si="6"/>
        <v>-14657.799999999988</v>
      </c>
      <c r="F53" s="851">
        <f>E53/C53</f>
        <v>-0.12918771827385991</v>
      </c>
    </row>
    <row r="54" spans="1:6">
      <c r="A54" s="1218" t="s">
        <v>352</v>
      </c>
      <c r="B54" s="1219"/>
      <c r="C54" s="852">
        <f t="shared" si="6"/>
        <v>57518.62</v>
      </c>
      <c r="D54" s="852">
        <f t="shared" si="6"/>
        <v>59435.51</v>
      </c>
      <c r="E54" s="852">
        <f t="shared" si="6"/>
        <v>1916.8899999999994</v>
      </c>
      <c r="F54" s="851">
        <f>E54/C54</f>
        <v>3.3326425425366589E-2</v>
      </c>
    </row>
    <row r="55" spans="1:6">
      <c r="A55" s="1220" t="s">
        <v>354</v>
      </c>
      <c r="B55" s="1221"/>
      <c r="C55" s="852">
        <f>SUM(C39:C42)</f>
        <v>74343.63</v>
      </c>
      <c r="D55" s="852">
        <f>SUM(D39:D42)</f>
        <v>73240.929999999993</v>
      </c>
      <c r="E55" s="852">
        <f>SUM(E39:E42)</f>
        <v>-1102.7000000000007</v>
      </c>
      <c r="F55" s="851">
        <f>E55/C55</f>
        <v>-1.4832474550946741E-2</v>
      </c>
    </row>
    <row r="56" spans="1:6" ht="13.5" thickBot="1">
      <c r="A56" s="1214" t="s">
        <v>353</v>
      </c>
      <c r="B56" s="1215"/>
      <c r="C56" s="724">
        <f>SUM(C44:C49)</f>
        <v>27478.77</v>
      </c>
      <c r="D56" s="724">
        <f>SUM(D44:D49)</f>
        <v>21760.83</v>
      </c>
      <c r="E56" s="724">
        <f>SUM(E44:E49)</f>
        <v>-5717.9400000000005</v>
      </c>
      <c r="F56" s="848">
        <f>E56/C56</f>
        <v>-0.2080857330950403</v>
      </c>
    </row>
    <row r="57" spans="1:6" ht="14.25" thickTop="1" thickBot="1">
      <c r="A57" s="1222" t="s">
        <v>5</v>
      </c>
      <c r="B57" s="1223"/>
      <c r="C57" s="725">
        <f>SUM(C53:C56)</f>
        <v>272802.27</v>
      </c>
      <c r="D57" s="725">
        <f>SUM(D53:D56)</f>
        <v>253240.72000000003</v>
      </c>
      <c r="E57" s="725">
        <f>SUM(E53:E56)</f>
        <v>-19561.549999999988</v>
      </c>
      <c r="F57" s="849">
        <f>E57/C57</f>
        <v>-7.1705964910042677E-2</v>
      </c>
    </row>
    <row r="58" spans="1:6">
      <c r="C58" s="496">
        <f>C57-D29</f>
        <v>0</v>
      </c>
      <c r="D58" s="496">
        <f>D57-'[19]App.2-H_Other_Oper_Rev'!$D$35</f>
        <v>0</v>
      </c>
    </row>
    <row r="60" spans="1:6" ht="15.75">
      <c r="B60" s="721" t="s">
        <v>499</v>
      </c>
    </row>
    <row r="61" spans="1:6" ht="13.5" thickBot="1"/>
    <row r="62" spans="1:6" ht="13.5" thickTop="1">
      <c r="A62" s="835" t="s">
        <v>406</v>
      </c>
      <c r="B62" s="836" t="s">
        <v>407</v>
      </c>
      <c r="C62" s="837" t="s">
        <v>342</v>
      </c>
      <c r="D62" s="837" t="s">
        <v>343</v>
      </c>
      <c r="E62" s="837" t="s">
        <v>162</v>
      </c>
      <c r="F62" s="843" t="s">
        <v>162</v>
      </c>
    </row>
    <row r="63" spans="1:6">
      <c r="A63" s="838"/>
      <c r="B63" s="839"/>
      <c r="C63" s="840"/>
      <c r="D63" s="839"/>
      <c r="E63" s="840"/>
      <c r="F63" s="844"/>
    </row>
    <row r="64" spans="1:6">
      <c r="A64" s="992"/>
      <c r="B64" s="993" t="s">
        <v>408</v>
      </c>
      <c r="C64" s="840"/>
      <c r="D64" s="840"/>
      <c r="E64" s="990" t="s">
        <v>419</v>
      </c>
      <c r="F64" s="991" t="s">
        <v>159</v>
      </c>
    </row>
    <row r="65" spans="1:6">
      <c r="A65" s="841">
        <v>4235</v>
      </c>
      <c r="B65" s="722" t="s">
        <v>351</v>
      </c>
      <c r="C65" s="720">
        <f>'[19]App.2-H_Other_Oper_Rev'!D15</f>
        <v>98803.450000000012</v>
      </c>
      <c r="D65" s="720">
        <f>'[19]App.2-H_Other_Oper_Rev'!E15</f>
        <v>116016.3</v>
      </c>
      <c r="E65" s="720">
        <f>D65-C65</f>
        <v>17212.849999999991</v>
      </c>
      <c r="F65" s="845">
        <f t="shared" ref="F65:F70" si="7">E65/C65</f>
        <v>0.17421304620435815</v>
      </c>
    </row>
    <row r="66" spans="1:6">
      <c r="A66" s="841">
        <v>4225</v>
      </c>
      <c r="B66" s="722" t="s">
        <v>352</v>
      </c>
      <c r="C66" s="720">
        <f>'[19]App.2-H_Other_Oper_Rev'!D16</f>
        <v>59435.51</v>
      </c>
      <c r="D66" s="720">
        <f>'[19]App.2-H_Other_Oper_Rev'!E16</f>
        <v>66569.210000000006</v>
      </c>
      <c r="E66" s="720">
        <f t="shared" ref="E66:E84" si="8">D66-C66</f>
        <v>7133.7000000000044</v>
      </c>
      <c r="F66" s="845">
        <f t="shared" si="7"/>
        <v>0.12002420775055189</v>
      </c>
    </row>
    <row r="67" spans="1:6">
      <c r="A67" s="841">
        <v>4082</v>
      </c>
      <c r="B67" s="722" t="s">
        <v>409</v>
      </c>
      <c r="C67" s="720">
        <f>'[19]App.2-H_Other_Oper_Rev'!D17</f>
        <v>6345.37</v>
      </c>
      <c r="D67" s="720">
        <f>'[19]App.2-H_Other_Oper_Rev'!E17</f>
        <v>6564.08</v>
      </c>
      <c r="E67" s="720">
        <f t="shared" si="8"/>
        <v>218.71000000000004</v>
      </c>
      <c r="F67" s="845">
        <f t="shared" si="7"/>
        <v>3.446765121655633E-2</v>
      </c>
    </row>
    <row r="68" spans="1:6">
      <c r="A68" s="841">
        <v>4084</v>
      </c>
      <c r="B68" s="994" t="s">
        <v>410</v>
      </c>
      <c r="C68" s="720">
        <f>'[19]App.2-H_Other_Oper_Rev'!D18</f>
        <v>79.5</v>
      </c>
      <c r="D68" s="720">
        <f>'[19]App.2-H_Other_Oper_Rev'!E18</f>
        <v>81</v>
      </c>
      <c r="E68" s="720">
        <f t="shared" si="8"/>
        <v>1.5</v>
      </c>
      <c r="F68" s="845">
        <f t="shared" si="7"/>
        <v>1.8867924528301886E-2</v>
      </c>
    </row>
    <row r="69" spans="1:6">
      <c r="A69" s="841">
        <v>4086</v>
      </c>
      <c r="B69" s="722" t="s">
        <v>411</v>
      </c>
      <c r="C69" s="720">
        <f>'[19]App.2-H_Other_Oper_Rev'!D19</f>
        <v>22339.68</v>
      </c>
      <c r="D69" s="720">
        <f>'[19]App.2-H_Other_Oper_Rev'!E19</f>
        <v>19664.689999999999</v>
      </c>
      <c r="E69" s="720">
        <f t="shared" si="8"/>
        <v>-2674.9900000000016</v>
      </c>
      <c r="F69" s="845">
        <f t="shared" si="7"/>
        <v>-0.11974164356875307</v>
      </c>
    </row>
    <row r="70" spans="1:6">
      <c r="A70" s="841">
        <v>4210</v>
      </c>
      <c r="B70" s="722" t="s">
        <v>412</v>
      </c>
      <c r="C70" s="720">
        <f>'[19]App.2-H_Other_Oper_Rev'!D20</f>
        <v>44476.38</v>
      </c>
      <c r="D70" s="720">
        <f>'[19]App.2-H_Other_Oper_Rev'!E20</f>
        <v>44476.38</v>
      </c>
      <c r="E70" s="720">
        <f t="shared" si="8"/>
        <v>0</v>
      </c>
      <c r="F70" s="845">
        <f t="shared" si="7"/>
        <v>0</v>
      </c>
    </row>
    <row r="71" spans="1:6">
      <c r="A71" s="841"/>
      <c r="B71" s="722"/>
      <c r="C71" s="720">
        <f>'[19]App.2-H_Other_Oper_Rev'!D21</f>
        <v>0</v>
      </c>
      <c r="D71" s="720">
        <f>'[19]App.2-H_Other_Oper_Rev'!E21</f>
        <v>0</v>
      </c>
      <c r="E71" s="720">
        <f t="shared" si="8"/>
        <v>0</v>
      </c>
      <c r="F71" s="845"/>
    </row>
    <row r="72" spans="1:6">
      <c r="A72" s="841">
        <v>4355</v>
      </c>
      <c r="B72" s="994" t="s">
        <v>413</v>
      </c>
      <c r="C72" s="720">
        <f>'[19]App.2-H_Other_Oper_Rev'!D22</f>
        <v>0</v>
      </c>
      <c r="D72" s="720">
        <f>'[19]App.2-H_Other_Oper_Rev'!E22</f>
        <v>0</v>
      </c>
      <c r="E72" s="720">
        <f t="shared" si="8"/>
        <v>0</v>
      </c>
      <c r="F72" s="845"/>
    </row>
    <row r="73" spans="1:6">
      <c r="A73" s="841">
        <v>4360</v>
      </c>
      <c r="B73" s="722" t="s">
        <v>414</v>
      </c>
      <c r="C73" s="720">
        <f>'[19]App.2-H_Other_Oper_Rev'!D23</f>
        <v>-8678.41</v>
      </c>
      <c r="D73" s="720">
        <f>'[19]App.2-H_Other_Oper_Rev'!E23</f>
        <v>-5664.92</v>
      </c>
      <c r="E73" s="720">
        <f t="shared" si="8"/>
        <v>3013.49</v>
      </c>
      <c r="F73" s="845">
        <f>E73/C73</f>
        <v>-0.34723987458532146</v>
      </c>
    </row>
    <row r="74" spans="1:6">
      <c r="A74" s="841">
        <v>4375</v>
      </c>
      <c r="B74" s="722" t="s">
        <v>415</v>
      </c>
      <c r="C74" s="720">
        <f>'[19]App.2-H_Other_Oper_Rev'!D24</f>
        <v>14919.86</v>
      </c>
      <c r="D74" s="720">
        <f>'[19]App.2-H_Other_Oper_Rev'!E24</f>
        <v>3321.57</v>
      </c>
      <c r="E74" s="720">
        <f t="shared" si="8"/>
        <v>-11598.29</v>
      </c>
      <c r="F74" s="845">
        <f>E74/C74</f>
        <v>-0.77737257588207931</v>
      </c>
    </row>
    <row r="75" spans="1:6">
      <c r="A75" s="841">
        <v>4380</v>
      </c>
      <c r="B75" s="722" t="s">
        <v>416</v>
      </c>
      <c r="C75" s="720">
        <f>'[19]App.2-H_Other_Oper_Rev'!D25</f>
        <v>-2302.0100000000002</v>
      </c>
      <c r="D75" s="720">
        <f>'[19]App.2-H_Other_Oper_Rev'!E25</f>
        <v>641.65</v>
      </c>
      <c r="E75" s="720">
        <f t="shared" si="8"/>
        <v>2943.6600000000003</v>
      </c>
      <c r="F75" s="845">
        <f>E75/C75</f>
        <v>-1.2787346710049043</v>
      </c>
    </row>
    <row r="76" spans="1:6">
      <c r="A76" s="841">
        <v>4390</v>
      </c>
      <c r="B76" s="722" t="s">
        <v>417</v>
      </c>
      <c r="C76" s="720">
        <f>'[19]App.2-H_Other_Oper_Rev'!D26</f>
        <v>2940</v>
      </c>
      <c r="D76" s="720">
        <f>'[19]App.2-H_Other_Oper_Rev'!E26</f>
        <v>671.25</v>
      </c>
      <c r="E76" s="720">
        <f t="shared" si="8"/>
        <v>-2268.75</v>
      </c>
      <c r="F76" s="845">
        <f>E76/C76</f>
        <v>-0.77168367346938771</v>
      </c>
    </row>
    <row r="77" spans="1:6">
      <c r="A77" s="841">
        <v>4405</v>
      </c>
      <c r="B77" s="994" t="s">
        <v>418</v>
      </c>
      <c r="C77" s="720">
        <f>'[19]App.2-H_Other_Oper_Rev'!D27</f>
        <v>14881.39</v>
      </c>
      <c r="D77" s="720">
        <f>'[19]App.2-H_Other_Oper_Rev'!E27</f>
        <v>17713.82</v>
      </c>
      <c r="E77" s="720">
        <f t="shared" si="8"/>
        <v>2832.4300000000003</v>
      </c>
      <c r="F77" s="845">
        <f>E77/C77</f>
        <v>0.19033369866658964</v>
      </c>
    </row>
    <row r="78" spans="1:6">
      <c r="A78" s="841"/>
      <c r="B78" s="722"/>
      <c r="C78" s="720"/>
      <c r="D78" s="720"/>
      <c r="E78" s="720">
        <f t="shared" si="8"/>
        <v>0</v>
      </c>
      <c r="F78" s="846"/>
    </row>
    <row r="79" spans="1:6">
      <c r="A79" s="841"/>
      <c r="B79" s="722"/>
      <c r="C79" s="720"/>
      <c r="D79" s="720"/>
      <c r="E79" s="720">
        <f t="shared" si="8"/>
        <v>0</v>
      </c>
      <c r="F79" s="846"/>
    </row>
    <row r="80" spans="1:6">
      <c r="A80" s="995"/>
      <c r="B80" s="996"/>
      <c r="C80" s="723"/>
      <c r="D80" s="723"/>
      <c r="E80" s="720">
        <f t="shared" si="8"/>
        <v>0</v>
      </c>
      <c r="F80" s="850"/>
    </row>
    <row r="81" spans="1:6">
      <c r="A81" s="1218" t="s">
        <v>351</v>
      </c>
      <c r="B81" s="1219"/>
      <c r="C81" s="720">
        <f>C65</f>
        <v>98803.450000000012</v>
      </c>
      <c r="D81" s="720">
        <f>D65</f>
        <v>116016.3</v>
      </c>
      <c r="E81" s="720">
        <f t="shared" si="8"/>
        <v>17212.849999999991</v>
      </c>
      <c r="F81" s="845">
        <f>E81/C81</f>
        <v>0.17421304620435815</v>
      </c>
    </row>
    <row r="82" spans="1:6">
      <c r="A82" s="1218" t="s">
        <v>352</v>
      </c>
      <c r="B82" s="1219"/>
      <c r="C82" s="720">
        <f>C66</f>
        <v>59435.51</v>
      </c>
      <c r="D82" s="720">
        <f>D66</f>
        <v>66569.210000000006</v>
      </c>
      <c r="E82" s="720">
        <f t="shared" si="8"/>
        <v>7133.7000000000044</v>
      </c>
      <c r="F82" s="845">
        <f>E82/C82</f>
        <v>0.12002420775055189</v>
      </c>
    </row>
    <row r="83" spans="1:6">
      <c r="A83" s="1220" t="s">
        <v>354</v>
      </c>
      <c r="B83" s="1221"/>
      <c r="C83" s="720">
        <f>SUM(C67:C70)</f>
        <v>73240.929999999993</v>
      </c>
      <c r="D83" s="720">
        <f>SUM(D67:D70)</f>
        <v>70786.149999999994</v>
      </c>
      <c r="E83" s="720">
        <f t="shared" si="8"/>
        <v>-2454.7799999999988</v>
      </c>
      <c r="F83" s="845">
        <f>E83/C83</f>
        <v>-3.3516505047109575E-2</v>
      </c>
    </row>
    <row r="84" spans="1:6" ht="13.5" thickBot="1">
      <c r="A84" s="1214" t="s">
        <v>353</v>
      </c>
      <c r="B84" s="1215"/>
      <c r="C84" s="724">
        <f>SUM(C72:C77)</f>
        <v>21760.83</v>
      </c>
      <c r="D84" s="724">
        <f>SUM(D72:D77)</f>
        <v>16683.37</v>
      </c>
      <c r="E84" s="720">
        <f t="shared" si="8"/>
        <v>-5077.4600000000028</v>
      </c>
      <c r="F84" s="845">
        <f>E84/C84</f>
        <v>-0.23333025440665647</v>
      </c>
    </row>
    <row r="85" spans="1:6" ht="14.25" thickTop="1" thickBot="1">
      <c r="A85" s="1222" t="s">
        <v>5</v>
      </c>
      <c r="B85" s="1223"/>
      <c r="C85" s="725">
        <f>SUM(C81:C84)</f>
        <v>253240.72000000003</v>
      </c>
      <c r="D85" s="725">
        <f>SUM(D81:D84)</f>
        <v>270055.03000000003</v>
      </c>
      <c r="E85" s="725">
        <f>SUM(E81:E84)</f>
        <v>16814.309999999994</v>
      </c>
      <c r="F85" s="845">
        <f>E85/C85</f>
        <v>6.6396549496463259E-2</v>
      </c>
    </row>
    <row r="86" spans="1:6">
      <c r="A86" s="858"/>
      <c r="B86" s="858"/>
      <c r="C86" s="859">
        <f>C85-D57</f>
        <v>0</v>
      </c>
      <c r="D86" s="859">
        <f>D85-'[19]App.2-H_Other_Oper_Rev'!$E$35</f>
        <v>0</v>
      </c>
      <c r="E86" s="859"/>
      <c r="F86" s="860"/>
    </row>
    <row r="88" spans="1:6" ht="15.75">
      <c r="B88" s="721" t="s">
        <v>500</v>
      </c>
    </row>
    <row r="89" spans="1:6" ht="13.5" thickBot="1"/>
    <row r="90" spans="1:6" ht="13.5" thickTop="1">
      <c r="A90" s="835" t="s">
        <v>406</v>
      </c>
      <c r="B90" s="836" t="s">
        <v>407</v>
      </c>
      <c r="C90" s="837" t="s">
        <v>343</v>
      </c>
      <c r="D90" s="837" t="s">
        <v>382</v>
      </c>
      <c r="E90" s="837" t="s">
        <v>162</v>
      </c>
      <c r="F90" s="843" t="s">
        <v>162</v>
      </c>
    </row>
    <row r="91" spans="1:6">
      <c r="A91" s="838"/>
      <c r="B91" s="839"/>
      <c r="C91" s="839"/>
      <c r="D91" s="840"/>
      <c r="E91" s="840"/>
      <c r="F91" s="844"/>
    </row>
    <row r="92" spans="1:6">
      <c r="A92" s="992"/>
      <c r="B92" s="993" t="s">
        <v>408</v>
      </c>
      <c r="C92" s="840"/>
      <c r="D92" s="840"/>
      <c r="E92" s="1000" t="s">
        <v>419</v>
      </c>
      <c r="F92" s="1001" t="s">
        <v>159</v>
      </c>
    </row>
    <row r="93" spans="1:6">
      <c r="A93" s="841">
        <v>4235</v>
      </c>
      <c r="B93" s="722" t="s">
        <v>351</v>
      </c>
      <c r="C93" s="720">
        <f>'[19]App.2-H_Other_Oper_Rev'!E15</f>
        <v>116016.3</v>
      </c>
      <c r="D93" s="720">
        <f>'[19]App.2-H_Other_Oper_Rev'!G15</f>
        <v>105241.84000000001</v>
      </c>
      <c r="E93" s="720">
        <f t="shared" ref="E93:E98" si="9">D93-C93</f>
        <v>-10774.459999999992</v>
      </c>
      <c r="F93" s="845">
        <f t="shared" ref="F93:F98" si="10">E93/C93</f>
        <v>-9.2870225994105923E-2</v>
      </c>
    </row>
    <row r="94" spans="1:6">
      <c r="A94" s="841">
        <v>4225</v>
      </c>
      <c r="B94" s="722" t="s">
        <v>352</v>
      </c>
      <c r="C94" s="720">
        <f>'[19]App.2-H_Other_Oper_Rev'!E16</f>
        <v>66569.210000000006</v>
      </c>
      <c r="D94" s="720">
        <f>'[19]App.2-H_Other_Oper_Rev'!G16</f>
        <v>72601.590000000011</v>
      </c>
      <c r="E94" s="720">
        <f t="shared" si="9"/>
        <v>6032.3800000000047</v>
      </c>
      <c r="F94" s="845">
        <f t="shared" si="10"/>
        <v>9.0618170172066095E-2</v>
      </c>
    </row>
    <row r="95" spans="1:6">
      <c r="A95" s="841">
        <v>4082</v>
      </c>
      <c r="B95" s="722" t="s">
        <v>409</v>
      </c>
      <c r="C95" s="720">
        <f>'[19]App.2-H_Other_Oper_Rev'!E17</f>
        <v>6564.08</v>
      </c>
      <c r="D95" s="720">
        <f>'[19]App.2-H_Other_Oper_Rev'!G17</f>
        <v>6663.9400000000005</v>
      </c>
      <c r="E95" s="720">
        <f t="shared" si="9"/>
        <v>99.860000000000582</v>
      </c>
      <c r="F95" s="845">
        <f t="shared" si="10"/>
        <v>1.5213099170028485E-2</v>
      </c>
    </row>
    <row r="96" spans="1:6">
      <c r="A96" s="841">
        <v>4084</v>
      </c>
      <c r="B96" s="994" t="s">
        <v>410</v>
      </c>
      <c r="C96" s="720">
        <f>'[19]App.2-H_Other_Oper_Rev'!E18</f>
        <v>81</v>
      </c>
      <c r="D96" s="720">
        <f>'[19]App.2-H_Other_Oper_Rev'!G18</f>
        <v>62.25</v>
      </c>
      <c r="E96" s="720">
        <f t="shared" si="9"/>
        <v>-18.75</v>
      </c>
      <c r="F96" s="845">
        <f t="shared" si="10"/>
        <v>-0.23148148148148148</v>
      </c>
    </row>
    <row r="97" spans="1:6">
      <c r="A97" s="841">
        <v>4086</v>
      </c>
      <c r="B97" s="722" t="s">
        <v>411</v>
      </c>
      <c r="C97" s="720">
        <f>'[19]App.2-H_Other_Oper_Rev'!E19</f>
        <v>19664.689999999999</v>
      </c>
      <c r="D97" s="720">
        <f>'[19]App.2-H_Other_Oper_Rev'!G19</f>
        <v>21605.89</v>
      </c>
      <c r="E97" s="720">
        <f t="shared" si="9"/>
        <v>1941.2000000000007</v>
      </c>
      <c r="F97" s="845">
        <f t="shared" si="10"/>
        <v>9.871500644047787E-2</v>
      </c>
    </row>
    <row r="98" spans="1:6">
      <c r="A98" s="841">
        <v>4210</v>
      </c>
      <c r="B98" s="722" t="s">
        <v>412</v>
      </c>
      <c r="C98" s="720">
        <f>'[19]App.2-H_Other_Oper_Rev'!E20</f>
        <v>44476.38</v>
      </c>
      <c r="D98" s="720">
        <f>'[19]App.2-H_Other_Oper_Rev'!G20</f>
        <v>43738.83</v>
      </c>
      <c r="E98" s="720">
        <f t="shared" si="9"/>
        <v>-737.54999999999563</v>
      </c>
      <c r="F98" s="845">
        <f t="shared" si="10"/>
        <v>-1.6582959314584408E-2</v>
      </c>
    </row>
    <row r="99" spans="1:6">
      <c r="A99" s="841"/>
      <c r="B99" s="722"/>
      <c r="C99" s="720">
        <f>'[19]App.2-H_Other_Oper_Rev'!E21</f>
        <v>0</v>
      </c>
      <c r="D99" s="720">
        <f>'[19]App.2-H_Other_Oper_Rev'!G21</f>
        <v>0</v>
      </c>
      <c r="E99" s="720"/>
      <c r="F99" s="845"/>
    </row>
    <row r="100" spans="1:6">
      <c r="A100" s="841">
        <v>4355</v>
      </c>
      <c r="B100" s="994" t="s">
        <v>413</v>
      </c>
      <c r="C100" s="720">
        <f>'[19]App.2-H_Other_Oper_Rev'!E22</f>
        <v>0</v>
      </c>
      <c r="D100" s="720">
        <f>'[19]App.2-H_Other_Oper_Rev'!G22</f>
        <v>0</v>
      </c>
      <c r="E100" s="720">
        <f t="shared" ref="E100:E105" si="11">D100-C100</f>
        <v>0</v>
      </c>
      <c r="F100" s="845"/>
    </row>
    <row r="101" spans="1:6">
      <c r="A101" s="841">
        <v>4360</v>
      </c>
      <c r="B101" s="722" t="s">
        <v>414</v>
      </c>
      <c r="C101" s="720">
        <f>'[19]App.2-H_Other_Oper_Rev'!E23</f>
        <v>-5664.92</v>
      </c>
      <c r="D101" s="720">
        <f>'[19]App.2-H_Other_Oper_Rev'!G23</f>
        <v>-5528.82</v>
      </c>
      <c r="E101" s="720">
        <f t="shared" si="11"/>
        <v>136.10000000000036</v>
      </c>
      <c r="F101" s="845">
        <f>E101/C101</f>
        <v>-2.4025052427924905E-2</v>
      </c>
    </row>
    <row r="102" spans="1:6">
      <c r="A102" s="841">
        <v>4375</v>
      </c>
      <c r="B102" s="722" t="s">
        <v>415</v>
      </c>
      <c r="C102" s="720">
        <f>'[19]App.2-H_Other_Oper_Rev'!E24</f>
        <v>3321.57</v>
      </c>
      <c r="D102" s="720">
        <f>'[19]App.2-H_Other_Oper_Rev'!G24</f>
        <v>29432.3</v>
      </c>
      <c r="E102" s="720">
        <f t="shared" si="11"/>
        <v>26110.73</v>
      </c>
      <c r="F102" s="845">
        <f>E102/C102</f>
        <v>7.8609603290010446</v>
      </c>
    </row>
    <row r="103" spans="1:6">
      <c r="A103" s="841">
        <v>4380</v>
      </c>
      <c r="B103" s="722" t="s">
        <v>416</v>
      </c>
      <c r="C103" s="720">
        <f>'[19]App.2-H_Other_Oper_Rev'!E25</f>
        <v>641.65</v>
      </c>
      <c r="D103" s="720">
        <f>'[19]App.2-H_Other_Oper_Rev'!G25</f>
        <v>0</v>
      </c>
      <c r="E103" s="720">
        <f t="shared" si="11"/>
        <v>-641.65</v>
      </c>
      <c r="F103" s="845">
        <f>E103/C103</f>
        <v>-1</v>
      </c>
    </row>
    <row r="104" spans="1:6">
      <c r="A104" s="841">
        <v>4390</v>
      </c>
      <c r="B104" s="722" t="s">
        <v>417</v>
      </c>
      <c r="C104" s="720">
        <f>'[19]App.2-H_Other_Oper_Rev'!E26</f>
        <v>671.25</v>
      </c>
      <c r="D104" s="720">
        <f>'[19]App.2-H_Other_Oper_Rev'!G26</f>
        <v>0</v>
      </c>
      <c r="E104" s="720">
        <f t="shared" si="11"/>
        <v>-671.25</v>
      </c>
      <c r="F104" s="845">
        <f>E104/C104</f>
        <v>-1</v>
      </c>
    </row>
    <row r="105" spans="1:6">
      <c r="A105" s="841">
        <v>4405</v>
      </c>
      <c r="B105" s="994" t="s">
        <v>418</v>
      </c>
      <c r="C105" s="720">
        <f>'[19]App.2-H_Other_Oper_Rev'!E27</f>
        <v>17713.82</v>
      </c>
      <c r="D105" s="720">
        <f>'[19]App.2-H_Other_Oper_Rev'!G27</f>
        <v>15305.69</v>
      </c>
      <c r="E105" s="720">
        <f t="shared" si="11"/>
        <v>-2408.1299999999992</v>
      </c>
      <c r="F105" s="845">
        <f>E105/C105</f>
        <v>-0.13594639665526687</v>
      </c>
    </row>
    <row r="106" spans="1:6">
      <c r="A106" s="841"/>
      <c r="B106" s="722"/>
      <c r="C106" s="720"/>
      <c r="D106" s="720"/>
      <c r="E106" s="720"/>
      <c r="F106" s="846"/>
    </row>
    <row r="107" spans="1:6">
      <c r="A107" s="841"/>
      <c r="B107" s="722"/>
      <c r="C107" s="720"/>
      <c r="D107" s="720"/>
      <c r="E107" s="720"/>
      <c r="F107" s="846"/>
    </row>
    <row r="108" spans="1:6">
      <c r="A108" s="995"/>
      <c r="B108" s="996"/>
      <c r="C108" s="723"/>
      <c r="D108" s="723"/>
      <c r="E108" s="723"/>
      <c r="F108" s="850"/>
    </row>
    <row r="109" spans="1:6">
      <c r="A109" s="1218" t="s">
        <v>351</v>
      </c>
      <c r="B109" s="1219"/>
      <c r="C109" s="720">
        <f t="shared" ref="C109:E110" si="12">C93</f>
        <v>116016.3</v>
      </c>
      <c r="D109" s="720">
        <f t="shared" si="12"/>
        <v>105241.84000000001</v>
      </c>
      <c r="E109" s="720">
        <f t="shared" si="12"/>
        <v>-10774.459999999992</v>
      </c>
      <c r="F109" s="851">
        <f>E109/C109</f>
        <v>-9.2870225994105923E-2</v>
      </c>
    </row>
    <row r="110" spans="1:6">
      <c r="A110" s="1218" t="s">
        <v>352</v>
      </c>
      <c r="B110" s="1219"/>
      <c r="C110" s="720">
        <f t="shared" si="12"/>
        <v>66569.210000000006</v>
      </c>
      <c r="D110" s="720">
        <f t="shared" si="12"/>
        <v>72601.590000000011</v>
      </c>
      <c r="E110" s="720">
        <f t="shared" si="12"/>
        <v>6032.3800000000047</v>
      </c>
      <c r="F110" s="851">
        <f>E110/C110</f>
        <v>9.0618170172066095E-2</v>
      </c>
    </row>
    <row r="111" spans="1:6">
      <c r="A111" s="1220" t="s">
        <v>354</v>
      </c>
      <c r="B111" s="1221"/>
      <c r="C111" s="720">
        <f>SUM(C95:C98)</f>
        <v>70786.149999999994</v>
      </c>
      <c r="D111" s="720">
        <f>SUM(D95:D98)</f>
        <v>72070.91</v>
      </c>
      <c r="E111" s="720">
        <f>SUM(E95:E98)</f>
        <v>1284.7600000000057</v>
      </c>
      <c r="F111" s="851">
        <f>E111/C111</f>
        <v>1.814987818944816E-2</v>
      </c>
    </row>
    <row r="112" spans="1:6" ht="13.5" thickBot="1">
      <c r="A112" s="1214" t="s">
        <v>353</v>
      </c>
      <c r="B112" s="1215"/>
      <c r="C112" s="724">
        <f>SUM(C100:C105)</f>
        <v>16683.37</v>
      </c>
      <c r="D112" s="724">
        <f>SUM(D100:D105)</f>
        <v>39209.17</v>
      </c>
      <c r="E112" s="724">
        <f>SUM(E100:E105)</f>
        <v>22525.800000000003</v>
      </c>
      <c r="F112" s="848">
        <f>E112/C112</f>
        <v>1.3501948347366273</v>
      </c>
    </row>
    <row r="113" spans="1:6" ht="14.25" thickTop="1" thickBot="1">
      <c r="A113" s="1222" t="s">
        <v>5</v>
      </c>
      <c r="B113" s="1223"/>
      <c r="C113" s="725">
        <f>SUM(C109:C112)</f>
        <v>270055.03000000003</v>
      </c>
      <c r="D113" s="725">
        <f>SUM(D109:D112)</f>
        <v>289123.51</v>
      </c>
      <c r="E113" s="725">
        <f>SUM(E109:E112)</f>
        <v>19068.480000000021</v>
      </c>
      <c r="F113" s="849">
        <f>E113/C113</f>
        <v>7.0609608715675537E-2</v>
      </c>
    </row>
    <row r="114" spans="1:6">
      <c r="A114" s="858"/>
      <c r="B114" s="858"/>
      <c r="C114" s="859">
        <f>C113-D85</f>
        <v>0</v>
      </c>
      <c r="D114" s="859">
        <f>D113-'[19]App.2-H_Other_Oper_Rev'!$G$35</f>
        <v>0</v>
      </c>
      <c r="E114" s="859"/>
      <c r="F114" s="860"/>
    </row>
    <row r="116" spans="1:6" ht="15.75">
      <c r="B116" s="721" t="s">
        <v>501</v>
      </c>
    </row>
    <row r="117" spans="1:6" ht="13.5" thickBot="1"/>
    <row r="118" spans="1:6" ht="13.5" thickTop="1">
      <c r="A118" s="835" t="s">
        <v>406</v>
      </c>
      <c r="B118" s="836" t="s">
        <v>407</v>
      </c>
      <c r="C118" s="837" t="s">
        <v>382</v>
      </c>
      <c r="D118" s="837" t="s">
        <v>420</v>
      </c>
      <c r="E118" s="837" t="s">
        <v>162</v>
      </c>
      <c r="F118" s="843" t="s">
        <v>162</v>
      </c>
    </row>
    <row r="119" spans="1:6">
      <c r="A119" s="838"/>
      <c r="B119" s="839"/>
      <c r="C119" s="839"/>
      <c r="D119" s="840"/>
      <c r="E119" s="840"/>
      <c r="F119" s="844"/>
    </row>
    <row r="120" spans="1:6">
      <c r="A120" s="992"/>
      <c r="B120" s="993" t="s">
        <v>408</v>
      </c>
      <c r="C120" s="840"/>
      <c r="D120" s="840"/>
      <c r="E120" s="990" t="s">
        <v>419</v>
      </c>
      <c r="F120" s="991" t="s">
        <v>159</v>
      </c>
    </row>
    <row r="121" spans="1:6">
      <c r="A121" s="841">
        <v>4235</v>
      </c>
      <c r="B121" s="853" t="s">
        <v>351</v>
      </c>
      <c r="C121" s="852">
        <f>'[19]App.2-H_Other_Oper_Rev'!G15</f>
        <v>105241.84000000001</v>
      </c>
      <c r="D121" s="852">
        <f>'[19]App.2-H_Other_Oper_Rev'!H15</f>
        <v>113950.76816000001</v>
      </c>
      <c r="E121" s="852">
        <f t="shared" ref="E121:E126" si="13">D121-C121</f>
        <v>8708.9281599999958</v>
      </c>
      <c r="F121" s="851">
        <f t="shared" ref="F121:F126" si="14">E121/C121</f>
        <v>8.2751576369246252E-2</v>
      </c>
    </row>
    <row r="122" spans="1:6">
      <c r="A122" s="841">
        <v>4225</v>
      </c>
      <c r="B122" s="853" t="s">
        <v>352</v>
      </c>
      <c r="C122" s="852">
        <f>'[19]App.2-H_Other_Oper_Rev'!G16</f>
        <v>72601.590000000011</v>
      </c>
      <c r="D122" s="852">
        <f>'[19]App.2-H_Other_Oper_Rev'!H16</f>
        <v>76000</v>
      </c>
      <c r="E122" s="852">
        <f t="shared" si="13"/>
        <v>3398.4099999999889</v>
      </c>
      <c r="F122" s="851">
        <f t="shared" si="14"/>
        <v>4.6809029939977737E-2</v>
      </c>
    </row>
    <row r="123" spans="1:6">
      <c r="A123" s="841">
        <v>4082</v>
      </c>
      <c r="B123" s="853" t="s">
        <v>409</v>
      </c>
      <c r="C123" s="852">
        <f>'[19]App.2-H_Other_Oper_Rev'!G17</f>
        <v>6663.9400000000005</v>
      </c>
      <c r="D123" s="852">
        <f>'[19]App.2-H_Other_Oper_Rev'!H17</f>
        <v>6600</v>
      </c>
      <c r="E123" s="852">
        <f t="shared" si="13"/>
        <v>-63.940000000000509</v>
      </c>
      <c r="F123" s="851">
        <f t="shared" si="14"/>
        <v>-9.5949243240486121E-3</v>
      </c>
    </row>
    <row r="124" spans="1:6">
      <c r="A124" s="841">
        <v>4084</v>
      </c>
      <c r="B124" s="997" t="s">
        <v>410</v>
      </c>
      <c r="C124" s="852">
        <f>'[19]App.2-H_Other_Oper_Rev'!G18</f>
        <v>62.25</v>
      </c>
      <c r="D124" s="852">
        <f>'[19]App.2-H_Other_Oper_Rev'!H18</f>
        <v>62.25</v>
      </c>
      <c r="E124" s="852">
        <f t="shared" si="13"/>
        <v>0</v>
      </c>
      <c r="F124" s="851">
        <f t="shared" si="14"/>
        <v>0</v>
      </c>
    </row>
    <row r="125" spans="1:6">
      <c r="A125" s="841">
        <v>4086</v>
      </c>
      <c r="B125" s="853" t="s">
        <v>411</v>
      </c>
      <c r="C125" s="852">
        <f>'[19]App.2-H_Other_Oper_Rev'!G19</f>
        <v>21605.89</v>
      </c>
      <c r="D125" s="852">
        <f>'[19]App.2-H_Other_Oper_Rev'!H19</f>
        <v>21000</v>
      </c>
      <c r="E125" s="852">
        <f t="shared" si="13"/>
        <v>-605.88999999999942</v>
      </c>
      <c r="F125" s="851">
        <f t="shared" si="14"/>
        <v>-2.8042816102460923E-2</v>
      </c>
    </row>
    <row r="126" spans="1:6">
      <c r="A126" s="841">
        <v>4210</v>
      </c>
      <c r="B126" s="853" t="s">
        <v>412</v>
      </c>
      <c r="C126" s="852">
        <f>'[19]App.2-H_Other_Oper_Rev'!G20</f>
        <v>43738.83</v>
      </c>
      <c r="D126" s="852">
        <f>'[19]App.2-H_Other_Oper_Rev'!H20</f>
        <v>43739</v>
      </c>
      <c r="E126" s="852">
        <f t="shared" si="13"/>
        <v>0.16999999999825377</v>
      </c>
      <c r="F126" s="851">
        <f t="shared" si="14"/>
        <v>3.8867066173981734E-6</v>
      </c>
    </row>
    <row r="127" spans="1:6">
      <c r="A127" s="841"/>
      <c r="B127" s="853"/>
      <c r="C127" s="852">
        <f>'[19]App.2-H_Other_Oper_Rev'!G21</f>
        <v>0</v>
      </c>
      <c r="D127" s="852">
        <f>'[19]App.2-H_Other_Oper_Rev'!H21</f>
        <v>0</v>
      </c>
      <c r="E127" s="852"/>
      <c r="F127" s="851"/>
    </row>
    <row r="128" spans="1:6">
      <c r="A128" s="841">
        <v>4355</v>
      </c>
      <c r="B128" s="997" t="s">
        <v>413</v>
      </c>
      <c r="C128" s="852">
        <f>'[19]App.2-H_Other_Oper_Rev'!G22</f>
        <v>0</v>
      </c>
      <c r="D128" s="852">
        <f>'[19]App.2-H_Other_Oper_Rev'!H22</f>
        <v>0</v>
      </c>
      <c r="E128" s="852">
        <f t="shared" ref="E128:E133" si="15">D128-C128</f>
        <v>0</v>
      </c>
      <c r="F128" s="851"/>
    </row>
    <row r="129" spans="1:6">
      <c r="A129" s="841">
        <v>4360</v>
      </c>
      <c r="B129" s="853" t="s">
        <v>414</v>
      </c>
      <c r="C129" s="852">
        <f>'[19]App.2-H_Other_Oper_Rev'!G23</f>
        <v>-5528.82</v>
      </c>
      <c r="D129" s="852">
        <f>'[19]App.2-H_Other_Oper_Rev'!H23</f>
        <v>-7780.0413863995782</v>
      </c>
      <c r="E129" s="852">
        <f t="shared" si="15"/>
        <v>-2251.2213863995785</v>
      </c>
      <c r="F129" s="851">
        <f>E129/C129</f>
        <v>0.40717935950158962</v>
      </c>
    </row>
    <row r="130" spans="1:6">
      <c r="A130" s="841">
        <v>4375</v>
      </c>
      <c r="B130" s="853" t="s">
        <v>415</v>
      </c>
      <c r="C130" s="852">
        <f>'[19]App.2-H_Other_Oper_Rev'!G24</f>
        <v>29432.3</v>
      </c>
      <c r="D130" s="852">
        <f>'[19]App.2-H_Other_Oper_Rev'!H24</f>
        <v>0</v>
      </c>
      <c r="E130" s="852">
        <f t="shared" si="15"/>
        <v>-29432.3</v>
      </c>
      <c r="F130" s="851">
        <f>E130/C130</f>
        <v>-1</v>
      </c>
    </row>
    <row r="131" spans="1:6">
      <c r="A131" s="841">
        <v>4380</v>
      </c>
      <c r="B131" s="853" t="s">
        <v>416</v>
      </c>
      <c r="C131" s="852">
        <f>'[19]App.2-H_Other_Oper_Rev'!G25</f>
        <v>0</v>
      </c>
      <c r="D131" s="852">
        <f>'[19]App.2-H_Other_Oper_Rev'!H25</f>
        <v>0</v>
      </c>
      <c r="E131" s="852">
        <f t="shared" si="15"/>
        <v>0</v>
      </c>
      <c r="F131" s="851"/>
    </row>
    <row r="132" spans="1:6">
      <c r="A132" s="841">
        <v>4390</v>
      </c>
      <c r="B132" s="853" t="s">
        <v>417</v>
      </c>
      <c r="C132" s="852">
        <f>'[19]App.2-H_Other_Oper_Rev'!G26</f>
        <v>0</v>
      </c>
      <c r="D132" s="852">
        <f>'[19]App.2-H_Other_Oper_Rev'!H26</f>
        <v>0</v>
      </c>
      <c r="E132" s="852">
        <f t="shared" si="15"/>
        <v>0</v>
      </c>
      <c r="F132" s="851"/>
    </row>
    <row r="133" spans="1:6">
      <c r="A133" s="841">
        <v>4405</v>
      </c>
      <c r="B133" s="997" t="s">
        <v>418</v>
      </c>
      <c r="C133" s="852">
        <f>'[19]App.2-H_Other_Oper_Rev'!G27</f>
        <v>15305.69</v>
      </c>
      <c r="D133" s="852">
        <f>'[19]App.2-H_Other_Oper_Rev'!H27</f>
        <v>14000</v>
      </c>
      <c r="E133" s="852">
        <f t="shared" si="15"/>
        <v>-1305.6900000000005</v>
      </c>
      <c r="F133" s="851">
        <f>E133/C133</f>
        <v>-8.5307490220957072E-2</v>
      </c>
    </row>
    <row r="134" spans="1:6">
      <c r="A134" s="841"/>
      <c r="B134" s="853"/>
      <c r="C134" s="852"/>
      <c r="D134" s="852"/>
      <c r="E134" s="852"/>
      <c r="F134" s="854"/>
    </row>
    <row r="135" spans="1:6">
      <c r="A135" s="841"/>
      <c r="B135" s="853"/>
      <c r="C135" s="852"/>
      <c r="D135" s="852"/>
      <c r="E135" s="852"/>
      <c r="F135" s="854"/>
    </row>
    <row r="136" spans="1:6">
      <c r="A136" s="995"/>
      <c r="B136" s="996"/>
      <c r="C136" s="723"/>
      <c r="D136" s="723"/>
      <c r="E136" s="723"/>
      <c r="F136" s="850"/>
    </row>
    <row r="137" spans="1:6">
      <c r="A137" s="1218" t="s">
        <v>351</v>
      </c>
      <c r="B137" s="1224"/>
      <c r="C137" s="852">
        <f t="shared" ref="C137:E138" si="16">C121</f>
        <v>105241.84000000001</v>
      </c>
      <c r="D137" s="852">
        <f t="shared" si="16"/>
        <v>113950.76816000001</v>
      </c>
      <c r="E137" s="852">
        <f t="shared" si="16"/>
        <v>8708.9281599999958</v>
      </c>
      <c r="F137" s="851">
        <f>E137/C137</f>
        <v>8.2751576369246252E-2</v>
      </c>
    </row>
    <row r="138" spans="1:6">
      <c r="A138" s="1218" t="s">
        <v>352</v>
      </c>
      <c r="B138" s="1224"/>
      <c r="C138" s="852">
        <f t="shared" si="16"/>
        <v>72601.590000000011</v>
      </c>
      <c r="D138" s="852">
        <f t="shared" si="16"/>
        <v>76000</v>
      </c>
      <c r="E138" s="852">
        <f t="shared" si="16"/>
        <v>3398.4099999999889</v>
      </c>
      <c r="F138" s="851">
        <f>E138/C138</f>
        <v>4.6809029939977737E-2</v>
      </c>
    </row>
    <row r="139" spans="1:6">
      <c r="A139" s="1218" t="s">
        <v>353</v>
      </c>
      <c r="B139" s="1219"/>
      <c r="C139" s="852">
        <f>SUM(C123:C126)</f>
        <v>72070.91</v>
      </c>
      <c r="D139" s="852">
        <f>SUM(D123:D126)</f>
        <v>71401.25</v>
      </c>
      <c r="E139" s="852">
        <f>SUM(E123:E126)</f>
        <v>-669.66000000000167</v>
      </c>
      <c r="F139" s="851">
        <f>E139/C139</f>
        <v>-9.2916823167627782E-3</v>
      </c>
    </row>
    <row r="140" spans="1:6" ht="13.5" thickBot="1">
      <c r="A140" s="1214" t="s">
        <v>354</v>
      </c>
      <c r="B140" s="1215"/>
      <c r="C140" s="724">
        <f>SUM(C128:C133)</f>
        <v>39209.17</v>
      </c>
      <c r="D140" s="724">
        <f>SUM(D128:D133)</f>
        <v>6219.9586136004218</v>
      </c>
      <c r="E140" s="724">
        <f>SUM(E128:E133)</f>
        <v>-32989.211386399576</v>
      </c>
      <c r="F140" s="848">
        <f>E140/C140</f>
        <v>-0.84136469571785322</v>
      </c>
    </row>
    <row r="141" spans="1:6" ht="14.25" thickTop="1" thickBot="1">
      <c r="A141" s="1222" t="s">
        <v>5</v>
      </c>
      <c r="B141" s="1223"/>
      <c r="C141" s="725">
        <f>SUM(C137:C140)</f>
        <v>289123.51</v>
      </c>
      <c r="D141" s="725">
        <f>SUM(D137:D140)</f>
        <v>267571.97677360044</v>
      </c>
      <c r="E141" s="725">
        <f>SUM(E137:E140)</f>
        <v>-21551.533226399595</v>
      </c>
      <c r="F141" s="849">
        <f>E141/C141</f>
        <v>-7.454092275788847E-2</v>
      </c>
    </row>
    <row r="142" spans="1:6">
      <c r="C142" s="496">
        <f>C141-D113</f>
        <v>0</v>
      </c>
      <c r="D142" s="496">
        <f>D141-'[19]App.2-H_Other_Oper_Rev'!$H$35</f>
        <v>0</v>
      </c>
    </row>
  </sheetData>
  <mergeCells count="25">
    <mergeCell ref="A85:B85"/>
    <mergeCell ref="A113:B113"/>
    <mergeCell ref="A138:B138"/>
    <mergeCell ref="A139:B139"/>
    <mergeCell ref="A140:B140"/>
    <mergeCell ref="A141:B141"/>
    <mergeCell ref="A109:B109"/>
    <mergeCell ref="A110:B110"/>
    <mergeCell ref="A111:B111"/>
    <mergeCell ref="A112:B112"/>
    <mergeCell ref="A137:B137"/>
    <mergeCell ref="A25:B25"/>
    <mergeCell ref="A26:B26"/>
    <mergeCell ref="A27:B27"/>
    <mergeCell ref="A28:B28"/>
    <mergeCell ref="A84:B84"/>
    <mergeCell ref="A29:B29"/>
    <mergeCell ref="A53:B53"/>
    <mergeCell ref="A54:B54"/>
    <mergeCell ref="A55:B55"/>
    <mergeCell ref="A57:B57"/>
    <mergeCell ref="A81:B81"/>
    <mergeCell ref="A82:B82"/>
    <mergeCell ref="A83:B83"/>
    <mergeCell ref="A56:B5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dimension ref="B1:E9"/>
  <sheetViews>
    <sheetView topLeftCell="A4" workbookViewId="0">
      <selection activeCell="D43" sqref="D43"/>
    </sheetView>
  </sheetViews>
  <sheetFormatPr defaultRowHeight="12.75"/>
  <cols>
    <col min="2" max="2" width="20.42578125" customWidth="1"/>
    <col min="3" max="3" width="16.42578125" customWidth="1"/>
    <col min="4" max="4" width="17.42578125" customWidth="1"/>
    <col min="5" max="5" width="15.7109375" customWidth="1"/>
  </cols>
  <sheetData>
    <row r="1" spans="2:5">
      <c r="B1" s="52" t="s">
        <v>573</v>
      </c>
    </row>
    <row r="3" spans="2:5" ht="15.75">
      <c r="C3" s="721" t="s">
        <v>572</v>
      </c>
    </row>
    <row r="5" spans="2:5" ht="15">
      <c r="B5" s="1191" t="s">
        <v>574</v>
      </c>
      <c r="C5" s="1187">
        <v>2015</v>
      </c>
      <c r="D5" s="1187">
        <v>2016</v>
      </c>
      <c r="E5" s="1187">
        <v>2017</v>
      </c>
    </row>
    <row r="6" spans="2:5" ht="14.25">
      <c r="B6" s="1192" t="s">
        <v>576</v>
      </c>
      <c r="C6" s="1189">
        <v>1433296</v>
      </c>
      <c r="D6" s="1189">
        <v>1394436</v>
      </c>
      <c r="E6" s="1189">
        <v>1382364</v>
      </c>
    </row>
    <row r="7" spans="2:5" ht="14.25">
      <c r="B7" s="1192" t="s">
        <v>575</v>
      </c>
      <c r="C7" s="1190">
        <v>833333</v>
      </c>
      <c r="D7" s="1190">
        <v>833333</v>
      </c>
      <c r="E7" s="1190">
        <v>833333</v>
      </c>
    </row>
    <row r="8" spans="2:5" ht="14.25">
      <c r="B8" s="1192"/>
      <c r="C8" s="1188"/>
      <c r="D8" s="1188"/>
      <c r="E8" s="1188"/>
    </row>
    <row r="9" spans="2:5" ht="14.25">
      <c r="B9" s="1192" t="s">
        <v>162</v>
      </c>
      <c r="C9" s="1190">
        <f>C6-C7</f>
        <v>599963</v>
      </c>
      <c r="D9" s="1190">
        <f>D6-D7</f>
        <v>561103</v>
      </c>
      <c r="E9" s="1190">
        <f>E6-E7</f>
        <v>549031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tabColor theme="9" tint="0.39997558519241921"/>
    <pageSetUpPr fitToPage="1"/>
  </sheetPr>
  <dimension ref="A1:Q92"/>
  <sheetViews>
    <sheetView zoomScaleNormal="100" workbookViewId="0">
      <pane xSplit="1" ySplit="3" topLeftCell="C25" activePane="bottomRight" state="frozen"/>
      <selection pane="topRight" activeCell="B1" sqref="B1"/>
      <selection pane="bottomLeft" activeCell="A4" sqref="A4"/>
      <selection pane="bottomRight" activeCell="A31" sqref="A31"/>
    </sheetView>
  </sheetViews>
  <sheetFormatPr defaultRowHeight="12.75"/>
  <cols>
    <col min="1" max="1" width="34.42578125" bestFit="1" customWidth="1"/>
    <col min="2" max="7" width="11.28515625" style="1" bestFit="1" customWidth="1"/>
    <col min="8" max="8" width="11.28515625" style="27" bestFit="1" customWidth="1"/>
    <col min="9" max="9" width="11.28515625" style="28" bestFit="1" customWidth="1"/>
    <col min="10" max="10" width="11.28515625" bestFit="1" customWidth="1"/>
    <col min="11" max="11" width="11.28515625" style="15" bestFit="1" customWidth="1"/>
    <col min="12" max="13" width="11.140625" style="15" bestFit="1" customWidth="1"/>
    <col min="14" max="14" width="11.140625" style="15" customWidth="1"/>
    <col min="15" max="15" width="15" bestFit="1" customWidth="1"/>
    <col min="16" max="16" width="12.7109375" bestFit="1" customWidth="1"/>
  </cols>
  <sheetData>
    <row r="1" spans="1:17" ht="15.75">
      <c r="A1" s="748"/>
      <c r="B1" s="897" t="s">
        <v>421</v>
      </c>
      <c r="C1" s="775" t="s">
        <v>434</v>
      </c>
      <c r="D1" s="774"/>
      <c r="E1" s="774"/>
      <c r="F1" s="774"/>
      <c r="G1" s="774"/>
      <c r="H1" s="776"/>
      <c r="I1" s="777"/>
      <c r="J1" s="502"/>
      <c r="K1" s="777"/>
      <c r="L1" s="777"/>
      <c r="M1" s="778"/>
      <c r="N1" s="778"/>
    </row>
    <row r="2" spans="1:17" ht="13.5" thickBot="1">
      <c r="A2" s="491"/>
      <c r="B2" s="766"/>
      <c r="C2" s="766"/>
      <c r="D2" s="766"/>
      <c r="E2" s="766"/>
      <c r="F2" s="766"/>
      <c r="G2" s="766"/>
      <c r="H2" s="767"/>
      <c r="I2" s="765"/>
      <c r="J2" s="491"/>
      <c r="K2" s="765"/>
      <c r="L2" s="765"/>
      <c r="M2" s="765"/>
      <c r="N2" s="765"/>
    </row>
    <row r="3" spans="1:17" ht="39" thickTop="1">
      <c r="A3" s="814"/>
      <c r="B3" s="815" t="s">
        <v>40</v>
      </c>
      <c r="C3" s="815" t="s">
        <v>41</v>
      </c>
      <c r="D3" s="815" t="s">
        <v>42</v>
      </c>
      <c r="E3" s="815" t="s">
        <v>85</v>
      </c>
      <c r="F3" s="815" t="s">
        <v>92</v>
      </c>
      <c r="G3" s="815" t="s">
        <v>86</v>
      </c>
      <c r="H3" s="815" t="s">
        <v>87</v>
      </c>
      <c r="I3" s="815" t="s">
        <v>93</v>
      </c>
      <c r="J3" s="815" t="s">
        <v>121</v>
      </c>
      <c r="K3" s="815" t="s">
        <v>122</v>
      </c>
      <c r="L3" s="815" t="s">
        <v>377</v>
      </c>
      <c r="M3" s="815" t="s">
        <v>562</v>
      </c>
      <c r="N3" s="816" t="s">
        <v>561</v>
      </c>
    </row>
    <row r="4" spans="1:17">
      <c r="A4" s="817"/>
      <c r="B4" s="581"/>
      <c r="C4" s="581"/>
      <c r="D4" s="581"/>
      <c r="E4" s="581"/>
      <c r="F4" s="581"/>
      <c r="G4" s="581"/>
      <c r="H4" s="581"/>
      <c r="I4" s="581"/>
      <c r="J4" s="581"/>
      <c r="K4" s="581"/>
      <c r="L4" s="749"/>
      <c r="M4" s="750"/>
      <c r="N4" s="750"/>
    </row>
    <row r="5" spans="1:17">
      <c r="A5" s="818" t="s">
        <v>46</v>
      </c>
      <c r="B5" s="751">
        <f t="array" ref="B5:K5">TRANSPOSE('Purchased Power Model'!AC34:AC43)</f>
        <v>129569190</v>
      </c>
      <c r="C5" s="751">
        <v>125693570</v>
      </c>
      <c r="D5" s="751">
        <v>125561560</v>
      </c>
      <c r="E5" s="751">
        <v>121334640</v>
      </c>
      <c r="F5" s="751">
        <v>118414830</v>
      </c>
      <c r="G5" s="751">
        <v>116592701</v>
      </c>
      <c r="H5" s="752">
        <v>118002442</v>
      </c>
      <c r="I5" s="753">
        <v>115281047</v>
      </c>
      <c r="J5" s="754">
        <v>116595466</v>
      </c>
      <c r="K5" s="753">
        <v>115948548</v>
      </c>
      <c r="L5" s="753">
        <f>'Purchased Power Model'!$AC$44</f>
        <v>112684777.95</v>
      </c>
      <c r="M5" s="755">
        <f>'Purchased Power Model'!AC45</f>
        <v>109734363.34999999</v>
      </c>
      <c r="N5" s="755"/>
    </row>
    <row r="6" spans="1:17">
      <c r="A6" s="818" t="s">
        <v>47</v>
      </c>
      <c r="B6" s="751">
        <f t="array" ref="B6:K6">TRANSPOSE('Purchased Power Model'!AB34:AB43)</f>
        <v>127663715.01427059</v>
      </c>
      <c r="C6" s="751">
        <v>123416799.71901694</v>
      </c>
      <c r="D6" s="751">
        <v>124100986.80243881</v>
      </c>
      <c r="E6" s="751">
        <v>122884718.83751048</v>
      </c>
      <c r="F6" s="751">
        <v>120857158.06058918</v>
      </c>
      <c r="G6" s="751">
        <v>119385970.8482376</v>
      </c>
      <c r="H6" s="752">
        <v>118776585.22206892</v>
      </c>
      <c r="I6" s="752">
        <v>117143871.27482355</v>
      </c>
      <c r="J6" s="754">
        <v>115983388.59136477</v>
      </c>
      <c r="K6" s="753">
        <v>114127521.26980457</v>
      </c>
      <c r="L6" s="753">
        <f>'Purchased Power Model'!AB44</f>
        <v>111338056.3098745</v>
      </c>
      <c r="M6" s="755"/>
      <c r="N6" s="755">
        <f>'Purchased Power Model'!AC61</f>
        <v>111387474.08147961</v>
      </c>
    </row>
    <row r="7" spans="1:17">
      <c r="A7" s="818" t="s">
        <v>4</v>
      </c>
      <c r="B7" s="756">
        <f t="shared" ref="B7:L7" si="0">(B6-B5)/B5</f>
        <v>-1.4706235222504757E-2</v>
      </c>
      <c r="C7" s="756">
        <f t="shared" si="0"/>
        <v>-1.8113657532227469E-2</v>
      </c>
      <c r="D7" s="756">
        <f t="shared" si="0"/>
        <v>-1.1632327581476285E-2</v>
      </c>
      <c r="E7" s="756">
        <f t="shared" si="0"/>
        <v>1.2775237454946761E-2</v>
      </c>
      <c r="F7" s="756">
        <f t="shared" si="0"/>
        <v>2.0625187407600717E-2</v>
      </c>
      <c r="G7" s="756">
        <f t="shared" si="0"/>
        <v>2.3957501835707572E-2</v>
      </c>
      <c r="H7" s="757">
        <f t="shared" si="0"/>
        <v>6.5604000133227813E-3</v>
      </c>
      <c r="I7" s="757">
        <f t="shared" si="0"/>
        <v>1.6158981231524958E-2</v>
      </c>
      <c r="J7" s="756">
        <f t="shared" si="0"/>
        <v>-5.249581562933407E-3</v>
      </c>
      <c r="K7" s="757">
        <f t="shared" si="0"/>
        <v>-1.5705472484186977E-2</v>
      </c>
      <c r="L7" s="757">
        <f t="shared" si="0"/>
        <v>-1.1951229479487102E-2</v>
      </c>
      <c r="M7" s="758"/>
      <c r="N7" s="758"/>
    </row>
    <row r="8" spans="1:17">
      <c r="A8" s="818" t="s">
        <v>94</v>
      </c>
      <c r="B8" s="756"/>
      <c r="C8" s="756"/>
      <c r="D8" s="756"/>
      <c r="E8" s="756"/>
      <c r="F8" s="756"/>
      <c r="G8" s="756"/>
      <c r="H8" s="757"/>
      <c r="I8" s="757"/>
      <c r="J8" s="756"/>
      <c r="K8" s="757"/>
      <c r="L8" s="759"/>
      <c r="M8" s="760"/>
      <c r="N8" s="760">
        <f>-'Purchased Power Model'!AH61</f>
        <v>-1164296.8548600001</v>
      </c>
    </row>
    <row r="9" spans="1:17">
      <c r="A9" s="818" t="s">
        <v>95</v>
      </c>
      <c r="B9" s="756"/>
      <c r="C9" s="756"/>
      <c r="D9" s="756"/>
      <c r="E9" s="756"/>
      <c r="F9" s="756"/>
      <c r="G9" s="756"/>
      <c r="H9" s="757"/>
      <c r="I9" s="757"/>
      <c r="J9" s="756"/>
      <c r="K9" s="757"/>
      <c r="L9" s="761"/>
      <c r="M9" s="762"/>
      <c r="N9" s="762">
        <f>N6+N8</f>
        <v>110223177.22661962</v>
      </c>
    </row>
    <row r="10" spans="1:17">
      <c r="A10" s="818"/>
      <c r="B10" s="763"/>
      <c r="C10" s="763"/>
      <c r="D10" s="763"/>
      <c r="E10" s="763"/>
      <c r="F10" s="763"/>
      <c r="G10" s="763"/>
      <c r="H10" s="764"/>
      <c r="I10" s="765"/>
      <c r="J10" s="766"/>
      <c r="K10" s="767"/>
      <c r="L10" s="767"/>
      <c r="M10" s="758"/>
      <c r="N10" s="758"/>
    </row>
    <row r="11" spans="1:17">
      <c r="A11" s="818" t="s">
        <v>96</v>
      </c>
      <c r="B11" s="751">
        <f t="array" ref="B11:K11">TRANSPOSE('Rate Class Energy Model '!D3:D12)</f>
        <v>126336267</v>
      </c>
      <c r="C11" s="751">
        <v>116814435</v>
      </c>
      <c r="D11" s="751">
        <v>113998664</v>
      </c>
      <c r="E11" s="751">
        <v>111785106</v>
      </c>
      <c r="F11" s="751">
        <v>109680577</v>
      </c>
      <c r="G11" s="751">
        <v>107839547</v>
      </c>
      <c r="H11" s="752">
        <v>108810680</v>
      </c>
      <c r="I11" s="761">
        <v>106397501</v>
      </c>
      <c r="J11" s="754">
        <v>107193012</v>
      </c>
      <c r="K11" s="753">
        <v>107593001</v>
      </c>
      <c r="L11" s="753">
        <f>'Rate Class Energy Model '!D13</f>
        <v>104215271.962</v>
      </c>
      <c r="M11" s="1170">
        <f>'Rate Class Energy Model '!D14</f>
        <v>101711018.28400001</v>
      </c>
      <c r="N11" s="768">
        <f>'Rate Class Energy Model '!D64</f>
        <v>101879265.39108938</v>
      </c>
      <c r="O11" s="753">
        <f>SUM(B11:N11)</f>
        <v>1424254345.6370893</v>
      </c>
      <c r="P11" s="21">
        <f>SUM('Rate Class Energy Model '!D3:D14)+'Rate Class Energy Model '!D64</f>
        <v>1424254345.6370893</v>
      </c>
      <c r="Q11" s="21">
        <f>O11-P11</f>
        <v>0</v>
      </c>
    </row>
    <row r="12" spans="1:17">
      <c r="A12" s="818"/>
      <c r="B12" s="763"/>
      <c r="C12" s="763"/>
      <c r="D12" s="763"/>
      <c r="E12" s="763"/>
      <c r="F12" s="763"/>
      <c r="G12" s="763"/>
      <c r="H12" s="767"/>
      <c r="I12" s="765"/>
      <c r="J12" s="766"/>
      <c r="K12" s="769"/>
      <c r="L12" s="767"/>
      <c r="M12" s="758"/>
      <c r="N12" s="758"/>
    </row>
    <row r="13" spans="1:17" ht="15.75">
      <c r="A13" s="819" t="s">
        <v>48</v>
      </c>
      <c r="B13" s="766"/>
      <c r="C13" s="766"/>
      <c r="D13" s="766"/>
      <c r="E13" s="766"/>
      <c r="F13" s="766"/>
      <c r="G13" s="766"/>
      <c r="H13" s="767"/>
      <c r="I13" s="765"/>
      <c r="J13" s="766"/>
      <c r="K13" s="767"/>
      <c r="L13" s="767"/>
      <c r="M13" s="758"/>
      <c r="N13" s="758"/>
    </row>
    <row r="14" spans="1:17">
      <c r="A14" s="820" t="str">
        <f>'Rate Class Energy Model '!E2</f>
        <v xml:space="preserve">Residential </v>
      </c>
      <c r="B14" s="766"/>
      <c r="C14" s="766"/>
      <c r="D14" s="766"/>
      <c r="E14" s="766"/>
      <c r="F14" s="766"/>
      <c r="G14" s="766"/>
      <c r="H14" s="767"/>
      <c r="I14" s="765"/>
      <c r="J14" s="766"/>
      <c r="K14" s="767"/>
      <c r="L14" s="767"/>
      <c r="M14" s="758"/>
      <c r="N14" s="758"/>
    </row>
    <row r="15" spans="1:17">
      <c r="A15" s="817" t="s">
        <v>37</v>
      </c>
      <c r="B15" s="754">
        <f t="array" ref="B15:N15">TRANSPOSE('Rate Class Customer Model'!B4:B16)</f>
        <v>4931</v>
      </c>
      <c r="C15" s="754">
        <v>4962</v>
      </c>
      <c r="D15" s="754">
        <v>4967</v>
      </c>
      <c r="E15" s="754">
        <v>4966</v>
      </c>
      <c r="F15" s="754">
        <v>4974</v>
      </c>
      <c r="G15" s="754">
        <v>4982</v>
      </c>
      <c r="H15" s="753">
        <v>5004</v>
      </c>
      <c r="I15" s="753">
        <v>5025</v>
      </c>
      <c r="J15" s="754">
        <v>5035</v>
      </c>
      <c r="K15" s="753">
        <v>5040</v>
      </c>
      <c r="L15" s="753">
        <v>5054</v>
      </c>
      <c r="M15" s="755">
        <v>5071</v>
      </c>
      <c r="N15" s="755">
        <v>5084</v>
      </c>
      <c r="O15" s="21"/>
    </row>
    <row r="16" spans="1:17">
      <c r="A16" s="817" t="s">
        <v>38</v>
      </c>
      <c r="B16" s="754">
        <f t="array" ref="B16:K16">TRANSPOSE('Rate Class Energy Model '!E3:E12)</f>
        <v>46438361</v>
      </c>
      <c r="C16" s="754">
        <v>44440685</v>
      </c>
      <c r="D16" s="754">
        <v>45086486</v>
      </c>
      <c r="E16" s="754">
        <v>44465236</v>
      </c>
      <c r="F16" s="754">
        <v>44337599</v>
      </c>
      <c r="G16" s="754">
        <v>44191614</v>
      </c>
      <c r="H16" s="753">
        <v>43287278</v>
      </c>
      <c r="I16" s="753">
        <v>42116982</v>
      </c>
      <c r="J16" s="770">
        <v>42764838</v>
      </c>
      <c r="K16" s="753">
        <v>42272228</v>
      </c>
      <c r="L16" s="753">
        <f>'Rate Class Energy Model '!E13</f>
        <v>40938310.960000001</v>
      </c>
      <c r="M16" s="755">
        <f>'Rate Class Energy Model '!E14</f>
        <v>40480043.329000004</v>
      </c>
      <c r="N16" s="755">
        <f>'Rate Class Energy Model '!E64</f>
        <v>41297324.172188982</v>
      </c>
      <c r="O16" s="21"/>
    </row>
    <row r="17" spans="1:15">
      <c r="A17" s="817"/>
      <c r="B17" s="766"/>
      <c r="C17" s="766"/>
      <c r="D17" s="766"/>
      <c r="E17" s="766"/>
      <c r="F17" s="766"/>
      <c r="G17" s="766"/>
      <c r="H17" s="767"/>
      <c r="I17" s="765"/>
      <c r="J17" s="770"/>
      <c r="K17" s="767"/>
      <c r="L17" s="767"/>
      <c r="M17" s="758"/>
      <c r="N17" s="758"/>
    </row>
    <row r="18" spans="1:15">
      <c r="A18" s="820" t="str">
        <f>'Rate Class Energy Model '!F2</f>
        <v>General Service &lt; 50 kW</v>
      </c>
      <c r="B18" s="766"/>
      <c r="C18" s="766"/>
      <c r="D18" s="766"/>
      <c r="E18" s="766"/>
      <c r="F18" s="766"/>
      <c r="G18" s="766"/>
      <c r="H18" s="767"/>
      <c r="I18" s="765"/>
      <c r="J18" s="771"/>
      <c r="K18" s="767"/>
      <c r="L18" s="767"/>
      <c r="M18" s="758"/>
      <c r="N18" s="758"/>
    </row>
    <row r="19" spans="1:15">
      <c r="A19" s="817" t="s">
        <v>37</v>
      </c>
      <c r="B19" s="754">
        <f t="array" ref="B19:M19">TRANSPOSE('Rate Class Customer Model'!C4:C15)</f>
        <v>770</v>
      </c>
      <c r="C19" s="754">
        <v>771</v>
      </c>
      <c r="D19" s="754">
        <v>784</v>
      </c>
      <c r="E19" s="754">
        <v>778</v>
      </c>
      <c r="F19" s="754">
        <v>774</v>
      </c>
      <c r="G19" s="754">
        <v>770</v>
      </c>
      <c r="H19" s="753">
        <v>769</v>
      </c>
      <c r="I19" s="753">
        <v>770</v>
      </c>
      <c r="J19" s="754">
        <v>759</v>
      </c>
      <c r="K19" s="753">
        <v>754</v>
      </c>
      <c r="L19" s="753">
        <v>742</v>
      </c>
      <c r="M19" s="755">
        <v>740</v>
      </c>
      <c r="N19" s="755">
        <f>'Rate Class Customer Model'!C16</f>
        <v>737</v>
      </c>
      <c r="O19" s="21"/>
    </row>
    <row r="20" spans="1:15">
      <c r="A20" s="817" t="s">
        <v>38</v>
      </c>
      <c r="B20" s="754">
        <f t="array" ref="B20:K20">TRANSPOSE('Rate Class Energy Model '!F3:F12)</f>
        <v>23490754</v>
      </c>
      <c r="C20" s="754">
        <v>22220025</v>
      </c>
      <c r="D20" s="754">
        <v>22360087</v>
      </c>
      <c r="E20" s="754">
        <v>21119955</v>
      </c>
      <c r="F20" s="754">
        <v>20399815</v>
      </c>
      <c r="G20" s="754">
        <v>20418777</v>
      </c>
      <c r="H20" s="753">
        <v>20434679</v>
      </c>
      <c r="I20" s="753">
        <v>19669183</v>
      </c>
      <c r="J20" s="754">
        <v>20094189</v>
      </c>
      <c r="K20" s="753">
        <v>20739791</v>
      </c>
      <c r="L20" s="753">
        <f>'Rate Class Energy Model '!F13</f>
        <v>20653133.002</v>
      </c>
      <c r="M20" s="755">
        <f>'Rate Class Energy Model '!F14</f>
        <v>20348622.955000002</v>
      </c>
      <c r="N20" s="755">
        <f>'Rate Class Energy Model '!F64</f>
        <v>20684698.685329031</v>
      </c>
      <c r="O20" s="21"/>
    </row>
    <row r="21" spans="1:15">
      <c r="A21" s="817"/>
      <c r="B21" s="766"/>
      <c r="C21" s="766"/>
      <c r="D21" s="766"/>
      <c r="E21" s="766"/>
      <c r="F21" s="766"/>
      <c r="G21" s="766"/>
      <c r="H21" s="767"/>
      <c r="I21" s="753"/>
      <c r="J21" s="766"/>
      <c r="K21" s="767"/>
      <c r="L21" s="767"/>
      <c r="M21" s="758"/>
      <c r="N21" s="758"/>
    </row>
    <row r="22" spans="1:15">
      <c r="A22" s="820" t="str">
        <f>'Rate Class Energy Model '!G2</f>
        <v>General Service 50 to 4,999 kW</v>
      </c>
      <c r="B22" s="766"/>
      <c r="C22" s="766"/>
      <c r="D22" s="766"/>
      <c r="E22" s="766"/>
      <c r="F22" s="766"/>
      <c r="G22" s="766"/>
      <c r="H22" s="767"/>
      <c r="I22" s="753"/>
      <c r="J22" s="766"/>
      <c r="K22" s="767"/>
      <c r="L22" s="767"/>
      <c r="M22" s="758"/>
      <c r="N22" s="758"/>
    </row>
    <row r="23" spans="1:15">
      <c r="A23" s="817" t="s">
        <v>37</v>
      </c>
      <c r="B23" s="754">
        <f t="array" ref="B23:M23">TRANSPOSE('Rate Class Customer Model'!D4:D15)</f>
        <v>67</v>
      </c>
      <c r="C23" s="754">
        <v>65</v>
      </c>
      <c r="D23" s="754">
        <v>65</v>
      </c>
      <c r="E23" s="754">
        <v>66</v>
      </c>
      <c r="F23" s="754">
        <v>66</v>
      </c>
      <c r="G23" s="754">
        <v>66</v>
      </c>
      <c r="H23" s="753">
        <v>66</v>
      </c>
      <c r="I23" s="753">
        <v>67</v>
      </c>
      <c r="J23" s="754">
        <v>65</v>
      </c>
      <c r="K23" s="753">
        <v>64</v>
      </c>
      <c r="L23" s="753">
        <v>64</v>
      </c>
      <c r="M23" s="755">
        <v>64</v>
      </c>
      <c r="N23" s="755">
        <f>'Rate Class Customer Model'!D16</f>
        <v>64</v>
      </c>
      <c r="O23" s="21"/>
    </row>
    <row r="24" spans="1:15">
      <c r="A24" s="817" t="s">
        <v>38</v>
      </c>
      <c r="B24" s="754">
        <f t="array" ref="B24:K24">TRANSPOSE('Rate Class Energy Model '!G3:G12)</f>
        <v>54683320</v>
      </c>
      <c r="C24" s="754">
        <v>48405425</v>
      </c>
      <c r="D24" s="754">
        <v>44734117</v>
      </c>
      <c r="E24" s="754">
        <v>44381852</v>
      </c>
      <c r="F24" s="754">
        <v>43092665</v>
      </c>
      <c r="G24" s="754">
        <v>41354016</v>
      </c>
      <c r="H24" s="753">
        <v>43031208</v>
      </c>
      <c r="I24" s="753">
        <v>42549997</v>
      </c>
      <c r="J24" s="754">
        <v>42246503</v>
      </c>
      <c r="K24" s="753">
        <v>42584416</v>
      </c>
      <c r="L24" s="753">
        <f>'Rate Class Energy Model '!G13</f>
        <v>40918077</v>
      </c>
      <c r="M24" s="755">
        <f>'Rate Class Energy Model '!G14</f>
        <v>39456019</v>
      </c>
      <c r="N24" s="755">
        <f>'Rate Class Energy Model '!G64</f>
        <v>38486691.337758243</v>
      </c>
      <c r="O24" s="21"/>
    </row>
    <row r="25" spans="1:15">
      <c r="A25" s="817" t="s">
        <v>39</v>
      </c>
      <c r="B25" s="754">
        <f t="array" ref="B25:M25">TRANSPOSE('Rate Class Load Model'!B3:B15)</f>
        <v>139429</v>
      </c>
      <c r="C25" s="754">
        <v>133580</v>
      </c>
      <c r="D25" s="754">
        <v>118636</v>
      </c>
      <c r="E25" s="754">
        <v>124007</v>
      </c>
      <c r="F25" s="754">
        <v>130261</v>
      </c>
      <c r="G25" s="754">
        <v>132433</v>
      </c>
      <c r="H25" s="753">
        <v>130762</v>
      </c>
      <c r="I25" s="753">
        <v>125469</v>
      </c>
      <c r="J25" s="754">
        <v>133148</v>
      </c>
      <c r="K25" s="753">
        <v>131947</v>
      </c>
      <c r="L25" s="753">
        <v>125734.44</v>
      </c>
      <c r="M25" s="755">
        <v>115477</v>
      </c>
      <c r="N25" s="755">
        <f>'Rate Class Load Model'!B15</f>
        <v>112951.89978761591</v>
      </c>
      <c r="O25" s="21"/>
    </row>
    <row r="26" spans="1:15">
      <c r="A26" s="817"/>
      <c r="B26" s="766"/>
      <c r="C26" s="766"/>
      <c r="D26" s="766"/>
      <c r="E26" s="766"/>
      <c r="F26" s="766"/>
      <c r="G26" s="766"/>
      <c r="H26" s="767"/>
      <c r="I26" s="765"/>
      <c r="J26" s="766"/>
      <c r="K26" s="767"/>
      <c r="L26" s="767"/>
      <c r="M26" s="758"/>
      <c r="N26" s="758"/>
    </row>
    <row r="27" spans="1:15">
      <c r="A27" s="820" t="str">
        <f>'Rate Class Energy Model '!H2</f>
        <v xml:space="preserve">Street Lights </v>
      </c>
      <c r="B27" s="766"/>
      <c r="C27" s="766"/>
      <c r="D27" s="766"/>
      <c r="E27" s="766"/>
      <c r="F27" s="766"/>
      <c r="G27" s="766"/>
      <c r="H27" s="767"/>
      <c r="I27" s="753"/>
      <c r="J27" s="766"/>
      <c r="K27" s="767"/>
      <c r="L27" s="767"/>
      <c r="M27" s="758"/>
      <c r="N27" s="758"/>
    </row>
    <row r="28" spans="1:15">
      <c r="A28" s="817" t="s">
        <v>43</v>
      </c>
      <c r="B28" s="754">
        <f t="array" ref="B28:M28">TRANSPOSE('Rate Class Customer Model'!E4:E15)</f>
        <v>1633</v>
      </c>
      <c r="C28" s="754">
        <v>1641</v>
      </c>
      <c r="D28" s="754">
        <v>1644</v>
      </c>
      <c r="E28" s="754">
        <v>1637</v>
      </c>
      <c r="F28" s="754">
        <v>1640</v>
      </c>
      <c r="G28" s="754">
        <v>1701</v>
      </c>
      <c r="H28" s="753">
        <v>1703</v>
      </c>
      <c r="I28" s="753">
        <v>1703</v>
      </c>
      <c r="J28" s="754">
        <v>1707</v>
      </c>
      <c r="K28" s="753">
        <v>1707</v>
      </c>
      <c r="L28" s="753">
        <v>1711</v>
      </c>
      <c r="M28" s="755">
        <v>1711</v>
      </c>
      <c r="N28" s="755">
        <f>'Rate Class Customer Model'!E16</f>
        <v>1711</v>
      </c>
      <c r="O28" s="21"/>
    </row>
    <row r="29" spans="1:15">
      <c r="A29" s="817" t="s">
        <v>38</v>
      </c>
      <c r="B29" s="754">
        <f t="array" ref="B29:K29">TRANSPOSE('Rate Class Energy Model '!H3:H12)</f>
        <v>1359556</v>
      </c>
      <c r="C29" s="754">
        <v>1341413</v>
      </c>
      <c r="D29" s="754">
        <v>1392325</v>
      </c>
      <c r="E29" s="754">
        <v>1394217</v>
      </c>
      <c r="F29" s="754">
        <v>1393923</v>
      </c>
      <c r="G29" s="754">
        <v>1429699</v>
      </c>
      <c r="H29" s="753">
        <v>1453874</v>
      </c>
      <c r="I29" s="753">
        <v>1453808</v>
      </c>
      <c r="J29" s="754">
        <v>1447303</v>
      </c>
      <c r="K29" s="753">
        <v>1321505</v>
      </c>
      <c r="L29" s="753">
        <f>'Rate Class Energy Model '!H13</f>
        <v>1052678</v>
      </c>
      <c r="M29" s="755">
        <f>'Rate Class Energy Model '!H14</f>
        <v>773158</v>
      </c>
      <c r="N29" s="755">
        <f>'Rate Class Energy Model '!H64</f>
        <v>731377.587265532</v>
      </c>
      <c r="O29" s="21"/>
    </row>
    <row r="30" spans="1:15">
      <c r="A30" s="817" t="s">
        <v>39</v>
      </c>
      <c r="B30" s="754">
        <f>'Rate Class Load Model'!C3</f>
        <v>3764</v>
      </c>
      <c r="C30" s="754">
        <f>'Rate Class Load Model'!C4</f>
        <v>3772</v>
      </c>
      <c r="D30" s="754">
        <f>'Rate Class Load Model'!C5</f>
        <v>3777</v>
      </c>
      <c r="E30" s="754">
        <f>'Rate Class Load Model'!C6</f>
        <v>3782</v>
      </c>
      <c r="F30" s="754">
        <f>'Rate Class Load Model'!C7</f>
        <v>3774</v>
      </c>
      <c r="G30" s="754">
        <f>'Rate Class Load Model'!C8</f>
        <v>3857</v>
      </c>
      <c r="H30" s="753">
        <f>'Rate Class Load Model'!C9</f>
        <v>3941</v>
      </c>
      <c r="I30" s="753">
        <f>'Rate Class Load Model'!C10</f>
        <v>3919</v>
      </c>
      <c r="J30" s="754">
        <f>'Rate Class Load Model'!C11</f>
        <v>3920</v>
      </c>
      <c r="K30" s="753">
        <f>'Rate Class Load Model'!C12</f>
        <v>3620</v>
      </c>
      <c r="L30" s="753">
        <f>'Rate Class Load Model'!C13</f>
        <v>2861.6</v>
      </c>
      <c r="M30" s="755">
        <f>'Rate Class Load Model'!C14</f>
        <v>2070</v>
      </c>
      <c r="N30" s="755">
        <f>'Rate Class Load Model'!C15</f>
        <v>1990.6267768959806</v>
      </c>
      <c r="O30" s="21"/>
    </row>
    <row r="31" spans="1:15">
      <c r="A31" s="817"/>
      <c r="B31" s="766"/>
      <c r="C31" s="766"/>
      <c r="D31" s="766"/>
      <c r="E31" s="766"/>
      <c r="F31" s="766"/>
      <c r="G31" s="766"/>
      <c r="H31" s="767"/>
      <c r="I31" s="753"/>
      <c r="J31" s="766"/>
      <c r="K31" s="767"/>
      <c r="L31" s="767"/>
      <c r="M31" s="758"/>
      <c r="N31" s="758"/>
    </row>
    <row r="32" spans="1:15">
      <c r="A32" s="821" t="str">
        <f>'Rate Class Energy Model '!I2</f>
        <v>Sentinel Lights</v>
      </c>
      <c r="B32" s="766"/>
      <c r="C32" s="766"/>
      <c r="D32" s="766"/>
      <c r="E32" s="766"/>
      <c r="F32" s="766"/>
      <c r="G32" s="766"/>
      <c r="H32" s="767"/>
      <c r="I32" s="765"/>
      <c r="J32" s="766"/>
      <c r="K32" s="767"/>
      <c r="L32" s="767"/>
      <c r="M32" s="758"/>
      <c r="N32" s="758"/>
    </row>
    <row r="33" spans="1:16">
      <c r="A33" s="817" t="s">
        <v>43</v>
      </c>
      <c r="B33" s="754">
        <f t="array" ref="B33:M33">TRANSPOSE('Rate Class Customer Model'!F4:F15)</f>
        <v>56</v>
      </c>
      <c r="C33" s="754">
        <v>67</v>
      </c>
      <c r="D33" s="754">
        <v>67</v>
      </c>
      <c r="E33" s="754">
        <v>67</v>
      </c>
      <c r="F33" s="754">
        <v>75</v>
      </c>
      <c r="G33" s="754">
        <v>75</v>
      </c>
      <c r="H33" s="753">
        <v>75</v>
      </c>
      <c r="I33" s="753">
        <v>75</v>
      </c>
      <c r="J33" s="754">
        <v>75</v>
      </c>
      <c r="K33" s="753">
        <v>75</v>
      </c>
      <c r="L33" s="753">
        <v>75</v>
      </c>
      <c r="M33" s="755">
        <v>73</v>
      </c>
      <c r="N33" s="755">
        <f>'Rate Class Customer Model'!F16</f>
        <v>73</v>
      </c>
      <c r="O33" s="21"/>
    </row>
    <row r="34" spans="1:16">
      <c r="A34" s="817" t="s">
        <v>38</v>
      </c>
      <c r="B34" s="754">
        <f t="array" ref="B34:K34">TRANSPOSE('Rate Class Energy Model '!I3:I12)</f>
        <v>94884</v>
      </c>
      <c r="C34" s="754">
        <v>102394</v>
      </c>
      <c r="D34" s="754">
        <v>102933</v>
      </c>
      <c r="E34" s="754">
        <v>100161</v>
      </c>
      <c r="F34" s="754">
        <v>108556</v>
      </c>
      <c r="G34" s="754">
        <v>108277</v>
      </c>
      <c r="H34" s="753">
        <v>108262</v>
      </c>
      <c r="I34" s="753">
        <v>108266</v>
      </c>
      <c r="J34" s="754">
        <v>108281</v>
      </c>
      <c r="K34" s="753">
        <v>109302</v>
      </c>
      <c r="L34" s="753">
        <f>'Rate Class Energy Model '!I13</f>
        <v>109502</v>
      </c>
      <c r="M34" s="755">
        <f>'Rate Class Energy Model '!I14</f>
        <v>106791</v>
      </c>
      <c r="N34" s="755">
        <f>'Rate Class Energy Model '!I64</f>
        <v>105374.43880217051</v>
      </c>
      <c r="O34" s="21"/>
    </row>
    <row r="35" spans="1:16">
      <c r="A35" s="817" t="s">
        <v>39</v>
      </c>
      <c r="B35" s="754">
        <f t="array" ref="B35:M35">TRANSPOSE('Rate Class Load Model'!D3:D15)</f>
        <v>261</v>
      </c>
      <c r="C35" s="754">
        <v>284</v>
      </c>
      <c r="D35" s="754">
        <v>286</v>
      </c>
      <c r="E35" s="754">
        <v>278</v>
      </c>
      <c r="F35" s="754">
        <v>301</v>
      </c>
      <c r="G35" s="754">
        <v>301</v>
      </c>
      <c r="H35" s="753">
        <v>300</v>
      </c>
      <c r="I35" s="753">
        <v>300</v>
      </c>
      <c r="J35" s="754">
        <v>300</v>
      </c>
      <c r="K35" s="753">
        <v>302</v>
      </c>
      <c r="L35" s="753">
        <v>302</v>
      </c>
      <c r="M35" s="755">
        <v>302</v>
      </c>
      <c r="N35" s="755">
        <f>'Rate Class Load Model'!D15</f>
        <v>292.34814949780423</v>
      </c>
      <c r="O35" s="21"/>
    </row>
    <row r="36" spans="1:16">
      <c r="A36" s="817"/>
      <c r="B36" s="766"/>
      <c r="C36" s="766"/>
      <c r="D36" s="766"/>
      <c r="E36" s="766"/>
      <c r="F36" s="766"/>
      <c r="G36" s="766"/>
      <c r="H36" s="767"/>
      <c r="I36" s="765"/>
      <c r="J36" s="766"/>
      <c r="K36" s="767"/>
      <c r="L36" s="767"/>
      <c r="M36" s="758"/>
      <c r="N36" s="758"/>
    </row>
    <row r="37" spans="1:16">
      <c r="A37" s="820" t="str">
        <f>'Rate Class Energy Model '!J2</f>
        <v xml:space="preserve">Unmetered Loads </v>
      </c>
      <c r="B37" s="766"/>
      <c r="C37" s="766"/>
      <c r="D37" s="766"/>
      <c r="E37" s="766"/>
      <c r="F37" s="766"/>
      <c r="G37" s="766"/>
      <c r="H37" s="767"/>
      <c r="I37" s="765"/>
      <c r="J37" s="766"/>
      <c r="K37" s="767"/>
      <c r="L37" s="767"/>
      <c r="M37" s="758"/>
      <c r="N37" s="758"/>
    </row>
    <row r="38" spans="1:16">
      <c r="A38" s="817" t="s">
        <v>43</v>
      </c>
      <c r="B38" s="754">
        <f t="array" ref="B38:M38">TRANSPOSE('Rate Class Customer Model'!G4:G15)</f>
        <v>49</v>
      </c>
      <c r="C38" s="754">
        <v>50</v>
      </c>
      <c r="D38" s="754">
        <v>48</v>
      </c>
      <c r="E38" s="754">
        <v>49</v>
      </c>
      <c r="F38" s="754">
        <v>49</v>
      </c>
      <c r="G38" s="754">
        <v>48</v>
      </c>
      <c r="H38" s="753">
        <v>59</v>
      </c>
      <c r="I38" s="753">
        <v>60</v>
      </c>
      <c r="J38" s="754">
        <v>61</v>
      </c>
      <c r="K38" s="753">
        <v>61</v>
      </c>
      <c r="L38" s="753">
        <v>59</v>
      </c>
      <c r="M38" s="755">
        <v>58</v>
      </c>
      <c r="N38" s="755">
        <f>'Rate Class Customer Model'!G16</f>
        <v>58</v>
      </c>
      <c r="O38" s="21"/>
    </row>
    <row r="39" spans="1:16">
      <c r="A39" s="817" t="s">
        <v>38</v>
      </c>
      <c r="B39" s="754">
        <f t="array" ref="B39:K39">TRANSPOSE('Rate Class Energy Model '!J3:J12)</f>
        <v>269392</v>
      </c>
      <c r="C39" s="754">
        <v>304493</v>
      </c>
      <c r="D39" s="754">
        <v>322716</v>
      </c>
      <c r="E39" s="754">
        <v>323685</v>
      </c>
      <c r="F39" s="754">
        <v>348019</v>
      </c>
      <c r="G39" s="754">
        <v>337164</v>
      </c>
      <c r="H39" s="753">
        <v>495379</v>
      </c>
      <c r="I39" s="753">
        <v>499265</v>
      </c>
      <c r="J39" s="754">
        <v>531898</v>
      </c>
      <c r="K39" s="753">
        <v>565759</v>
      </c>
      <c r="L39" s="753">
        <f>'Rate Class Energy Model '!J13</f>
        <v>543571</v>
      </c>
      <c r="M39" s="755">
        <f>'Rate Class Energy Model '!J14</f>
        <v>546384</v>
      </c>
      <c r="N39" s="755">
        <f>'Rate Class Energy Model '!J64</f>
        <v>573799.16974541137</v>
      </c>
      <c r="O39" s="21"/>
    </row>
    <row r="40" spans="1:16">
      <c r="A40" s="817"/>
      <c r="B40" s="766"/>
      <c r="C40" s="766"/>
      <c r="D40" s="766"/>
      <c r="E40" s="766"/>
      <c r="F40" s="766"/>
      <c r="G40" s="766"/>
      <c r="H40" s="767"/>
      <c r="I40" s="765"/>
      <c r="J40" s="767"/>
      <c r="K40" s="767"/>
      <c r="L40" s="767"/>
      <c r="M40" s="758"/>
      <c r="N40" s="758"/>
    </row>
    <row r="41" spans="1:16">
      <c r="A41" s="820" t="s">
        <v>5</v>
      </c>
      <c r="B41" s="766"/>
      <c r="C41" s="766"/>
      <c r="D41" s="766"/>
      <c r="E41" s="766"/>
      <c r="F41" s="766"/>
      <c r="G41" s="766"/>
      <c r="H41" s="767"/>
      <c r="I41" s="765"/>
      <c r="J41" s="767"/>
      <c r="K41" s="767"/>
      <c r="L41" s="767"/>
      <c r="M41" s="758"/>
      <c r="N41" s="758"/>
    </row>
    <row r="42" spans="1:16">
      <c r="A42" s="817" t="s">
        <v>45</v>
      </c>
      <c r="B42" s="753">
        <f t="shared" ref="B42:M42" si="1">B15+B19+B23+B28+B33+B38</f>
        <v>7506</v>
      </c>
      <c r="C42" s="753">
        <f t="shared" si="1"/>
        <v>7556</v>
      </c>
      <c r="D42" s="753">
        <f t="shared" si="1"/>
        <v>7575</v>
      </c>
      <c r="E42" s="753">
        <f t="shared" si="1"/>
        <v>7563</v>
      </c>
      <c r="F42" s="753">
        <f t="shared" si="1"/>
        <v>7578</v>
      </c>
      <c r="G42" s="753">
        <f t="shared" si="1"/>
        <v>7642</v>
      </c>
      <c r="H42" s="753">
        <f t="shared" si="1"/>
        <v>7676</v>
      </c>
      <c r="I42" s="753">
        <f t="shared" si="1"/>
        <v>7700</v>
      </c>
      <c r="J42" s="753">
        <f t="shared" si="1"/>
        <v>7702</v>
      </c>
      <c r="K42" s="753">
        <f t="shared" si="1"/>
        <v>7701</v>
      </c>
      <c r="L42" s="753">
        <f t="shared" si="1"/>
        <v>7705</v>
      </c>
      <c r="M42" s="755">
        <f t="shared" si="1"/>
        <v>7717</v>
      </c>
      <c r="N42" s="755">
        <f>N15+N19+N23+N28+N33+N38</f>
        <v>7727</v>
      </c>
      <c r="O42" s="495">
        <v>7727</v>
      </c>
      <c r="P42" s="21">
        <f>M42-O42</f>
        <v>-10</v>
      </c>
    </row>
    <row r="43" spans="1:16">
      <c r="A43" s="817" t="s">
        <v>38</v>
      </c>
      <c r="B43" s="753">
        <f t="shared" ref="B43:M43" si="2">B16+B20+B24+B29+B34+B39</f>
        <v>126336267</v>
      </c>
      <c r="C43" s="753">
        <f t="shared" si="2"/>
        <v>116814435</v>
      </c>
      <c r="D43" s="753">
        <f t="shared" si="2"/>
        <v>113998664</v>
      </c>
      <c r="E43" s="753">
        <f t="shared" si="2"/>
        <v>111785106</v>
      </c>
      <c r="F43" s="753">
        <f t="shared" si="2"/>
        <v>109680577</v>
      </c>
      <c r="G43" s="753">
        <f t="shared" si="2"/>
        <v>107839547</v>
      </c>
      <c r="H43" s="753">
        <f t="shared" si="2"/>
        <v>108810680</v>
      </c>
      <c r="I43" s="753">
        <f t="shared" si="2"/>
        <v>106397501</v>
      </c>
      <c r="J43" s="753">
        <f t="shared" si="2"/>
        <v>107193012</v>
      </c>
      <c r="K43" s="753">
        <f t="shared" si="2"/>
        <v>107593001</v>
      </c>
      <c r="L43" s="753">
        <f t="shared" si="2"/>
        <v>104215271.962</v>
      </c>
      <c r="M43" s="755">
        <f t="shared" si="2"/>
        <v>101711018.28400001</v>
      </c>
      <c r="N43" s="755">
        <f>N16+N20+N24+N29+N34+N39</f>
        <v>101879265.39108938</v>
      </c>
      <c r="O43" s="495">
        <v>101774693.86083066</v>
      </c>
      <c r="P43" s="21">
        <f>M43-O43</f>
        <v>-63675.576830655336</v>
      </c>
    </row>
    <row r="44" spans="1:16">
      <c r="A44" s="822" t="s">
        <v>44</v>
      </c>
      <c r="B44" s="772">
        <f t="shared" ref="B44:M44" si="3">B25+B30+B35</f>
        <v>143454</v>
      </c>
      <c r="C44" s="772">
        <f t="shared" si="3"/>
        <v>137636</v>
      </c>
      <c r="D44" s="772">
        <f t="shared" si="3"/>
        <v>122699</v>
      </c>
      <c r="E44" s="772">
        <f t="shared" si="3"/>
        <v>128067</v>
      </c>
      <c r="F44" s="772">
        <f t="shared" si="3"/>
        <v>134336</v>
      </c>
      <c r="G44" s="772">
        <f t="shared" si="3"/>
        <v>136591</v>
      </c>
      <c r="H44" s="772">
        <f t="shared" si="3"/>
        <v>135003</v>
      </c>
      <c r="I44" s="772">
        <f t="shared" si="3"/>
        <v>129688</v>
      </c>
      <c r="J44" s="772">
        <f t="shared" si="3"/>
        <v>137368</v>
      </c>
      <c r="K44" s="772">
        <f t="shared" si="3"/>
        <v>135869</v>
      </c>
      <c r="L44" s="772">
        <f t="shared" si="3"/>
        <v>128898.04000000001</v>
      </c>
      <c r="M44" s="773">
        <f t="shared" si="3"/>
        <v>117849</v>
      </c>
      <c r="N44" s="773">
        <f>N25+N30+N35</f>
        <v>115234.8747140097</v>
      </c>
      <c r="O44" s="495">
        <v>115178.27401029074</v>
      </c>
      <c r="P44" s="21">
        <f>M44-O44</f>
        <v>2670.725989709259</v>
      </c>
    </row>
    <row r="45" spans="1:16">
      <c r="B45" s="4"/>
      <c r="C45" s="4"/>
      <c r="D45" s="4"/>
      <c r="E45" s="4"/>
      <c r="G45" s="4"/>
      <c r="H45" s="11"/>
      <c r="I45" s="15"/>
      <c r="J45" s="53"/>
      <c r="K45" s="8"/>
      <c r="L45" s="8"/>
      <c r="M45" s="8"/>
      <c r="N45" s="8"/>
    </row>
    <row r="46" spans="1:16">
      <c r="B46" s="4">
        <f t="array" ref="B46:M46">TRANSPOSE('Rate Class Customer Model'!H4:H15)</f>
        <v>7506</v>
      </c>
      <c r="C46" s="4">
        <v>7556</v>
      </c>
      <c r="D46" s="4">
        <v>7575</v>
      </c>
      <c r="E46" s="4">
        <v>7563</v>
      </c>
      <c r="F46" s="4">
        <v>7578</v>
      </c>
      <c r="G46" s="4">
        <v>7642</v>
      </c>
      <c r="H46" s="11">
        <v>7676</v>
      </c>
      <c r="I46" s="11">
        <v>7700</v>
      </c>
      <c r="J46" s="11">
        <v>7702</v>
      </c>
      <c r="K46" s="11">
        <v>7701</v>
      </c>
      <c r="L46" s="11">
        <v>7705</v>
      </c>
      <c r="M46" s="11">
        <v>7717</v>
      </c>
      <c r="N46" s="11">
        <f>'Rate Class Customer Model'!H16</f>
        <v>7727</v>
      </c>
    </row>
    <row r="47" spans="1:16">
      <c r="B47" s="4">
        <f t="array" ref="B47:K47">TRANSPOSE('Rate Class Energy Model '!D3:D12)</f>
        <v>126336267</v>
      </c>
      <c r="C47" s="4">
        <v>116814435</v>
      </c>
      <c r="D47" s="4">
        <v>113998664</v>
      </c>
      <c r="E47" s="4">
        <v>111785106</v>
      </c>
      <c r="F47" s="4">
        <v>109680577</v>
      </c>
      <c r="G47" s="4">
        <v>107839547</v>
      </c>
      <c r="H47" s="11">
        <v>108810680</v>
      </c>
      <c r="I47" s="11">
        <v>106397501</v>
      </c>
      <c r="J47" s="11">
        <v>107193012</v>
      </c>
      <c r="K47" s="11">
        <v>107593001</v>
      </c>
      <c r="L47" s="11">
        <f>'Rate Class Energy Model '!D13</f>
        <v>104215271.962</v>
      </c>
      <c r="M47" s="11">
        <f>'Rate Class Energy Model '!D14</f>
        <v>101711018.28400001</v>
      </c>
      <c r="N47" s="11">
        <f>'Rate Class Energy Model '!D64</f>
        <v>101879265.39108938</v>
      </c>
    </row>
    <row r="48" spans="1:16">
      <c r="B48" s="4">
        <f t="array" ref="B48:M48">TRANSPOSE('Rate Class Load Model'!E3:E15)</f>
        <v>143454</v>
      </c>
      <c r="C48" s="4">
        <v>137636</v>
      </c>
      <c r="D48" s="4">
        <v>122699</v>
      </c>
      <c r="E48" s="4">
        <v>128067</v>
      </c>
      <c r="F48" s="4">
        <v>134336</v>
      </c>
      <c r="G48" s="4">
        <v>136591</v>
      </c>
      <c r="H48" s="11">
        <v>135003</v>
      </c>
      <c r="I48" s="11">
        <v>129688</v>
      </c>
      <c r="J48" s="11">
        <v>137368</v>
      </c>
      <c r="K48" s="11">
        <v>135869</v>
      </c>
      <c r="L48" s="11">
        <v>128898.04000000001</v>
      </c>
      <c r="M48" s="11">
        <v>117849</v>
      </c>
      <c r="N48" s="11">
        <f>'Rate Class Load Model'!E15</f>
        <v>115234.8747140097</v>
      </c>
    </row>
    <row r="49" spans="1:14">
      <c r="H49" s="8"/>
      <c r="I49" s="15"/>
      <c r="J49" s="15"/>
    </row>
    <row r="50" spans="1:14">
      <c r="A50" s="52" t="s">
        <v>11</v>
      </c>
      <c r="H50"/>
      <c r="I50"/>
    </row>
    <row r="51" spans="1:14">
      <c r="A51" t="s">
        <v>45</v>
      </c>
      <c r="B51" s="4">
        <f t="shared" ref="B51:M51" si="4">B42-B46</f>
        <v>0</v>
      </c>
      <c r="C51" s="4">
        <f t="shared" si="4"/>
        <v>0</v>
      </c>
      <c r="D51" s="4">
        <f t="shared" si="4"/>
        <v>0</v>
      </c>
      <c r="E51" s="4">
        <f t="shared" si="4"/>
        <v>0</v>
      </c>
      <c r="F51" s="4">
        <f t="shared" si="4"/>
        <v>0</v>
      </c>
      <c r="G51" s="4">
        <f t="shared" si="4"/>
        <v>0</v>
      </c>
      <c r="H51" s="4">
        <f t="shared" si="4"/>
        <v>0</v>
      </c>
      <c r="I51" s="4">
        <f t="shared" si="4"/>
        <v>0</v>
      </c>
      <c r="J51" s="4">
        <f t="shared" si="4"/>
        <v>0</v>
      </c>
      <c r="K51" s="11">
        <f t="shared" si="4"/>
        <v>0</v>
      </c>
      <c r="L51" s="11">
        <f t="shared" si="4"/>
        <v>0</v>
      </c>
      <c r="M51" s="11">
        <f t="shared" si="4"/>
        <v>0</v>
      </c>
      <c r="N51" s="11">
        <f>N42-N46</f>
        <v>0</v>
      </c>
    </row>
    <row r="52" spans="1:14">
      <c r="A52" t="s">
        <v>38</v>
      </c>
      <c r="B52" s="4">
        <f t="shared" ref="B52:M52" si="5">B43-B47</f>
        <v>0</v>
      </c>
      <c r="C52" s="4">
        <f t="shared" si="5"/>
        <v>0</v>
      </c>
      <c r="D52" s="4">
        <f t="shared" si="5"/>
        <v>0</v>
      </c>
      <c r="E52" s="4">
        <f t="shared" si="5"/>
        <v>0</v>
      </c>
      <c r="F52" s="4">
        <f t="shared" si="5"/>
        <v>0</v>
      </c>
      <c r="G52" s="4">
        <f t="shared" si="5"/>
        <v>0</v>
      </c>
      <c r="H52" s="4">
        <f t="shared" si="5"/>
        <v>0</v>
      </c>
      <c r="I52" s="4">
        <f t="shared" si="5"/>
        <v>0</v>
      </c>
      <c r="J52" s="4">
        <f t="shared" si="5"/>
        <v>0</v>
      </c>
      <c r="K52" s="11">
        <f t="shared" si="5"/>
        <v>0</v>
      </c>
      <c r="L52" s="11">
        <f t="shared" si="5"/>
        <v>0</v>
      </c>
      <c r="M52" s="11">
        <f t="shared" si="5"/>
        <v>0</v>
      </c>
      <c r="N52" s="11">
        <f>N43-N47</f>
        <v>0</v>
      </c>
    </row>
    <row r="53" spans="1:14">
      <c r="A53" t="s">
        <v>44</v>
      </c>
      <c r="B53" s="4">
        <f t="shared" ref="B53:M53" si="6">B44-B48</f>
        <v>0</v>
      </c>
      <c r="C53" s="4">
        <f t="shared" si="6"/>
        <v>0</v>
      </c>
      <c r="D53" s="4">
        <f t="shared" si="6"/>
        <v>0</v>
      </c>
      <c r="E53" s="4">
        <f t="shared" si="6"/>
        <v>0</v>
      </c>
      <c r="F53" s="4">
        <f t="shared" si="6"/>
        <v>0</v>
      </c>
      <c r="G53" s="4">
        <f t="shared" si="6"/>
        <v>0</v>
      </c>
      <c r="H53" s="4">
        <f t="shared" si="6"/>
        <v>0</v>
      </c>
      <c r="I53" s="4">
        <f t="shared" si="6"/>
        <v>0</v>
      </c>
      <c r="J53" s="4">
        <f t="shared" si="6"/>
        <v>0</v>
      </c>
      <c r="K53" s="11">
        <f t="shared" si="6"/>
        <v>0</v>
      </c>
      <c r="L53" s="11">
        <f t="shared" si="6"/>
        <v>0</v>
      </c>
      <c r="M53" s="11">
        <f t="shared" si="6"/>
        <v>0</v>
      </c>
      <c r="N53" s="11">
        <f>N44-N48</f>
        <v>0</v>
      </c>
    </row>
    <row r="54" spans="1:14">
      <c r="H54"/>
      <c r="I54"/>
    </row>
    <row r="55" spans="1:14">
      <c r="H55"/>
      <c r="I55"/>
    </row>
    <row r="56" spans="1:14">
      <c r="H56"/>
      <c r="I56"/>
    </row>
    <row r="57" spans="1:14">
      <c r="H57"/>
      <c r="I57"/>
    </row>
    <row r="58" spans="1:14">
      <c r="H58"/>
      <c r="I58"/>
    </row>
    <row r="59" spans="1:14">
      <c r="H59"/>
      <c r="I59"/>
    </row>
    <row r="60" spans="1:14">
      <c r="H60"/>
      <c r="I60"/>
    </row>
    <row r="61" spans="1:14">
      <c r="H61"/>
      <c r="I61"/>
    </row>
    <row r="62" spans="1:14">
      <c r="H62"/>
      <c r="I62"/>
    </row>
    <row r="63" spans="1:14">
      <c r="H63"/>
      <c r="I63"/>
    </row>
    <row r="64" spans="1:14">
      <c r="H64"/>
      <c r="I64"/>
    </row>
    <row r="65" spans="8:9">
      <c r="H65"/>
      <c r="I65"/>
    </row>
    <row r="66" spans="8:9">
      <c r="H66"/>
      <c r="I66"/>
    </row>
    <row r="67" spans="8:9">
      <c r="H67"/>
      <c r="I67"/>
    </row>
    <row r="68" spans="8:9">
      <c r="H68"/>
      <c r="I68"/>
    </row>
    <row r="69" spans="8:9">
      <c r="H69"/>
      <c r="I69"/>
    </row>
    <row r="70" spans="8:9">
      <c r="H70"/>
      <c r="I70"/>
    </row>
    <row r="71" spans="8:9">
      <c r="H71"/>
      <c r="I71"/>
    </row>
    <row r="72" spans="8:9">
      <c r="H72"/>
      <c r="I72"/>
    </row>
    <row r="73" spans="8:9">
      <c r="H73"/>
      <c r="I73"/>
    </row>
    <row r="74" spans="8:9">
      <c r="H74"/>
      <c r="I74"/>
    </row>
    <row r="75" spans="8:9">
      <c r="H75"/>
      <c r="I75"/>
    </row>
    <row r="76" spans="8:9">
      <c r="H76"/>
      <c r="I76"/>
    </row>
    <row r="77" spans="8:9">
      <c r="H77"/>
      <c r="I77"/>
    </row>
    <row r="78" spans="8:9">
      <c r="H78"/>
      <c r="I78"/>
    </row>
    <row r="79" spans="8:9">
      <c r="H79"/>
      <c r="I79"/>
    </row>
    <row r="80" spans="8:9">
      <c r="H80"/>
      <c r="I80"/>
    </row>
    <row r="81" spans="8:9">
      <c r="H81"/>
      <c r="I81"/>
    </row>
    <row r="82" spans="8:9">
      <c r="H82"/>
      <c r="I82"/>
    </row>
    <row r="83" spans="8:9">
      <c r="H83"/>
      <c r="I83"/>
    </row>
    <row r="84" spans="8:9">
      <c r="H84"/>
      <c r="I84"/>
    </row>
    <row r="85" spans="8:9">
      <c r="H85"/>
      <c r="I85"/>
    </row>
    <row r="86" spans="8:9">
      <c r="H86"/>
      <c r="I86"/>
    </row>
    <row r="87" spans="8:9">
      <c r="H87"/>
      <c r="I87"/>
    </row>
    <row r="88" spans="8:9">
      <c r="H88"/>
      <c r="I88"/>
    </row>
    <row r="89" spans="8:9">
      <c r="H89"/>
      <c r="I89"/>
    </row>
    <row r="90" spans="8:9">
      <c r="H90"/>
      <c r="I90"/>
    </row>
    <row r="91" spans="8:9">
      <c r="H91"/>
      <c r="I91"/>
    </row>
    <row r="92" spans="8:9">
      <c r="H92"/>
      <c r="I92"/>
    </row>
  </sheetData>
  <phoneticPr fontId="0" type="noConversion"/>
  <pageMargins left="0.38" right="0.75" top="0.73" bottom="0.74" header="0.5" footer="0.5"/>
  <pageSetup scale="59" orientation="landscape" verticalDpi="3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sheetPr>
    <tabColor theme="9" tint="0.39997558519241921"/>
  </sheetPr>
  <dimension ref="B1:BK195"/>
  <sheetViews>
    <sheetView topLeftCell="A22" zoomScaleNormal="100" workbookViewId="0">
      <pane xSplit="2" topLeftCell="C1" activePane="topRight" state="frozen"/>
      <selection activeCell="A4" sqref="A4"/>
      <selection pane="topRight" activeCell="AG90" sqref="AG90"/>
    </sheetView>
  </sheetViews>
  <sheetFormatPr defaultRowHeight="12.75"/>
  <cols>
    <col min="1" max="1" width="2.7109375" style="82" customWidth="1"/>
    <col min="2" max="2" width="15.7109375" style="79" customWidth="1"/>
    <col min="3" max="3" width="14.42578125" style="80" customWidth="1"/>
    <col min="4" max="5" width="14.42578125" style="79" customWidth="1"/>
    <col min="6" max="7" width="14.42578125" style="79" hidden="1" customWidth="1"/>
    <col min="8" max="8" width="15" style="79" customWidth="1"/>
    <col min="9" max="9" width="3.28515625" style="149" customWidth="1"/>
    <col min="10" max="10" width="13.28515625" style="81" customWidth="1"/>
    <col min="11" max="11" width="11.85546875" style="81" customWidth="1"/>
    <col min="12" max="12" width="14.42578125" style="81" customWidth="1"/>
    <col min="13" max="13" width="13" style="81" customWidth="1"/>
    <col min="14" max="14" width="12.7109375" style="81" customWidth="1"/>
    <col min="15" max="15" width="12.42578125" style="81" customWidth="1"/>
    <col min="16" max="19" width="14.42578125" style="81" hidden="1" customWidth="1"/>
    <col min="20" max="20" width="5.42578125" style="82" customWidth="1"/>
    <col min="21" max="21" width="17.42578125" style="79" bestFit="1" customWidth="1"/>
    <col min="22" max="22" width="12.5703125" style="82" customWidth="1"/>
    <col min="23" max="23" width="10.28515625" style="82" customWidth="1"/>
    <col min="24" max="24" width="12.28515625" style="82" customWidth="1"/>
    <col min="25" max="25" width="5.7109375" style="224" customWidth="1"/>
    <col min="26" max="26" width="8.28515625" style="82" customWidth="1"/>
    <col min="27" max="27" width="25" style="82" customWidth="1"/>
    <col min="28" max="28" width="25.5703125" style="82" customWidth="1"/>
    <col min="29" max="29" width="18" style="82" bestFit="1" customWidth="1"/>
    <col min="30" max="30" width="14.5703125" style="82" customWidth="1"/>
    <col min="31" max="31" width="13.42578125" style="82" customWidth="1"/>
    <col min="32" max="33" width="14.85546875" style="82" customWidth="1"/>
    <col min="34" max="34" width="12.7109375" style="82" customWidth="1"/>
    <col min="35" max="35" width="12.28515625" style="82" bestFit="1" customWidth="1"/>
    <col min="36" max="36" width="11.85546875" style="82" bestFit="1" customWidth="1"/>
    <col min="37" max="16384" width="9.140625" style="82"/>
  </cols>
  <sheetData>
    <row r="1" spans="2:47">
      <c r="AL1" s="83"/>
      <c r="AM1" s="83"/>
      <c r="AN1" s="83"/>
      <c r="AO1" s="83"/>
      <c r="AP1" s="83"/>
      <c r="AQ1" s="83"/>
      <c r="AR1" s="83"/>
      <c r="AS1" s="83"/>
      <c r="AT1" s="83"/>
    </row>
    <row r="2" spans="2:47" ht="23.25">
      <c r="B2" s="84" t="s">
        <v>127</v>
      </c>
      <c r="C2" s="85"/>
      <c r="D2" s="86"/>
      <c r="E2" s="481" t="s">
        <v>277</v>
      </c>
      <c r="F2" s="86"/>
      <c r="G2" s="86"/>
      <c r="H2" s="86"/>
      <c r="I2" s="367"/>
      <c r="J2" s="87"/>
      <c r="K2" s="87"/>
      <c r="L2" s="87"/>
      <c r="M2" s="87"/>
      <c r="N2" s="87"/>
      <c r="O2" s="87"/>
      <c r="P2" s="87"/>
      <c r="Q2" s="87"/>
      <c r="R2" s="87"/>
      <c r="S2" s="87"/>
      <c r="T2" s="88"/>
      <c r="U2" s="86"/>
      <c r="W2" s="88"/>
      <c r="AA2" s="89" t="s">
        <v>128</v>
      </c>
      <c r="AB2" s="88"/>
      <c r="AC2" s="88"/>
      <c r="AD2" s="88"/>
      <c r="AE2" s="88"/>
      <c r="AF2" s="88"/>
      <c r="AG2" s="88"/>
      <c r="AH2" s="88"/>
      <c r="AI2" s="88"/>
      <c r="AJ2" s="88"/>
      <c r="AK2" s="88"/>
      <c r="AL2" s="83"/>
      <c r="AM2" s="83"/>
      <c r="AN2" s="83"/>
      <c r="AO2" s="83"/>
      <c r="AP2" s="83"/>
      <c r="AQ2" s="83"/>
      <c r="AR2" s="83"/>
      <c r="AS2" s="83"/>
      <c r="AT2" s="83"/>
    </row>
    <row r="3" spans="2:47" ht="15">
      <c r="C3" s="85"/>
      <c r="D3" s="86"/>
      <c r="E3" s="86"/>
      <c r="F3" s="86"/>
      <c r="G3" s="86"/>
      <c r="H3" s="86"/>
      <c r="I3" s="367"/>
      <c r="J3" s="87"/>
      <c r="K3" s="87"/>
      <c r="L3" s="87"/>
      <c r="M3" s="87"/>
      <c r="N3" s="87"/>
      <c r="O3" s="87"/>
      <c r="P3" s="87"/>
      <c r="Q3" s="87"/>
      <c r="R3" s="87"/>
      <c r="S3" s="87"/>
      <c r="T3" s="88"/>
      <c r="U3" s="88"/>
      <c r="V3" s="88"/>
      <c r="W3" s="88"/>
      <c r="Y3" s="107"/>
      <c r="Z3" s="88"/>
      <c r="AA3" s="365" t="s">
        <v>211</v>
      </c>
      <c r="AB3" s="366"/>
      <c r="AC3" s="366"/>
      <c r="AD3" s="88"/>
      <c r="AE3" s="88"/>
      <c r="AF3" s="88"/>
      <c r="AG3" s="88"/>
      <c r="AH3" s="88"/>
      <c r="AI3" s="88"/>
      <c r="AJ3" s="88"/>
      <c r="AK3" s="88"/>
      <c r="AL3" s="83"/>
      <c r="AM3" s="83"/>
      <c r="AN3" s="83"/>
      <c r="AO3" s="83"/>
      <c r="AP3" s="83"/>
      <c r="AQ3" s="83"/>
      <c r="AR3" s="83"/>
      <c r="AS3" s="83"/>
      <c r="AT3" s="83"/>
    </row>
    <row r="4" spans="2:47" ht="13.5" customHeight="1">
      <c r="C4" s="90"/>
      <c r="D4" s="84"/>
      <c r="E4" s="84"/>
      <c r="F4" s="84"/>
      <c r="G4" s="84"/>
      <c r="H4" s="86"/>
      <c r="I4" s="367"/>
      <c r="J4" s="87"/>
      <c r="K4" s="87"/>
      <c r="L4" s="87"/>
      <c r="M4" s="87"/>
      <c r="N4" s="87"/>
      <c r="O4" s="87"/>
      <c r="P4" s="87"/>
      <c r="Q4" s="87"/>
      <c r="R4" s="87"/>
      <c r="S4" s="87"/>
      <c r="T4" s="88"/>
      <c r="U4" s="86"/>
      <c r="V4" s="88"/>
      <c r="W4" s="88"/>
      <c r="X4" s="88"/>
      <c r="Y4" s="107"/>
      <c r="Z4" s="88"/>
      <c r="AA4" s="88"/>
      <c r="AB4" s="88"/>
      <c r="AC4" s="88"/>
      <c r="AD4" s="88"/>
      <c r="AE4" s="88"/>
      <c r="AF4" s="88"/>
      <c r="AG4" s="88"/>
      <c r="AH4" s="88"/>
      <c r="AI4" s="88"/>
      <c r="AJ4" s="88"/>
      <c r="AK4" s="88"/>
      <c r="AL4" s="83"/>
      <c r="AM4" s="83"/>
      <c r="AN4" s="83"/>
      <c r="AO4" s="83"/>
      <c r="AP4" s="83"/>
      <c r="AQ4" s="83"/>
      <c r="AR4" s="83"/>
      <c r="AS4" s="83"/>
      <c r="AT4" s="83"/>
    </row>
    <row r="5" spans="2:47" s="92" customFormat="1" ht="75" customHeight="1">
      <c r="B5" s="93"/>
      <c r="C5" s="482" t="s">
        <v>276</v>
      </c>
      <c r="D5" s="482" t="s">
        <v>163</v>
      </c>
      <c r="E5" s="482" t="s">
        <v>129</v>
      </c>
      <c r="F5" s="94" t="s">
        <v>130</v>
      </c>
      <c r="G5" s="95" t="s">
        <v>130</v>
      </c>
      <c r="H5" s="96" t="s">
        <v>265</v>
      </c>
      <c r="I5" s="368"/>
      <c r="J5" s="482" t="s">
        <v>131</v>
      </c>
      <c r="K5" s="482" t="s">
        <v>132</v>
      </c>
      <c r="L5" s="482" t="s">
        <v>3</v>
      </c>
      <c r="M5" s="482" t="s">
        <v>133</v>
      </c>
      <c r="N5" s="482" t="s">
        <v>134</v>
      </c>
      <c r="O5" s="482" t="s">
        <v>97</v>
      </c>
      <c r="P5" s="96"/>
      <c r="Q5" s="168"/>
      <c r="R5" s="168"/>
      <c r="S5" s="96"/>
      <c r="T5" s="97"/>
      <c r="U5" s="98" t="s">
        <v>196</v>
      </c>
      <c r="V5" s="98" t="s">
        <v>6</v>
      </c>
      <c r="W5" s="98" t="s">
        <v>7</v>
      </c>
      <c r="X5" s="98" t="s">
        <v>83</v>
      </c>
      <c r="Y5" s="219"/>
      <c r="Z5" s="91"/>
      <c r="AA5" t="s">
        <v>14</v>
      </c>
      <c r="AB5"/>
      <c r="AC5"/>
      <c r="AD5"/>
      <c r="AE5"/>
      <c r="AF5"/>
      <c r="AG5"/>
      <c r="AH5"/>
      <c r="AI5"/>
      <c r="AJ5" s="99"/>
      <c r="AK5" s="91"/>
      <c r="AL5" s="83"/>
      <c r="AM5" s="83"/>
      <c r="AN5" s="83"/>
      <c r="AO5" s="83"/>
      <c r="AP5" s="83"/>
      <c r="AQ5" s="83"/>
      <c r="AR5" s="83"/>
      <c r="AS5" s="83"/>
      <c r="AT5" s="83"/>
      <c r="AU5" s="82"/>
    </row>
    <row r="6" spans="2:47" ht="13.5" thickBot="1">
      <c r="B6" s="373">
        <v>38353</v>
      </c>
      <c r="C6" s="101">
        <f>[21]Sheet1!G5</f>
        <v>14043460</v>
      </c>
      <c r="D6" s="108">
        <f>[21]Sheet1!F5</f>
        <v>-444000</v>
      </c>
      <c r="E6" s="102"/>
      <c r="F6" s="102"/>
      <c r="G6" s="103"/>
      <c r="H6" s="104">
        <f t="shared" ref="H6:H37" si="0">SUM(C6:G6)</f>
        <v>13599460</v>
      </c>
      <c r="I6" s="369"/>
      <c r="J6" s="214">
        <f>'HDD &amp; CDD'!L6</f>
        <v>920.6999999999997</v>
      </c>
      <c r="K6" s="214">
        <f>'HDD &amp; CDD'!L24</f>
        <v>0</v>
      </c>
      <c r="L6" s="485">
        <f>DAY(EOMONTH(B6,0))</f>
        <v>31</v>
      </c>
      <c r="M6" s="214">
        <v>0</v>
      </c>
      <c r="N6" s="485">
        <f>[22]Sheet1!C4</f>
        <v>1</v>
      </c>
      <c r="O6" s="214">
        <v>0</v>
      </c>
      <c r="P6" s="105"/>
      <c r="Q6" s="105"/>
      <c r="R6" s="105"/>
      <c r="S6" s="106"/>
      <c r="T6" s="218"/>
      <c r="U6" s="104">
        <f t="shared" ref="U6:U37" si="1">$AB$21+J6*$AB$22+K6*$AB$23+L6*$AB$24+M6*$AB$25+N6*$AB$26+O6*$AB$27</f>
        <v>13034908.093558948</v>
      </c>
      <c r="V6" s="272">
        <f t="shared" ref="V6:V37" si="2">U6-H6</f>
        <v>-564551.90644105151</v>
      </c>
      <c r="W6" s="273">
        <f t="shared" ref="W6:W37" si="3">V6/H6</f>
        <v>-4.1512817894317239E-2</v>
      </c>
      <c r="X6" s="273">
        <f>ABS(W6)</f>
        <v>4.1512817894317239E-2</v>
      </c>
      <c r="Y6" s="220"/>
      <c r="Z6" s="375"/>
      <c r="AA6"/>
      <c r="AB6"/>
      <c r="AC6"/>
      <c r="AD6"/>
      <c r="AE6"/>
      <c r="AF6"/>
      <c r="AG6"/>
      <c r="AH6"/>
      <c r="AI6"/>
      <c r="AJ6" s="107"/>
      <c r="AK6" s="88"/>
      <c r="AL6" s="83"/>
      <c r="AM6" s="83"/>
      <c r="AN6" s="83"/>
      <c r="AO6" s="83"/>
      <c r="AP6" s="83"/>
      <c r="AQ6" s="83"/>
      <c r="AR6" s="83"/>
      <c r="AS6" s="83"/>
      <c r="AT6" s="83"/>
    </row>
    <row r="7" spans="2:47">
      <c r="B7" s="100">
        <f>EOMONTH(B6,1)</f>
        <v>38411</v>
      </c>
      <c r="C7" s="108">
        <f>[21]Sheet1!G6</f>
        <v>12095730</v>
      </c>
      <c r="D7" s="108">
        <f>[21]Sheet1!F6</f>
        <v>-498000</v>
      </c>
      <c r="E7" s="102"/>
      <c r="F7" s="109"/>
      <c r="G7" s="109"/>
      <c r="H7" s="110">
        <f t="shared" si="0"/>
        <v>11597730</v>
      </c>
      <c r="I7" s="369"/>
      <c r="J7" s="214">
        <f>'HDD &amp; CDD'!L7</f>
        <v>700.60000000000014</v>
      </c>
      <c r="K7" s="214">
        <f>'HDD &amp; CDD'!L25</f>
        <v>0</v>
      </c>
      <c r="L7" s="485">
        <f t="shared" ref="L7:L70" si="4">DAY(EOMONTH(B7,0))</f>
        <v>28</v>
      </c>
      <c r="M7" s="214">
        <v>0</v>
      </c>
      <c r="N7" s="485">
        <f>[22]Sheet1!C5</f>
        <v>0</v>
      </c>
      <c r="O7" s="214">
        <v>0</v>
      </c>
      <c r="P7" s="105"/>
      <c r="Q7" s="105"/>
      <c r="R7" s="105"/>
      <c r="S7" s="106"/>
      <c r="T7" s="88"/>
      <c r="U7" s="104">
        <f t="shared" si="1"/>
        <v>11403906.62859858</v>
      </c>
      <c r="V7" s="272">
        <f t="shared" si="2"/>
        <v>-193823.37140141986</v>
      </c>
      <c r="W7" s="273">
        <f t="shared" si="3"/>
        <v>-1.6712181728788293E-2</v>
      </c>
      <c r="X7" s="273">
        <f t="shared" ref="X7:X70" si="5">ABS(W7)</f>
        <v>1.6712181728788293E-2</v>
      </c>
      <c r="Y7" s="220"/>
      <c r="Z7" s="375"/>
      <c r="AA7" s="19" t="s">
        <v>15</v>
      </c>
      <c r="AB7" s="19"/>
      <c r="AC7"/>
      <c r="AD7"/>
      <c r="AE7"/>
      <c r="AF7"/>
      <c r="AG7"/>
      <c r="AH7"/>
      <c r="AI7"/>
      <c r="AJ7" s="107"/>
      <c r="AK7" s="88"/>
      <c r="AL7" s="83"/>
      <c r="AM7" s="83"/>
      <c r="AN7" s="83"/>
      <c r="AO7" s="83"/>
      <c r="AP7" s="83"/>
      <c r="AQ7" s="83"/>
      <c r="AR7" s="83"/>
      <c r="AS7" s="83"/>
      <c r="AT7" s="83"/>
    </row>
    <row r="8" spans="2:47">
      <c r="B8" s="100">
        <f t="shared" ref="B8:B71" si="6">EOMONTH(B7,1)</f>
        <v>38442</v>
      </c>
      <c r="C8" s="108">
        <f>[21]Sheet1!G7</f>
        <v>12289830</v>
      </c>
      <c r="D8" s="108">
        <f>[21]Sheet1!F7</f>
        <v>-484000</v>
      </c>
      <c r="E8" s="102"/>
      <c r="F8" s="111"/>
      <c r="G8" s="112"/>
      <c r="H8" s="110">
        <f t="shared" si="0"/>
        <v>11805830</v>
      </c>
      <c r="I8" s="369"/>
      <c r="J8" s="214">
        <f>'HDD &amp; CDD'!L8</f>
        <v>668.8</v>
      </c>
      <c r="K8" s="214">
        <f>'HDD &amp; CDD'!L26</f>
        <v>0</v>
      </c>
      <c r="L8" s="485">
        <f t="shared" si="4"/>
        <v>31</v>
      </c>
      <c r="M8" s="214">
        <v>1</v>
      </c>
      <c r="N8" s="485">
        <f>[22]Sheet1!C6</f>
        <v>2</v>
      </c>
      <c r="O8" s="214">
        <v>0</v>
      </c>
      <c r="P8" s="105"/>
      <c r="Q8" s="105"/>
      <c r="R8" s="105"/>
      <c r="S8" s="106"/>
      <c r="T8" s="88"/>
      <c r="U8" s="104">
        <f t="shared" si="1"/>
        <v>11403230.914589046</v>
      </c>
      <c r="V8" s="272">
        <f t="shared" si="2"/>
        <v>-402599.08541095443</v>
      </c>
      <c r="W8" s="273">
        <f t="shared" si="3"/>
        <v>-3.4101717999577702E-2</v>
      </c>
      <c r="X8" s="273">
        <f t="shared" si="5"/>
        <v>3.4101717999577702E-2</v>
      </c>
      <c r="Y8" s="221"/>
      <c r="Z8" s="375"/>
      <c r="AA8" s="16" t="s">
        <v>16</v>
      </c>
      <c r="AB8" s="16">
        <v>0.97822916132018822</v>
      </c>
      <c r="AC8"/>
      <c r="AD8"/>
      <c r="AE8"/>
      <c r="AF8"/>
      <c r="AG8"/>
      <c r="AH8"/>
      <c r="AI8"/>
      <c r="AJ8" s="107"/>
      <c r="AK8" s="88"/>
      <c r="AL8" s="83"/>
      <c r="AM8" s="83"/>
      <c r="AN8" s="83"/>
      <c r="AO8" s="83"/>
      <c r="AP8" s="83"/>
      <c r="AQ8" s="83"/>
      <c r="AR8" s="83"/>
      <c r="AS8" s="83"/>
      <c r="AT8" s="83"/>
    </row>
    <row r="9" spans="2:47">
      <c r="B9" s="100">
        <f t="shared" si="6"/>
        <v>38472</v>
      </c>
      <c r="C9" s="108">
        <f>[21]Sheet1!G8</f>
        <v>10028980</v>
      </c>
      <c r="D9" s="108">
        <f>[21]Sheet1!F8</f>
        <v>-330000</v>
      </c>
      <c r="E9" s="102"/>
      <c r="F9" s="111"/>
      <c r="G9" s="112"/>
      <c r="H9" s="110">
        <f t="shared" si="0"/>
        <v>9698980</v>
      </c>
      <c r="I9" s="369"/>
      <c r="J9" s="214">
        <f>'HDD &amp; CDD'!L9</f>
        <v>324.8</v>
      </c>
      <c r="K9" s="214">
        <f>'HDD &amp; CDD'!L27</f>
        <v>0</v>
      </c>
      <c r="L9" s="485">
        <f t="shared" si="4"/>
        <v>30</v>
      </c>
      <c r="M9" s="214">
        <v>1</v>
      </c>
      <c r="N9" s="485">
        <f>[22]Sheet1!C7</f>
        <v>0</v>
      </c>
      <c r="O9" s="214">
        <v>0</v>
      </c>
      <c r="P9" s="105"/>
      <c r="Q9" s="105"/>
      <c r="R9" s="105"/>
      <c r="S9" s="106"/>
      <c r="T9" s="88"/>
      <c r="U9" s="104">
        <f t="shared" si="1"/>
        <v>9780849.2035538573</v>
      </c>
      <c r="V9" s="272">
        <f t="shared" si="2"/>
        <v>81869.203553857282</v>
      </c>
      <c r="W9" s="273">
        <f t="shared" si="3"/>
        <v>8.4410116892557029E-3</v>
      </c>
      <c r="X9" s="273">
        <f t="shared" si="5"/>
        <v>8.4410116892557029E-3</v>
      </c>
      <c r="Y9" s="221"/>
      <c r="Z9" s="375"/>
      <c r="AA9" s="16" t="s">
        <v>17</v>
      </c>
      <c r="AB9" s="16">
        <v>0.95693229205719876</v>
      </c>
      <c r="AC9"/>
      <c r="AD9"/>
      <c r="AE9"/>
      <c r="AF9"/>
      <c r="AG9"/>
      <c r="AH9"/>
      <c r="AI9"/>
      <c r="AJ9" s="107"/>
      <c r="AK9" s="88"/>
      <c r="AL9" s="83"/>
      <c r="AM9" s="83"/>
      <c r="AN9" s="83"/>
      <c r="AO9" s="83"/>
      <c r="AP9" s="83"/>
      <c r="AQ9" s="83"/>
      <c r="AR9" s="83"/>
      <c r="AS9" s="83"/>
      <c r="AT9" s="83"/>
    </row>
    <row r="10" spans="2:47">
      <c r="B10" s="100">
        <f t="shared" si="6"/>
        <v>38503</v>
      </c>
      <c r="C10" s="108">
        <f>[21]Sheet1!G9</f>
        <v>9635640</v>
      </c>
      <c r="D10" s="108">
        <f>[21]Sheet1!F9</f>
        <v>-432000</v>
      </c>
      <c r="E10" s="102"/>
      <c r="F10" s="111"/>
      <c r="G10" s="112"/>
      <c r="H10" s="110">
        <f t="shared" si="0"/>
        <v>9203640</v>
      </c>
      <c r="I10" s="369"/>
      <c r="J10" s="214">
        <f>'HDD &amp; CDD'!L10</f>
        <v>205</v>
      </c>
      <c r="K10" s="214">
        <f>'HDD &amp; CDD'!L28</f>
        <v>1.9</v>
      </c>
      <c r="L10" s="485">
        <f t="shared" si="4"/>
        <v>31</v>
      </c>
      <c r="M10" s="214">
        <v>1</v>
      </c>
      <c r="N10" s="485">
        <f>[22]Sheet1!C8</f>
        <v>1</v>
      </c>
      <c r="O10" s="214">
        <v>0</v>
      </c>
      <c r="P10" s="105"/>
      <c r="Q10" s="105"/>
      <c r="R10" s="105"/>
      <c r="S10" s="106"/>
      <c r="T10" s="88"/>
      <c r="U10" s="104">
        <f t="shared" si="1"/>
        <v>9375671.8421638627</v>
      </c>
      <c r="V10" s="272">
        <f t="shared" si="2"/>
        <v>172031.84216386266</v>
      </c>
      <c r="W10" s="273">
        <f t="shared" si="3"/>
        <v>1.8691717859875296E-2</v>
      </c>
      <c r="X10" s="273">
        <f t="shared" si="5"/>
        <v>1.8691717859875296E-2</v>
      </c>
      <c r="Y10" s="221"/>
      <c r="Z10" s="375"/>
      <c r="AA10" s="16" t="s">
        <v>18</v>
      </c>
      <c r="AB10" s="16">
        <v>0.95486504207594425</v>
      </c>
      <c r="AC10"/>
      <c r="AD10"/>
      <c r="AE10"/>
      <c r="AF10"/>
      <c r="AG10"/>
      <c r="AH10"/>
      <c r="AI10"/>
      <c r="AJ10" s="107"/>
      <c r="AK10" s="88"/>
      <c r="AL10" s="83"/>
      <c r="AM10" s="83"/>
      <c r="AN10" s="83"/>
      <c r="AO10" s="83"/>
      <c r="AP10" s="83"/>
      <c r="AQ10" s="83"/>
      <c r="AR10" s="83"/>
      <c r="AS10" s="83"/>
      <c r="AT10" s="83"/>
    </row>
    <row r="11" spans="2:47">
      <c r="B11" s="100">
        <f t="shared" si="6"/>
        <v>38533</v>
      </c>
      <c r="C11" s="108">
        <f>[21]Sheet1!G10</f>
        <v>10690860</v>
      </c>
      <c r="D11" s="108">
        <f>[21]Sheet1!F10</f>
        <v>-500000</v>
      </c>
      <c r="E11" s="102"/>
      <c r="F11" s="111"/>
      <c r="G11" s="112"/>
      <c r="H11" s="110">
        <f t="shared" si="0"/>
        <v>10190860</v>
      </c>
      <c r="I11" s="369"/>
      <c r="J11" s="214">
        <f>'HDD &amp; CDD'!L11</f>
        <v>16.099999999999998</v>
      </c>
      <c r="K11" s="214">
        <f>'HDD &amp; CDD'!L29</f>
        <v>111.6</v>
      </c>
      <c r="L11" s="485">
        <f t="shared" si="4"/>
        <v>30</v>
      </c>
      <c r="M11" s="214">
        <v>0</v>
      </c>
      <c r="N11" s="485">
        <f>[22]Sheet1!C9</f>
        <v>0</v>
      </c>
      <c r="O11" s="214">
        <v>0</v>
      </c>
      <c r="P11" s="105"/>
      <c r="Q11" s="105"/>
      <c r="R11" s="105"/>
      <c r="S11" s="106"/>
      <c r="T11" s="88"/>
      <c r="U11" s="104">
        <f t="shared" si="1"/>
        <v>10285128.128315106</v>
      </c>
      <c r="V11" s="272">
        <f t="shared" si="2"/>
        <v>94268.128315106034</v>
      </c>
      <c r="W11" s="273">
        <f t="shared" si="3"/>
        <v>9.2502623247798545E-3</v>
      </c>
      <c r="X11" s="273">
        <f t="shared" si="5"/>
        <v>9.2502623247798545E-3</v>
      </c>
      <c r="Y11" s="221"/>
      <c r="Z11" s="375"/>
      <c r="AA11" s="16" t="s">
        <v>19</v>
      </c>
      <c r="AB11" s="16">
        <v>273693.36712500837</v>
      </c>
      <c r="AC11"/>
      <c r="AD11"/>
      <c r="AE11"/>
      <c r="AF11"/>
      <c r="AG11"/>
      <c r="AH11"/>
      <c r="AI11"/>
      <c r="AJ11" s="107"/>
      <c r="AK11" s="88"/>
      <c r="AL11" s="83"/>
      <c r="AM11" s="83"/>
      <c r="AN11" s="83"/>
      <c r="AO11" s="83"/>
      <c r="AP11" s="83"/>
      <c r="AQ11" s="83"/>
      <c r="AR11" s="83"/>
      <c r="AS11" s="83"/>
      <c r="AT11" s="83"/>
    </row>
    <row r="12" spans="2:47" ht="13.5" thickBot="1">
      <c r="B12" s="100">
        <f t="shared" si="6"/>
        <v>38564</v>
      </c>
      <c r="C12" s="108">
        <f>[21]Sheet1!G11</f>
        <v>11192530</v>
      </c>
      <c r="D12" s="108">
        <f>[21]Sheet1!F11</f>
        <v>-676000</v>
      </c>
      <c r="E12" s="102"/>
      <c r="F12" s="111"/>
      <c r="G12" s="112"/>
      <c r="H12" s="110">
        <f t="shared" si="0"/>
        <v>10516530</v>
      </c>
      <c r="I12" s="369"/>
      <c r="J12" s="214">
        <f>'HDD &amp; CDD'!L12</f>
        <v>2.9000000000000004</v>
      </c>
      <c r="K12" s="214">
        <f>'HDD &amp; CDD'!L30</f>
        <v>128.6</v>
      </c>
      <c r="L12" s="485">
        <f t="shared" si="4"/>
        <v>31</v>
      </c>
      <c r="M12" s="214">
        <v>0</v>
      </c>
      <c r="N12" s="485">
        <f>[22]Sheet1!C10</f>
        <v>1</v>
      </c>
      <c r="O12" s="214">
        <v>0</v>
      </c>
      <c r="P12" s="105"/>
      <c r="Q12" s="105"/>
      <c r="R12" s="105"/>
      <c r="S12" s="106"/>
      <c r="T12" s="88"/>
      <c r="U12" s="104">
        <f t="shared" si="1"/>
        <v>10594466.100701781</v>
      </c>
      <c r="V12" s="272">
        <f t="shared" si="2"/>
        <v>77936.10070178099</v>
      </c>
      <c r="W12" s="273">
        <f t="shared" si="3"/>
        <v>7.4108190345846953E-3</v>
      </c>
      <c r="X12" s="273">
        <f t="shared" si="5"/>
        <v>7.4108190345846953E-3</v>
      </c>
      <c r="Y12" s="221"/>
      <c r="Z12" s="375"/>
      <c r="AA12" s="17" t="s">
        <v>20</v>
      </c>
      <c r="AB12" s="17">
        <v>132</v>
      </c>
      <c r="AC12"/>
      <c r="AD12"/>
      <c r="AE12"/>
      <c r="AF12"/>
      <c r="AG12"/>
      <c r="AH12"/>
      <c r="AI12"/>
      <c r="AJ12" s="107"/>
      <c r="AK12" s="88"/>
      <c r="AL12" s="83"/>
      <c r="AM12" s="83"/>
      <c r="AN12" s="83"/>
      <c r="AO12" s="83"/>
      <c r="AP12" s="83"/>
      <c r="AQ12" s="83"/>
      <c r="AR12" s="83"/>
      <c r="AS12" s="83"/>
      <c r="AT12" s="83"/>
    </row>
    <row r="13" spans="2:47">
      <c r="B13" s="100">
        <f t="shared" si="6"/>
        <v>38595</v>
      </c>
      <c r="C13" s="108">
        <f>[21]Sheet1!G12</f>
        <v>11098410</v>
      </c>
      <c r="D13" s="108">
        <f>[21]Sheet1!F12</f>
        <v>-600000</v>
      </c>
      <c r="E13" s="102"/>
      <c r="F13" s="111"/>
      <c r="G13" s="112"/>
      <c r="H13" s="110">
        <f t="shared" si="0"/>
        <v>10498410</v>
      </c>
      <c r="I13" s="369"/>
      <c r="J13" s="214">
        <f>'HDD &amp; CDD'!L13</f>
        <v>8.3999999999999986</v>
      </c>
      <c r="K13" s="214">
        <f>'HDD &amp; CDD'!L31</f>
        <v>115.39999999999999</v>
      </c>
      <c r="L13" s="485">
        <f t="shared" si="4"/>
        <v>31</v>
      </c>
      <c r="M13" s="214">
        <v>0</v>
      </c>
      <c r="N13" s="485">
        <f>[22]Sheet1!C11</f>
        <v>1</v>
      </c>
      <c r="O13" s="214">
        <v>0</v>
      </c>
      <c r="P13" s="105"/>
      <c r="Q13" s="105"/>
      <c r="R13" s="105"/>
      <c r="S13" s="106"/>
      <c r="T13" s="88"/>
      <c r="U13" s="104">
        <f t="shared" si="1"/>
        <v>10430712.840598963</v>
      </c>
      <c r="V13" s="272">
        <f t="shared" si="2"/>
        <v>-67697.159401036799</v>
      </c>
      <c r="W13" s="273">
        <f t="shared" si="3"/>
        <v>-6.4483249750235325E-3</v>
      </c>
      <c r="X13" s="273">
        <f t="shared" si="5"/>
        <v>6.4483249750235325E-3</v>
      </c>
      <c r="Y13" s="221"/>
      <c r="Z13" s="375"/>
      <c r="AA13"/>
      <c r="AB13"/>
      <c r="AC13"/>
      <c r="AD13"/>
      <c r="AE13"/>
      <c r="AF13"/>
      <c r="AG13"/>
      <c r="AH13"/>
      <c r="AI13"/>
      <c r="AJ13" s="107"/>
      <c r="AK13" s="88"/>
      <c r="AL13" s="83"/>
      <c r="AM13" s="83"/>
      <c r="AN13" s="83"/>
      <c r="AO13" s="83"/>
      <c r="AP13" s="83"/>
      <c r="AQ13" s="83"/>
      <c r="AR13" s="83"/>
      <c r="AS13" s="83"/>
      <c r="AT13" s="83"/>
    </row>
    <row r="14" spans="2:47" ht="13.5" thickBot="1">
      <c r="B14" s="100">
        <f t="shared" si="6"/>
        <v>38625</v>
      </c>
      <c r="C14" s="108">
        <f>[21]Sheet1!G13</f>
        <v>9976880</v>
      </c>
      <c r="D14" s="108">
        <f>[21]Sheet1!F13</f>
        <v>-472000</v>
      </c>
      <c r="E14" s="102"/>
      <c r="F14" s="111"/>
      <c r="G14" s="112"/>
      <c r="H14" s="110">
        <f t="shared" si="0"/>
        <v>9504880</v>
      </c>
      <c r="I14" s="369"/>
      <c r="J14" s="214">
        <f>'HDD &amp; CDD'!L14</f>
        <v>59.2</v>
      </c>
      <c r="K14" s="214">
        <f>'HDD &amp; CDD'!L32</f>
        <v>33.099999999999994</v>
      </c>
      <c r="L14" s="485">
        <f t="shared" si="4"/>
        <v>30</v>
      </c>
      <c r="M14" s="214">
        <v>1</v>
      </c>
      <c r="N14" s="485">
        <f>[22]Sheet1!C12</f>
        <v>1</v>
      </c>
      <c r="O14" s="214">
        <v>0</v>
      </c>
      <c r="P14" s="105"/>
      <c r="Q14" s="105"/>
      <c r="R14" s="105"/>
      <c r="S14" s="106"/>
      <c r="T14" s="88"/>
      <c r="U14" s="104">
        <f t="shared" si="1"/>
        <v>8904488.187629357</v>
      </c>
      <c r="V14" s="272">
        <f t="shared" si="2"/>
        <v>-600391.81237064302</v>
      </c>
      <c r="W14" s="273">
        <f t="shared" si="3"/>
        <v>-6.3166690412781959E-2</v>
      </c>
      <c r="X14" s="273">
        <f t="shared" si="5"/>
        <v>6.3166690412781959E-2</v>
      </c>
      <c r="Y14" s="221"/>
      <c r="Z14" s="375"/>
      <c r="AA14" t="s">
        <v>21</v>
      </c>
      <c r="AB14"/>
      <c r="AC14"/>
      <c r="AD14"/>
      <c r="AE14"/>
      <c r="AF14"/>
      <c r="AG14"/>
      <c r="AH14"/>
      <c r="AI14"/>
      <c r="AJ14" s="107"/>
      <c r="AK14" s="88"/>
      <c r="AL14" s="88"/>
      <c r="AM14" s="88"/>
      <c r="AN14" s="88"/>
      <c r="AO14" s="88"/>
      <c r="AP14" s="88"/>
      <c r="AQ14" s="88"/>
      <c r="AR14" s="88"/>
      <c r="AS14" s="88"/>
    </row>
    <row r="15" spans="2:47">
      <c r="B15" s="100">
        <f t="shared" si="6"/>
        <v>38656</v>
      </c>
      <c r="C15" s="108">
        <f>[21]Sheet1!G14</f>
        <v>10338960</v>
      </c>
      <c r="D15" s="108">
        <f>[21]Sheet1!F14</f>
        <v>-416000</v>
      </c>
      <c r="E15" s="102"/>
      <c r="F15" s="111"/>
      <c r="G15" s="112"/>
      <c r="H15" s="110">
        <f t="shared" si="0"/>
        <v>9922960</v>
      </c>
      <c r="I15" s="369"/>
      <c r="J15" s="214">
        <f>'HDD &amp; CDD'!L15</f>
        <v>269.70000000000005</v>
      </c>
      <c r="K15" s="214">
        <f>'HDD &amp; CDD'!L33</f>
        <v>6.4</v>
      </c>
      <c r="L15" s="485">
        <f t="shared" si="4"/>
        <v>31</v>
      </c>
      <c r="M15" s="214">
        <v>1</v>
      </c>
      <c r="N15" s="485">
        <f>[22]Sheet1!C13</f>
        <v>1</v>
      </c>
      <c r="O15" s="214">
        <v>0</v>
      </c>
      <c r="P15" s="105"/>
      <c r="Q15" s="105"/>
      <c r="R15" s="105"/>
      <c r="S15" s="106"/>
      <c r="T15" s="88"/>
      <c r="U15" s="104">
        <f t="shared" si="1"/>
        <v>9742394.6633978654</v>
      </c>
      <c r="V15" s="272">
        <f t="shared" si="2"/>
        <v>-180565.33660213463</v>
      </c>
      <c r="W15" s="273">
        <f t="shared" si="3"/>
        <v>-1.8196721200340889E-2</v>
      </c>
      <c r="X15" s="273">
        <f t="shared" si="5"/>
        <v>1.8196721200340889E-2</v>
      </c>
      <c r="Y15" s="221"/>
      <c r="Z15" s="375"/>
      <c r="AA15" s="18"/>
      <c r="AB15" s="18" t="s">
        <v>25</v>
      </c>
      <c r="AC15" s="18" t="s">
        <v>26</v>
      </c>
      <c r="AD15" s="18" t="s">
        <v>27</v>
      </c>
      <c r="AE15" s="18" t="s">
        <v>28</v>
      </c>
      <c r="AF15" s="18" t="s">
        <v>29</v>
      </c>
      <c r="AG15"/>
      <c r="AH15"/>
      <c r="AI15"/>
      <c r="AJ15" s="107"/>
      <c r="AK15" s="88"/>
      <c r="AL15" s="88"/>
      <c r="AM15" s="88"/>
      <c r="AN15" s="88"/>
      <c r="AO15" s="88"/>
      <c r="AP15" s="88"/>
      <c r="AQ15" s="88"/>
      <c r="AR15" s="88"/>
      <c r="AS15" s="88"/>
    </row>
    <row r="16" spans="2:47">
      <c r="B16" s="100">
        <f t="shared" si="6"/>
        <v>38686</v>
      </c>
      <c r="C16" s="108">
        <f>[21]Sheet1!G15</f>
        <v>11286470</v>
      </c>
      <c r="D16" s="108">
        <f>[21]Sheet1!F15</f>
        <v>-634000</v>
      </c>
      <c r="E16" s="102"/>
      <c r="F16" s="111"/>
      <c r="G16" s="112"/>
      <c r="H16" s="110">
        <f t="shared" si="0"/>
        <v>10652470</v>
      </c>
      <c r="I16" s="369"/>
      <c r="J16" s="214">
        <f>'HDD &amp; CDD'!L16</f>
        <v>484.2</v>
      </c>
      <c r="K16" s="214">
        <f>'HDD &amp; CDD'!L34</f>
        <v>0</v>
      </c>
      <c r="L16" s="485">
        <f t="shared" si="4"/>
        <v>30</v>
      </c>
      <c r="M16" s="214">
        <v>1</v>
      </c>
      <c r="N16" s="485">
        <f>[22]Sheet1!C14</f>
        <v>0</v>
      </c>
      <c r="O16" s="214">
        <v>0</v>
      </c>
      <c r="P16" s="105"/>
      <c r="Q16" s="105"/>
      <c r="R16" s="105"/>
      <c r="S16" s="106"/>
      <c r="T16" s="88"/>
      <c r="U16" s="104">
        <f t="shared" si="1"/>
        <v>10525229.476691112</v>
      </c>
      <c r="V16" s="272">
        <f t="shared" si="2"/>
        <v>-127240.52330888808</v>
      </c>
      <c r="W16" s="273">
        <f t="shared" si="3"/>
        <v>-1.194469670497904E-2</v>
      </c>
      <c r="X16" s="273">
        <f t="shared" si="5"/>
        <v>1.194469670497904E-2</v>
      </c>
      <c r="Y16" s="221"/>
      <c r="Z16" s="375"/>
      <c r="AA16" s="16" t="s">
        <v>22</v>
      </c>
      <c r="AB16" s="16">
        <v>6</v>
      </c>
      <c r="AC16" s="16">
        <v>208050138420659.34</v>
      </c>
      <c r="AD16" s="16">
        <v>34675023070109.891</v>
      </c>
      <c r="AE16" s="16">
        <v>462.90110085114458</v>
      </c>
      <c r="AF16" s="16">
        <v>8.0940602172918949E-83</v>
      </c>
      <c r="AG16"/>
      <c r="AH16"/>
      <c r="AI16"/>
      <c r="AJ16" s="107"/>
      <c r="AK16" s="88"/>
      <c r="AL16" s="88"/>
      <c r="AM16" s="88"/>
      <c r="AN16" s="88"/>
      <c r="AO16" s="88"/>
      <c r="AP16" s="88"/>
      <c r="AQ16" s="88"/>
      <c r="AR16" s="88"/>
      <c r="AS16" s="88"/>
    </row>
    <row r="17" spans="2:45">
      <c r="B17" s="217">
        <f t="shared" si="6"/>
        <v>38717</v>
      </c>
      <c r="C17" s="113">
        <f>[21]Sheet1!G16</f>
        <v>12985440</v>
      </c>
      <c r="D17" s="124">
        <f>[21]Sheet1!F16</f>
        <v>-608000</v>
      </c>
      <c r="E17" s="115"/>
      <c r="F17" s="114"/>
      <c r="G17" s="116"/>
      <c r="H17" s="117">
        <f t="shared" si="0"/>
        <v>12377440</v>
      </c>
      <c r="I17" s="370"/>
      <c r="J17" s="165">
        <f>'HDD &amp; CDD'!L17</f>
        <v>761.99999999999989</v>
      </c>
      <c r="K17" s="165">
        <f>'HDD &amp; CDD'!L35</f>
        <v>0</v>
      </c>
      <c r="L17" s="486">
        <f t="shared" si="4"/>
        <v>31</v>
      </c>
      <c r="M17" s="165">
        <v>0</v>
      </c>
      <c r="N17" s="486">
        <f>[22]Sheet1!C15</f>
        <v>2</v>
      </c>
      <c r="O17" s="165">
        <v>0</v>
      </c>
      <c r="P17" s="118"/>
      <c r="Q17" s="118"/>
      <c r="R17" s="118"/>
      <c r="S17" s="119"/>
      <c r="T17" s="120"/>
      <c r="U17" s="121">
        <f t="shared" si="1"/>
        <v>12182728.934472118</v>
      </c>
      <c r="V17" s="284">
        <f t="shared" si="2"/>
        <v>-194711.06552788243</v>
      </c>
      <c r="W17" s="274">
        <f t="shared" si="3"/>
        <v>-1.5731125784320701E-2</v>
      </c>
      <c r="X17" s="274">
        <f t="shared" si="5"/>
        <v>1.5731125784320701E-2</v>
      </c>
      <c r="Y17" s="222"/>
      <c r="Z17" s="375"/>
      <c r="AA17" s="16" t="s">
        <v>23</v>
      </c>
      <c r="AB17" s="16">
        <v>125</v>
      </c>
      <c r="AC17" s="16">
        <v>9363507401028.0762</v>
      </c>
      <c r="AD17" s="16">
        <v>74908059208.224609</v>
      </c>
      <c r="AE17" s="16"/>
      <c r="AF17" s="16"/>
      <c r="AG17"/>
      <c r="AH17"/>
      <c r="AI17"/>
      <c r="AJ17" s="107"/>
      <c r="AK17" s="88"/>
      <c r="AL17" s="88"/>
      <c r="AM17" s="88"/>
      <c r="AN17" s="88"/>
      <c r="AO17" s="88"/>
      <c r="AP17" s="88"/>
      <c r="AQ17" s="88"/>
      <c r="AR17" s="88"/>
      <c r="AS17" s="88"/>
    </row>
    <row r="18" spans="2:45" ht="13.5" thickBot="1">
      <c r="B18" s="100">
        <f t="shared" si="6"/>
        <v>38748</v>
      </c>
      <c r="C18" s="108">
        <f>[21]Sheet1!G17</f>
        <v>12900470</v>
      </c>
      <c r="D18" s="108">
        <f>[21]Sheet1!F17</f>
        <v>-392000</v>
      </c>
      <c r="E18" s="102"/>
      <c r="F18" s="111"/>
      <c r="G18" s="112"/>
      <c r="H18" s="110">
        <f t="shared" si="0"/>
        <v>12508470</v>
      </c>
      <c r="I18" s="369"/>
      <c r="J18" s="214">
        <f>'HDD &amp; CDD'!M6</f>
        <v>733.50000000000023</v>
      </c>
      <c r="K18" s="214">
        <f>'HDD &amp; CDD'!M24</f>
        <v>0</v>
      </c>
      <c r="L18" s="485">
        <f t="shared" si="4"/>
        <v>31</v>
      </c>
      <c r="M18" s="214">
        <v>0</v>
      </c>
      <c r="N18" s="485">
        <f>[22]Sheet1!C16</f>
        <v>1</v>
      </c>
      <c r="O18" s="164">
        <f>'CDM Activity'!C66</f>
        <v>2663.7993261078232</v>
      </c>
      <c r="P18" s="105"/>
      <c r="Q18" s="105"/>
      <c r="R18" s="105"/>
      <c r="S18" s="106"/>
      <c r="T18" s="88"/>
      <c r="U18" s="104">
        <f t="shared" si="1"/>
        <v>12153001.535024703</v>
      </c>
      <c r="V18" s="272">
        <f t="shared" si="2"/>
        <v>-355468.46497529745</v>
      </c>
      <c r="W18" s="273">
        <f t="shared" si="3"/>
        <v>-2.8418221011466425E-2</v>
      </c>
      <c r="X18" s="273">
        <f t="shared" si="5"/>
        <v>2.8418221011466425E-2</v>
      </c>
      <c r="Y18" s="222"/>
      <c r="Z18" s="375"/>
      <c r="AA18" s="17" t="s">
        <v>5</v>
      </c>
      <c r="AB18" s="17">
        <v>131</v>
      </c>
      <c r="AC18" s="17">
        <v>217413645821687.41</v>
      </c>
      <c r="AD18" s="17"/>
      <c r="AE18" s="17"/>
      <c r="AF18" s="17"/>
      <c r="AG18"/>
      <c r="AH18"/>
      <c r="AI18"/>
      <c r="AJ18" s="107"/>
      <c r="AK18" s="88"/>
      <c r="AL18" s="88"/>
      <c r="AM18" s="88"/>
      <c r="AN18" s="88"/>
      <c r="AO18" s="88"/>
      <c r="AP18" s="88"/>
      <c r="AQ18" s="88"/>
      <c r="AR18" s="88"/>
      <c r="AS18" s="88"/>
    </row>
    <row r="19" spans="2:45" ht="13.5" thickBot="1">
      <c r="B19" s="100">
        <f t="shared" si="6"/>
        <v>38776</v>
      </c>
      <c r="C19" s="108">
        <v>11727560</v>
      </c>
      <c r="D19" s="111"/>
      <c r="E19" s="111"/>
      <c r="F19" s="111"/>
      <c r="G19" s="112"/>
      <c r="H19" s="110">
        <f t="shared" si="0"/>
        <v>11727560</v>
      </c>
      <c r="I19" s="369"/>
      <c r="J19" s="214">
        <f>'HDD &amp; CDD'!M7</f>
        <v>720.9</v>
      </c>
      <c r="K19" s="214">
        <f>'HDD &amp; CDD'!M25</f>
        <v>0</v>
      </c>
      <c r="L19" s="485">
        <f t="shared" si="4"/>
        <v>28</v>
      </c>
      <c r="M19" s="214">
        <v>0</v>
      </c>
      <c r="N19" s="485">
        <f>[22]Sheet1!C17</f>
        <v>0</v>
      </c>
      <c r="O19" s="164">
        <f>'CDM Activity'!C67</f>
        <v>5327.5986522156463</v>
      </c>
      <c r="P19" s="105"/>
      <c r="Q19" s="105"/>
      <c r="R19" s="105"/>
      <c r="S19" s="106"/>
      <c r="T19" s="88"/>
      <c r="U19" s="104">
        <f t="shared" si="1"/>
        <v>11483298.616970956</v>
      </c>
      <c r="V19" s="272">
        <f t="shared" si="2"/>
        <v>-244261.38302904367</v>
      </c>
      <c r="W19" s="273">
        <f t="shared" si="3"/>
        <v>-2.0827979820955397E-2</v>
      </c>
      <c r="X19" s="273">
        <f t="shared" si="5"/>
        <v>2.0827979820955397E-2</v>
      </c>
      <c r="Y19" s="222"/>
      <c r="Z19" s="375"/>
      <c r="AA19"/>
      <c r="AB19"/>
      <c r="AC19"/>
      <c r="AD19"/>
      <c r="AE19"/>
      <c r="AF19"/>
      <c r="AG19"/>
      <c r="AH19"/>
      <c r="AI19"/>
      <c r="AJ19" s="107"/>
      <c r="AK19" s="88"/>
      <c r="AL19" s="88"/>
      <c r="AM19" s="88"/>
      <c r="AN19" s="88"/>
      <c r="AO19" s="88"/>
      <c r="AP19" s="88"/>
      <c r="AQ19" s="88"/>
      <c r="AR19" s="88"/>
      <c r="AS19" s="88"/>
    </row>
    <row r="20" spans="2:45">
      <c r="B20" s="100">
        <f t="shared" si="6"/>
        <v>38807</v>
      </c>
      <c r="C20" s="108">
        <v>11784150</v>
      </c>
      <c r="D20" s="111"/>
      <c r="E20" s="123"/>
      <c r="F20" s="111"/>
      <c r="G20" s="112"/>
      <c r="H20" s="110">
        <f t="shared" si="0"/>
        <v>11784150</v>
      </c>
      <c r="I20" s="369"/>
      <c r="J20" s="214">
        <f>'HDD &amp; CDD'!M8</f>
        <v>600.4</v>
      </c>
      <c r="K20" s="214">
        <f>'HDD &amp; CDD'!M26</f>
        <v>0</v>
      </c>
      <c r="L20" s="485">
        <f t="shared" si="4"/>
        <v>31</v>
      </c>
      <c r="M20" s="214">
        <v>1</v>
      </c>
      <c r="N20" s="485">
        <f>[22]Sheet1!C18</f>
        <v>0</v>
      </c>
      <c r="O20" s="164">
        <f>'CDM Activity'!C68</f>
        <v>7991.3979783234699</v>
      </c>
      <c r="P20" s="105"/>
      <c r="Q20" s="105"/>
      <c r="R20" s="105"/>
      <c r="S20" s="106"/>
      <c r="T20" s="88"/>
      <c r="U20" s="104">
        <f t="shared" si="1"/>
        <v>11282836.006454384</v>
      </c>
      <c r="V20" s="272">
        <f t="shared" si="2"/>
        <v>-501313.99354561605</v>
      </c>
      <c r="W20" s="273">
        <f t="shared" si="3"/>
        <v>-4.2541379186926173E-2</v>
      </c>
      <c r="X20" s="273">
        <f t="shared" si="5"/>
        <v>4.2541379186926173E-2</v>
      </c>
      <c r="Y20" s="222"/>
      <c r="Z20" s="375"/>
      <c r="AA20" s="18"/>
      <c r="AB20" s="18" t="s">
        <v>30</v>
      </c>
      <c r="AC20" s="18" t="s">
        <v>19</v>
      </c>
      <c r="AD20" s="18" t="s">
        <v>31</v>
      </c>
      <c r="AE20" s="18" t="s">
        <v>32</v>
      </c>
      <c r="AF20" s="18" t="s">
        <v>33</v>
      </c>
      <c r="AG20" s="18" t="s">
        <v>34</v>
      </c>
      <c r="AH20" s="18" t="s">
        <v>125</v>
      </c>
      <c r="AI20" s="18" t="s">
        <v>126</v>
      </c>
      <c r="AJ20" s="107"/>
      <c r="AK20" s="88"/>
      <c r="AL20" s="88"/>
      <c r="AM20" s="88"/>
      <c r="AN20" s="88"/>
      <c r="AO20" s="88"/>
      <c r="AP20" s="88"/>
      <c r="AQ20" s="88"/>
      <c r="AR20" s="88"/>
      <c r="AS20" s="88"/>
    </row>
    <row r="21" spans="2:45">
      <c r="B21" s="100">
        <f t="shared" si="6"/>
        <v>38837</v>
      </c>
      <c r="C21" s="108">
        <v>9406440</v>
      </c>
      <c r="D21" s="111"/>
      <c r="E21" s="123"/>
      <c r="F21" s="111"/>
      <c r="G21" s="112"/>
      <c r="H21" s="110">
        <f t="shared" si="0"/>
        <v>9406440</v>
      </c>
      <c r="I21" s="369"/>
      <c r="J21" s="214">
        <f>'HDD &amp; CDD'!M9</f>
        <v>321.59999999999991</v>
      </c>
      <c r="K21" s="214">
        <f>'HDD &amp; CDD'!M27</f>
        <v>0</v>
      </c>
      <c r="L21" s="485">
        <f t="shared" si="4"/>
        <v>30</v>
      </c>
      <c r="M21" s="214">
        <v>1</v>
      </c>
      <c r="N21" s="485">
        <f>[22]Sheet1!C19</f>
        <v>2</v>
      </c>
      <c r="O21" s="164">
        <f>'CDM Activity'!C69</f>
        <v>10655.197304431293</v>
      </c>
      <c r="P21" s="105"/>
      <c r="Q21" s="105"/>
      <c r="R21" s="105"/>
      <c r="S21" s="106"/>
      <c r="T21" s="88"/>
      <c r="U21" s="104">
        <f t="shared" si="1"/>
        <v>9512956.4350882675</v>
      </c>
      <c r="V21" s="272">
        <f t="shared" si="2"/>
        <v>106516.43508826755</v>
      </c>
      <c r="W21" s="273">
        <f t="shared" si="3"/>
        <v>1.1323777655336934E-2</v>
      </c>
      <c r="X21" s="273">
        <f t="shared" si="5"/>
        <v>1.1323777655336934E-2</v>
      </c>
      <c r="Y21" s="222"/>
      <c r="Z21" s="375"/>
      <c r="AA21" s="16" t="s">
        <v>24</v>
      </c>
      <c r="AB21" s="16">
        <v>1466066.2055028661</v>
      </c>
      <c r="AC21" s="16">
        <v>940673.06716720678</v>
      </c>
      <c r="AD21" s="16">
        <v>1.5585289477010926</v>
      </c>
      <c r="AE21" s="16">
        <v>0.12163619220039674</v>
      </c>
      <c r="AF21" s="16">
        <v>-395642.54081338574</v>
      </c>
      <c r="AG21" s="16">
        <v>3327774.9518191181</v>
      </c>
      <c r="AH21" s="16">
        <v>-395642.54081338574</v>
      </c>
      <c r="AI21" s="16">
        <v>3327774.9518191181</v>
      </c>
      <c r="AJ21" s="107"/>
      <c r="AK21" s="88"/>
      <c r="AL21" s="88"/>
      <c r="AM21" s="88"/>
      <c r="AN21" s="88"/>
      <c r="AO21" s="88"/>
      <c r="AP21" s="88"/>
      <c r="AQ21" s="88"/>
      <c r="AR21" s="88"/>
      <c r="AS21" s="88"/>
    </row>
    <row r="22" spans="2:45">
      <c r="B22" s="100">
        <f t="shared" si="6"/>
        <v>38868</v>
      </c>
      <c r="C22" s="108">
        <v>9293920</v>
      </c>
      <c r="D22" s="111"/>
      <c r="E22" s="123"/>
      <c r="F22" s="111"/>
      <c r="G22" s="112"/>
      <c r="H22" s="110">
        <f t="shared" si="0"/>
        <v>9293920</v>
      </c>
      <c r="I22" s="369"/>
      <c r="J22" s="214">
        <f>'HDD &amp; CDD'!M10</f>
        <v>128.19999999999999</v>
      </c>
      <c r="K22" s="214">
        <f>'HDD &amp; CDD'!M28</f>
        <v>16.899999999999999</v>
      </c>
      <c r="L22" s="485">
        <f t="shared" si="4"/>
        <v>31</v>
      </c>
      <c r="M22" s="214">
        <v>1</v>
      </c>
      <c r="N22" s="485">
        <f>[22]Sheet1!C20</f>
        <v>1</v>
      </c>
      <c r="O22" s="164">
        <f>'CDM Activity'!C70</f>
        <v>13318.996630539115</v>
      </c>
      <c r="P22" s="105"/>
      <c r="Q22" s="105"/>
      <c r="R22" s="105"/>
      <c r="S22" s="106"/>
      <c r="T22" s="88"/>
      <c r="U22" s="104">
        <f t="shared" si="1"/>
        <v>9193777.5529760793</v>
      </c>
      <c r="V22" s="272">
        <f t="shared" si="2"/>
        <v>-100142.44702392071</v>
      </c>
      <c r="W22" s="273">
        <f t="shared" si="3"/>
        <v>-1.077504938970001E-2</v>
      </c>
      <c r="X22" s="273">
        <f t="shared" si="5"/>
        <v>1.077504938970001E-2</v>
      </c>
      <c r="Y22" s="222"/>
      <c r="Z22" s="375"/>
      <c r="AA22" s="16" t="s">
        <v>131</v>
      </c>
      <c r="AB22" s="16">
        <v>4669.8887900706077</v>
      </c>
      <c r="AC22" s="16">
        <v>135.02329418012982</v>
      </c>
      <c r="AD22" s="16">
        <v>34.585801053266209</v>
      </c>
      <c r="AE22" s="16">
        <v>7.4240792981957398E-66</v>
      </c>
      <c r="AF22" s="16">
        <v>4402.6609332248909</v>
      </c>
      <c r="AG22" s="16">
        <v>4937.1166469163245</v>
      </c>
      <c r="AH22" s="16">
        <v>4402.6609332248909</v>
      </c>
      <c r="AI22" s="16">
        <v>4937.1166469163245</v>
      </c>
      <c r="AJ22" s="107"/>
      <c r="AK22" s="88"/>
      <c r="AL22" s="88"/>
      <c r="AM22" s="88"/>
      <c r="AN22" s="88"/>
      <c r="AO22" s="88"/>
      <c r="AP22" s="88"/>
      <c r="AQ22" s="88"/>
      <c r="AR22" s="88"/>
      <c r="AS22" s="88"/>
    </row>
    <row r="23" spans="2:45">
      <c r="B23" s="100">
        <f t="shared" si="6"/>
        <v>38898</v>
      </c>
      <c r="C23" s="108">
        <v>9564320</v>
      </c>
      <c r="D23" s="111"/>
      <c r="E23" s="123"/>
      <c r="F23" s="111"/>
      <c r="G23" s="112"/>
      <c r="H23" s="110">
        <f t="shared" si="0"/>
        <v>9564320</v>
      </c>
      <c r="I23" s="369"/>
      <c r="J23" s="214">
        <f>'HDD &amp; CDD'!M11</f>
        <v>27.599999999999998</v>
      </c>
      <c r="K23" s="214">
        <f>'HDD &amp; CDD'!M29</f>
        <v>48.199999999999996</v>
      </c>
      <c r="L23" s="485">
        <f t="shared" si="4"/>
        <v>30</v>
      </c>
      <c r="M23" s="214">
        <v>0</v>
      </c>
      <c r="N23" s="485">
        <f>[22]Sheet1!C21</f>
        <v>0</v>
      </c>
      <c r="O23" s="164">
        <f>'CDM Activity'!C71</f>
        <v>15982.795956646938</v>
      </c>
      <c r="P23" s="105"/>
      <c r="Q23" s="105"/>
      <c r="R23" s="105"/>
      <c r="S23" s="106"/>
      <c r="T23" s="88"/>
      <c r="U23" s="104">
        <f t="shared" si="1"/>
        <v>9382736.8211712167</v>
      </c>
      <c r="V23" s="272">
        <f t="shared" si="2"/>
        <v>-181583.17882878333</v>
      </c>
      <c r="W23" s="273">
        <f t="shared" si="3"/>
        <v>-1.8985477151411009E-2</v>
      </c>
      <c r="X23" s="273">
        <f t="shared" si="5"/>
        <v>1.8985477151411009E-2</v>
      </c>
      <c r="Y23" s="222"/>
      <c r="Z23" s="375"/>
      <c r="AA23" s="16" t="s">
        <v>132</v>
      </c>
      <c r="AB23" s="16">
        <v>14351.337003651915</v>
      </c>
      <c r="AC23" s="16">
        <v>1264.4531675912258</v>
      </c>
      <c r="AD23" s="16">
        <v>11.349836729019477</v>
      </c>
      <c r="AE23" s="16">
        <v>5.8988907362317757E-21</v>
      </c>
      <c r="AF23" s="16">
        <v>11848.827254434829</v>
      </c>
      <c r="AG23" s="16">
        <v>16853.846752869002</v>
      </c>
      <c r="AH23" s="16">
        <v>11848.827254434829</v>
      </c>
      <c r="AI23" s="16">
        <v>16853.846752869002</v>
      </c>
      <c r="AJ23" s="107"/>
      <c r="AK23" s="88"/>
      <c r="AL23" s="88"/>
      <c r="AM23" s="88"/>
      <c r="AN23" s="88"/>
      <c r="AO23" s="88"/>
      <c r="AP23" s="88"/>
      <c r="AQ23" s="88"/>
      <c r="AR23" s="88"/>
      <c r="AS23" s="88"/>
    </row>
    <row r="24" spans="2:45">
      <c r="B24" s="100">
        <f t="shared" si="6"/>
        <v>38929</v>
      </c>
      <c r="C24" s="108">
        <v>10639870</v>
      </c>
      <c r="D24" s="111"/>
      <c r="E24" s="123"/>
      <c r="F24" s="111"/>
      <c r="G24" s="112"/>
      <c r="H24" s="110">
        <f t="shared" si="0"/>
        <v>10639870</v>
      </c>
      <c r="I24" s="369"/>
      <c r="J24" s="214">
        <f>'HDD &amp; CDD'!M12</f>
        <v>0.3</v>
      </c>
      <c r="K24" s="214">
        <f>'HDD &amp; CDD'!M30</f>
        <v>130.59999999999997</v>
      </c>
      <c r="L24" s="485">
        <f t="shared" si="4"/>
        <v>31</v>
      </c>
      <c r="M24" s="214">
        <v>0</v>
      </c>
      <c r="N24" s="485">
        <f>[22]Sheet1!C22</f>
        <v>1</v>
      </c>
      <c r="O24" s="164">
        <f>'CDM Activity'!C72</f>
        <v>18646.595282754763</v>
      </c>
      <c r="P24" s="105"/>
      <c r="Q24" s="105"/>
      <c r="R24" s="105"/>
      <c r="S24" s="106"/>
      <c r="T24" s="88"/>
      <c r="U24" s="104">
        <f t="shared" si="1"/>
        <v>10557103.424623705</v>
      </c>
      <c r="V24" s="272">
        <f t="shared" si="2"/>
        <v>-82766.575376294553</v>
      </c>
      <c r="W24" s="273">
        <f t="shared" si="3"/>
        <v>-7.7789085182708578E-3</v>
      </c>
      <c r="X24" s="273">
        <f t="shared" si="5"/>
        <v>7.7789085182708578E-3</v>
      </c>
      <c r="Y24" s="222"/>
      <c r="Z24" s="375"/>
      <c r="AA24" s="16" t="s">
        <v>3</v>
      </c>
      <c r="AB24" s="16">
        <v>238075.58345615162</v>
      </c>
      <c r="AC24" s="16">
        <v>31660.001285071274</v>
      </c>
      <c r="AD24" s="16">
        <v>7.5197591216906252</v>
      </c>
      <c r="AE24" s="16">
        <v>9.3054659465974519E-12</v>
      </c>
      <c r="AF24" s="16">
        <v>175416.51160847861</v>
      </c>
      <c r="AG24" s="16">
        <v>300734.65530382463</v>
      </c>
      <c r="AH24" s="16">
        <v>175416.51160847861</v>
      </c>
      <c r="AI24" s="16">
        <v>300734.65530382463</v>
      </c>
      <c r="AJ24" s="107"/>
      <c r="AK24" s="88"/>
      <c r="AL24" s="88"/>
      <c r="AM24" s="88"/>
      <c r="AN24" s="88"/>
      <c r="AO24" s="88"/>
      <c r="AP24" s="88"/>
      <c r="AQ24" s="88"/>
      <c r="AR24" s="88"/>
      <c r="AS24" s="88"/>
    </row>
    <row r="25" spans="2:45">
      <c r="B25" s="100">
        <f t="shared" si="6"/>
        <v>38960</v>
      </c>
      <c r="C25" s="108">
        <v>10096480</v>
      </c>
      <c r="D25" s="111"/>
      <c r="E25" s="123"/>
      <c r="F25" s="111"/>
      <c r="G25" s="112"/>
      <c r="H25" s="110">
        <f t="shared" si="0"/>
        <v>10096480</v>
      </c>
      <c r="I25" s="369"/>
      <c r="J25" s="214">
        <f>'HDD &amp; CDD'!M13</f>
        <v>18.200000000000003</v>
      </c>
      <c r="K25" s="214">
        <f>'HDD &amp; CDD'!M31</f>
        <v>68.099999999999994</v>
      </c>
      <c r="L25" s="485">
        <f t="shared" si="4"/>
        <v>31</v>
      </c>
      <c r="M25" s="214">
        <v>0</v>
      </c>
      <c r="N25" s="485">
        <f>[22]Sheet1!C23</f>
        <v>1</v>
      </c>
      <c r="O25" s="164">
        <f>'CDM Activity'!C73</f>
        <v>21310.394608862585</v>
      </c>
      <c r="P25" s="105"/>
      <c r="Q25" s="105"/>
      <c r="R25" s="105"/>
      <c r="S25" s="106"/>
      <c r="T25" s="88"/>
      <c r="U25" s="104">
        <f t="shared" si="1"/>
        <v>9736032.4942046963</v>
      </c>
      <c r="V25" s="272">
        <f t="shared" si="2"/>
        <v>-360447.50579530373</v>
      </c>
      <c r="W25" s="273">
        <f t="shared" si="3"/>
        <v>-3.5700313950535606E-2</v>
      </c>
      <c r="X25" s="273">
        <f t="shared" si="5"/>
        <v>3.5700313950535606E-2</v>
      </c>
      <c r="Y25" s="222"/>
      <c r="Z25" s="375"/>
      <c r="AA25" s="16" t="s">
        <v>133</v>
      </c>
      <c r="AB25" s="16">
        <v>-344264.38464849006</v>
      </c>
      <c r="AC25" s="16">
        <v>69964.297848660062</v>
      </c>
      <c r="AD25" s="16">
        <v>-4.9205722809248966</v>
      </c>
      <c r="AE25" s="16">
        <v>2.6636312304315241E-6</v>
      </c>
      <c r="AF25" s="16">
        <v>-482732.41331968084</v>
      </c>
      <c r="AG25" s="16">
        <v>-205796.35597729927</v>
      </c>
      <c r="AH25" s="16">
        <v>-482732.41331968084</v>
      </c>
      <c r="AI25" s="16">
        <v>-205796.35597729927</v>
      </c>
      <c r="AJ25" s="107"/>
      <c r="AK25" s="88"/>
      <c r="AL25" s="88"/>
      <c r="AM25" s="88"/>
      <c r="AN25" s="88"/>
      <c r="AO25" s="88"/>
      <c r="AP25" s="88"/>
      <c r="AQ25" s="88"/>
      <c r="AR25" s="88"/>
      <c r="AS25" s="88"/>
    </row>
    <row r="26" spans="2:45">
      <c r="B26" s="100">
        <f t="shared" si="6"/>
        <v>38990</v>
      </c>
      <c r="C26" s="108">
        <v>8938560</v>
      </c>
      <c r="D26" s="111"/>
      <c r="E26" s="123"/>
      <c r="F26" s="111"/>
      <c r="G26" s="112"/>
      <c r="H26" s="110">
        <f t="shared" si="0"/>
        <v>8938560</v>
      </c>
      <c r="I26" s="369"/>
      <c r="J26" s="214">
        <f>'HDD &amp; CDD'!M14</f>
        <v>120.99999999999997</v>
      </c>
      <c r="K26" s="214">
        <f>'HDD &amp; CDD'!M32</f>
        <v>5.3</v>
      </c>
      <c r="L26" s="485">
        <f t="shared" si="4"/>
        <v>30</v>
      </c>
      <c r="M26" s="214">
        <v>1</v>
      </c>
      <c r="N26" s="485">
        <f>[22]Sheet1!C24</f>
        <v>1</v>
      </c>
      <c r="O26" s="164">
        <f>'CDM Activity'!C74</f>
        <v>23974.193934970408</v>
      </c>
      <c r="P26" s="105"/>
      <c r="Q26" s="105"/>
      <c r="R26" s="105"/>
      <c r="S26" s="106"/>
      <c r="T26" s="88"/>
      <c r="U26" s="104">
        <f t="shared" si="1"/>
        <v>8724789.7528569419</v>
      </c>
      <c r="V26" s="272">
        <f t="shared" si="2"/>
        <v>-213770.24714305811</v>
      </c>
      <c r="W26" s="273">
        <f t="shared" si="3"/>
        <v>-2.3915512917411542E-2</v>
      </c>
      <c r="X26" s="273">
        <f t="shared" si="5"/>
        <v>2.3915512917411542E-2</v>
      </c>
      <c r="Y26" s="222"/>
      <c r="Z26" s="375"/>
      <c r="AA26" s="16" t="s">
        <v>134</v>
      </c>
      <c r="AB26" s="16">
        <v>-111067.80810262606</v>
      </c>
      <c r="AC26" s="16">
        <v>39593.431824331514</v>
      </c>
      <c r="AD26" s="16">
        <v>-2.8052079091151456</v>
      </c>
      <c r="AE26" s="16">
        <v>5.8332253130639715E-3</v>
      </c>
      <c r="AF26" s="16">
        <v>-189428.12360098807</v>
      </c>
      <c r="AG26" s="16">
        <v>-32707.492604264044</v>
      </c>
      <c r="AH26" s="16">
        <v>-189428.12360098807</v>
      </c>
      <c r="AI26" s="16">
        <v>-32707.492604264044</v>
      </c>
      <c r="AJ26" s="107"/>
      <c r="AK26" s="88"/>
      <c r="AL26" s="88"/>
      <c r="AM26" s="88"/>
      <c r="AN26" s="88"/>
      <c r="AO26" s="88"/>
      <c r="AP26" s="88"/>
      <c r="AQ26" s="88"/>
      <c r="AR26" s="88"/>
      <c r="AS26" s="88"/>
    </row>
    <row r="27" spans="2:45" ht="13.5" thickBot="1">
      <c r="B27" s="100">
        <f t="shared" si="6"/>
        <v>39021</v>
      </c>
      <c r="C27" s="108">
        <v>9952100</v>
      </c>
      <c r="D27" s="111"/>
      <c r="E27" s="123"/>
      <c r="F27" s="111"/>
      <c r="G27" s="112"/>
      <c r="H27" s="110">
        <f t="shared" si="0"/>
        <v>9952100</v>
      </c>
      <c r="I27" s="369"/>
      <c r="J27" s="214">
        <f>'HDD &amp; CDD'!M15</f>
        <v>335.70000000000005</v>
      </c>
      <c r="K27" s="214">
        <f>'HDD &amp; CDD'!M33</f>
        <v>0</v>
      </c>
      <c r="L27" s="485">
        <f t="shared" si="4"/>
        <v>31</v>
      </c>
      <c r="M27" s="214">
        <v>1</v>
      </c>
      <c r="N27" s="485">
        <f>[22]Sheet1!C25</f>
        <v>1</v>
      </c>
      <c r="O27" s="164">
        <f>'CDM Activity'!C75</f>
        <v>26637.993261078231</v>
      </c>
      <c r="P27" s="105"/>
      <c r="Q27" s="105"/>
      <c r="R27" s="105"/>
      <c r="S27" s="106"/>
      <c r="T27" s="88"/>
      <c r="U27" s="104">
        <f t="shared" si="1"/>
        <v>9881724.9963888731</v>
      </c>
      <c r="V27" s="272">
        <f t="shared" si="2"/>
        <v>-70375.003611126915</v>
      </c>
      <c r="W27" s="273">
        <f t="shared" si="3"/>
        <v>-7.0713722341140981E-3</v>
      </c>
      <c r="X27" s="273">
        <f t="shared" si="5"/>
        <v>7.0713722341140981E-3</v>
      </c>
      <c r="Y27" s="222"/>
      <c r="Z27" s="375"/>
      <c r="AA27" s="17" t="s">
        <v>97</v>
      </c>
      <c r="AB27" s="17">
        <v>-2.8918758847663404</v>
      </c>
      <c r="AC27" s="17">
        <v>0.1810580736696365</v>
      </c>
      <c r="AD27" s="17">
        <v>-15.972090203737261</v>
      </c>
      <c r="AE27" s="17">
        <v>5.6267755504427628E-32</v>
      </c>
      <c r="AF27" s="17">
        <v>-3.2502122835717482</v>
      </c>
      <c r="AG27" s="17">
        <v>-2.5335394859609326</v>
      </c>
      <c r="AH27" s="17">
        <v>-3.2502122835717482</v>
      </c>
      <c r="AI27" s="17">
        <v>-2.5335394859609326</v>
      </c>
      <c r="AJ27" s="107"/>
      <c r="AK27" s="88"/>
      <c r="AL27" s="88"/>
      <c r="AM27" s="88"/>
      <c r="AN27" s="88"/>
      <c r="AO27" s="88"/>
      <c r="AP27" s="88"/>
      <c r="AQ27" s="88"/>
      <c r="AR27" s="88"/>
      <c r="AS27" s="88"/>
    </row>
    <row r="28" spans="2:45">
      <c r="B28" s="100">
        <f t="shared" si="6"/>
        <v>39051</v>
      </c>
      <c r="C28" s="108">
        <v>10436420</v>
      </c>
      <c r="D28" s="111"/>
      <c r="E28" s="123"/>
      <c r="F28" s="111"/>
      <c r="G28" s="112"/>
      <c r="H28" s="110">
        <f t="shared" si="0"/>
        <v>10436420</v>
      </c>
      <c r="I28" s="369"/>
      <c r="J28" s="214">
        <f>'HDD &amp; CDD'!M16</f>
        <v>417.3</v>
      </c>
      <c r="K28" s="214">
        <f>'HDD &amp; CDD'!M34</f>
        <v>0</v>
      </c>
      <c r="L28" s="485">
        <f t="shared" si="4"/>
        <v>30</v>
      </c>
      <c r="M28" s="214">
        <v>1</v>
      </c>
      <c r="N28" s="485">
        <f>[22]Sheet1!C26</f>
        <v>0</v>
      </c>
      <c r="O28" s="164">
        <f>'CDM Activity'!C76</f>
        <v>29301.792587186053</v>
      </c>
      <c r="P28" s="105"/>
      <c r="Q28" s="105"/>
      <c r="R28" s="105"/>
      <c r="S28" s="106"/>
      <c r="T28" s="88"/>
      <c r="U28" s="104">
        <f t="shared" si="1"/>
        <v>10128076.76927208</v>
      </c>
      <c r="V28" s="272">
        <f t="shared" si="2"/>
        <v>-308343.23072792031</v>
      </c>
      <c r="W28" s="273">
        <f t="shared" si="3"/>
        <v>-2.9544923520509938E-2</v>
      </c>
      <c r="X28" s="273">
        <f t="shared" si="5"/>
        <v>2.9544923520509938E-2</v>
      </c>
      <c r="Y28" s="222"/>
      <c r="Z28" s="375"/>
      <c r="AA28"/>
      <c r="AB28"/>
      <c r="AC28"/>
      <c r="AD28"/>
      <c r="AE28"/>
      <c r="AF28"/>
      <c r="AG28"/>
      <c r="AH28"/>
      <c r="AI28"/>
      <c r="AJ28" s="107"/>
      <c r="AK28" s="88"/>
      <c r="AL28" s="88"/>
      <c r="AM28" s="88"/>
      <c r="AN28" s="88"/>
      <c r="AO28" s="88"/>
      <c r="AP28" s="88"/>
      <c r="AQ28" s="88"/>
      <c r="AR28" s="88"/>
      <c r="AS28" s="88"/>
    </row>
    <row r="29" spans="2:45" ht="13.5" customHeight="1">
      <c r="B29" s="217">
        <f t="shared" si="6"/>
        <v>39082</v>
      </c>
      <c r="C29" s="124">
        <v>11345280</v>
      </c>
      <c r="D29" s="125"/>
      <c r="E29" s="125"/>
      <c r="F29" s="125"/>
      <c r="G29" s="126"/>
      <c r="H29" s="117">
        <f t="shared" si="0"/>
        <v>11345280</v>
      </c>
      <c r="I29" s="370"/>
      <c r="J29" s="165">
        <f>'HDD &amp; CDD'!M17</f>
        <v>609.99999999999989</v>
      </c>
      <c r="K29" s="165">
        <f>'HDD &amp; CDD'!M35</f>
        <v>0</v>
      </c>
      <c r="L29" s="486">
        <f t="shared" si="4"/>
        <v>31</v>
      </c>
      <c r="M29" s="165">
        <v>0</v>
      </c>
      <c r="N29" s="486">
        <f>[22]Sheet1!C27</f>
        <v>2</v>
      </c>
      <c r="O29" s="167">
        <f>'CDM Activity'!C77</f>
        <v>31965.591913293876</v>
      </c>
      <c r="P29" s="118"/>
      <c r="Q29" s="118"/>
      <c r="R29" s="118"/>
      <c r="S29" s="119"/>
      <c r="T29" s="120"/>
      <c r="U29" s="121">
        <f t="shared" si="1"/>
        <v>11380465.313985048</v>
      </c>
      <c r="V29" s="284">
        <f t="shared" si="2"/>
        <v>35185.313985047862</v>
      </c>
      <c r="W29" s="274">
        <f t="shared" si="3"/>
        <v>3.1013173747186373E-3</v>
      </c>
      <c r="X29" s="274">
        <f t="shared" si="5"/>
        <v>3.1013173747186373E-3</v>
      </c>
      <c r="Y29" s="222"/>
      <c r="Z29" s="375"/>
      <c r="AA29"/>
      <c r="AB29"/>
      <c r="AC29"/>
      <c r="AD29"/>
      <c r="AE29"/>
      <c r="AF29"/>
      <c r="AG29"/>
      <c r="AH29"/>
      <c r="AI29"/>
      <c r="AJ29" s="107"/>
      <c r="AK29" s="88"/>
      <c r="AL29" s="88"/>
      <c r="AM29" s="88"/>
      <c r="AN29" s="88"/>
      <c r="AO29" s="88"/>
      <c r="AP29" s="88"/>
      <c r="AQ29" s="88"/>
      <c r="AR29" s="88"/>
      <c r="AS29" s="88"/>
    </row>
    <row r="30" spans="2:45">
      <c r="B30" s="100">
        <f t="shared" si="6"/>
        <v>39113</v>
      </c>
      <c r="C30" s="108">
        <v>12568180</v>
      </c>
      <c r="D30" s="111"/>
      <c r="E30" s="123"/>
      <c r="F30" s="111"/>
      <c r="G30" s="112"/>
      <c r="H30" s="110">
        <f t="shared" si="0"/>
        <v>12568180</v>
      </c>
      <c r="I30" s="369"/>
      <c r="J30" s="214">
        <f>'HDD &amp; CDD'!N6</f>
        <v>797.09999999999991</v>
      </c>
      <c r="K30" s="214">
        <f>'HDD &amp; CDD'!N24</f>
        <v>0</v>
      </c>
      <c r="L30" s="485">
        <f t="shared" si="4"/>
        <v>31</v>
      </c>
      <c r="M30" s="214">
        <v>0</v>
      </c>
      <c r="N30" s="485">
        <f>[22]Sheet1!C28</f>
        <v>1</v>
      </c>
      <c r="O30" s="164">
        <f>'CDM Activity'!C78</f>
        <v>34513.571109379933</v>
      </c>
      <c r="P30" s="105"/>
      <c r="Q30" s="105"/>
      <c r="R30" s="105"/>
      <c r="S30" s="106"/>
      <c r="T30" s="88"/>
      <c r="U30" s="104">
        <f t="shared" si="1"/>
        <v>12357900.875117837</v>
      </c>
      <c r="V30" s="272">
        <f t="shared" si="2"/>
        <v>-210279.12488216348</v>
      </c>
      <c r="W30" s="273">
        <f t="shared" si="3"/>
        <v>-1.6731072031285633E-2</v>
      </c>
      <c r="X30" s="273">
        <f t="shared" si="5"/>
        <v>1.6731072031285633E-2</v>
      </c>
      <c r="Y30" s="222"/>
      <c r="Z30" s="375"/>
      <c r="AA30"/>
      <c r="AB30"/>
      <c r="AC30"/>
      <c r="AD30"/>
      <c r="AE30"/>
      <c r="AF30"/>
      <c r="AG30"/>
      <c r="AH30"/>
      <c r="AI30"/>
    </row>
    <row r="31" spans="2:45">
      <c r="B31" s="100">
        <f t="shared" si="6"/>
        <v>39141</v>
      </c>
      <c r="C31" s="108">
        <v>12210720</v>
      </c>
      <c r="D31" s="111"/>
      <c r="E31" s="123"/>
      <c r="F31" s="111"/>
      <c r="G31" s="112"/>
      <c r="H31" s="110">
        <f t="shared" si="0"/>
        <v>12210720</v>
      </c>
      <c r="I31" s="369"/>
      <c r="J31" s="214">
        <f>'HDD &amp; CDD'!N7</f>
        <v>820</v>
      </c>
      <c r="K31" s="214">
        <f>'HDD &amp; CDD'!N25</f>
        <v>0</v>
      </c>
      <c r="L31" s="485">
        <f t="shared" si="4"/>
        <v>28</v>
      </c>
      <c r="M31" s="214">
        <v>0</v>
      </c>
      <c r="N31" s="485">
        <f>[22]Sheet1!C29</f>
        <v>0</v>
      </c>
      <c r="O31" s="164">
        <f>'CDM Activity'!C79</f>
        <v>37061.550305465986</v>
      </c>
      <c r="P31" s="105"/>
      <c r="Q31" s="105"/>
      <c r="R31" s="105"/>
      <c r="S31" s="106"/>
      <c r="T31" s="88"/>
      <c r="U31" s="104">
        <f t="shared" si="1"/>
        <v>11854313.946552578</v>
      </c>
      <c r="V31" s="272">
        <f t="shared" si="2"/>
        <v>-356406.05344742164</v>
      </c>
      <c r="W31" s="273">
        <f t="shared" si="3"/>
        <v>-2.9187963809457727E-2</v>
      </c>
      <c r="X31" s="273">
        <f t="shared" si="5"/>
        <v>2.9187963809457727E-2</v>
      </c>
      <c r="Y31" s="222"/>
      <c r="Z31" s="375"/>
      <c r="AB31" s="92" t="s">
        <v>423</v>
      </c>
    </row>
    <row r="32" spans="2:45" ht="13.5" thickBot="1">
      <c r="B32" s="100">
        <f t="shared" si="6"/>
        <v>39172</v>
      </c>
      <c r="C32" s="108">
        <v>11873120</v>
      </c>
      <c r="D32" s="111"/>
      <c r="E32" s="123"/>
      <c r="F32" s="111"/>
      <c r="G32" s="112"/>
      <c r="H32" s="110">
        <f t="shared" si="0"/>
        <v>11873120</v>
      </c>
      <c r="I32" s="369"/>
      <c r="J32" s="214">
        <f>'HDD &amp; CDD'!N8</f>
        <v>643.00000000000023</v>
      </c>
      <c r="K32" s="214">
        <f>'HDD &amp; CDD'!N26</f>
        <v>0</v>
      </c>
      <c r="L32" s="485">
        <f t="shared" si="4"/>
        <v>31</v>
      </c>
      <c r="M32" s="214">
        <v>1</v>
      </c>
      <c r="N32" s="485">
        <f>[22]Sheet1!C30</f>
        <v>0</v>
      </c>
      <c r="O32" s="164">
        <f>'CDM Activity'!C80</f>
        <v>39609.529501552039</v>
      </c>
      <c r="P32" s="105"/>
      <c r="Q32" s="105"/>
      <c r="R32" s="105"/>
      <c r="S32" s="106"/>
      <c r="T32" s="88"/>
      <c r="U32" s="104">
        <f t="shared" si="1"/>
        <v>11390337.556837998</v>
      </c>
      <c r="V32" s="272">
        <f t="shared" si="2"/>
        <v>-482782.44316200167</v>
      </c>
      <c r="W32" s="273">
        <f t="shared" si="3"/>
        <v>-4.0661801039827923E-2</v>
      </c>
      <c r="X32" s="273">
        <f t="shared" si="5"/>
        <v>4.0661801039827923E-2</v>
      </c>
      <c r="Y32" s="222"/>
      <c r="Z32" s="375"/>
      <c r="AA32"/>
      <c r="AB32"/>
      <c r="AC32"/>
      <c r="AD32"/>
      <c r="AE32"/>
      <c r="AF32"/>
      <c r="AG32"/>
      <c r="AH32"/>
      <c r="AI32"/>
      <c r="AJ32" s="107"/>
      <c r="AK32" s="88"/>
      <c r="AL32" s="88"/>
      <c r="AM32" s="88"/>
      <c r="AN32" s="88"/>
      <c r="AO32" s="88"/>
      <c r="AP32" s="88"/>
      <c r="AQ32" s="88"/>
      <c r="AR32" s="88"/>
      <c r="AS32" s="88"/>
    </row>
    <row r="33" spans="2:45" ht="13.5" thickTop="1">
      <c r="B33" s="100">
        <f t="shared" si="6"/>
        <v>39202</v>
      </c>
      <c r="C33" s="108">
        <v>9854780</v>
      </c>
      <c r="D33" s="111"/>
      <c r="E33" s="123"/>
      <c r="F33" s="111"/>
      <c r="G33" s="112"/>
      <c r="H33" s="110">
        <f t="shared" si="0"/>
        <v>9854780</v>
      </c>
      <c r="I33" s="369"/>
      <c r="J33" s="214">
        <f>'HDD &amp; CDD'!N9</f>
        <v>361.1</v>
      </c>
      <c r="K33" s="214">
        <f>'HDD &amp; CDD'!N27</f>
        <v>0</v>
      </c>
      <c r="L33" s="485">
        <f t="shared" si="4"/>
        <v>30</v>
      </c>
      <c r="M33" s="214">
        <v>1</v>
      </c>
      <c r="N33" s="485">
        <f>[22]Sheet1!C31</f>
        <v>2</v>
      </c>
      <c r="O33" s="164">
        <f>'CDM Activity'!C81</f>
        <v>42157.508697638092</v>
      </c>
      <c r="P33" s="105"/>
      <c r="Q33" s="105"/>
      <c r="R33" s="105"/>
      <c r="S33" s="106"/>
      <c r="T33" s="88"/>
      <c r="U33" s="104">
        <f t="shared" si="1"/>
        <v>9606316.2676636409</v>
      </c>
      <c r="V33" s="272">
        <f t="shared" si="2"/>
        <v>-248463.7323363591</v>
      </c>
      <c r="W33" s="273">
        <f t="shared" si="3"/>
        <v>-2.5212509293597533E-2</v>
      </c>
      <c r="X33" s="273">
        <f t="shared" si="5"/>
        <v>2.5212509293597533E-2</v>
      </c>
      <c r="Z33" s="375"/>
      <c r="AA33" s="944" t="s">
        <v>135</v>
      </c>
      <c r="AB33" s="945" t="s">
        <v>192</v>
      </c>
      <c r="AC33" s="945" t="s">
        <v>152</v>
      </c>
      <c r="AD33" s="945" t="s">
        <v>287</v>
      </c>
      <c r="AE33" s="945" t="s">
        <v>288</v>
      </c>
      <c r="AF33" s="945" t="s">
        <v>289</v>
      </c>
      <c r="AH33" s="297" t="s">
        <v>136</v>
      </c>
      <c r="AI33" s="298"/>
      <c r="AJ33" s="298"/>
      <c r="AK33" s="299"/>
      <c r="AL33" s="299"/>
      <c r="AM33" s="299"/>
      <c r="AN33" s="299"/>
      <c r="AO33" s="299"/>
      <c r="AP33" s="299"/>
      <c r="AQ33" s="300"/>
      <c r="AR33" s="88"/>
      <c r="AS33" s="88"/>
    </row>
    <row r="34" spans="2:45">
      <c r="B34" s="100">
        <f t="shared" si="6"/>
        <v>39233</v>
      </c>
      <c r="C34" s="108">
        <v>9000430</v>
      </c>
      <c r="D34" s="111"/>
      <c r="E34" s="123"/>
      <c r="F34" s="111"/>
      <c r="G34" s="112"/>
      <c r="H34" s="110">
        <f t="shared" si="0"/>
        <v>9000430</v>
      </c>
      <c r="I34" s="369"/>
      <c r="J34" s="214">
        <f>'HDD &amp; CDD'!N10</f>
        <v>157.30000000000001</v>
      </c>
      <c r="K34" s="214">
        <f>'HDD &amp; CDD'!N28</f>
        <v>17.3</v>
      </c>
      <c r="L34" s="485">
        <f t="shared" si="4"/>
        <v>31</v>
      </c>
      <c r="M34" s="214">
        <v>1</v>
      </c>
      <c r="N34" s="485">
        <f>[22]Sheet1!C32</f>
        <v>1</v>
      </c>
      <c r="O34" s="164">
        <f>'CDM Activity'!C82</f>
        <v>44705.487893724145</v>
      </c>
      <c r="P34" s="105"/>
      <c r="Q34" s="105"/>
      <c r="R34" s="105"/>
      <c r="S34" s="106"/>
      <c r="T34" s="88"/>
      <c r="U34" s="104">
        <f t="shared" si="1"/>
        <v>9244646.01437716</v>
      </c>
      <c r="V34" s="272">
        <f t="shared" si="2"/>
        <v>244216.01437716</v>
      </c>
      <c r="W34" s="273">
        <f t="shared" si="3"/>
        <v>2.7133816315127166E-2</v>
      </c>
      <c r="X34" s="273">
        <f t="shared" si="5"/>
        <v>2.7133816315127166E-2</v>
      </c>
      <c r="Y34" s="222"/>
      <c r="Z34" s="375"/>
      <c r="AA34" s="946">
        <v>2005</v>
      </c>
      <c r="AB34" s="947">
        <f>SUM(U6:U17)</f>
        <v>127663715.01427059</v>
      </c>
      <c r="AC34" s="947">
        <f>SUM(H6:H17)</f>
        <v>129569190</v>
      </c>
      <c r="AD34" s="948">
        <f>AB34-AC34</f>
        <v>-1905474.9857294112</v>
      </c>
      <c r="AE34" s="949">
        <f t="shared" ref="AE34:AE43" si="7">(AB34-AC34)/AC34</f>
        <v>-1.4706235222504757E-2</v>
      </c>
      <c r="AF34" s="949">
        <f>ABS(AE34)</f>
        <v>1.4706235222504757E-2</v>
      </c>
      <c r="AH34" s="301"/>
      <c r="AI34" s="302"/>
      <c r="AJ34" s="302"/>
      <c r="AK34" s="303"/>
      <c r="AL34" s="303"/>
      <c r="AM34" s="303"/>
      <c r="AN34" s="303"/>
      <c r="AO34" s="303"/>
      <c r="AP34" s="303"/>
      <c r="AQ34" s="304"/>
      <c r="AR34" s="88"/>
      <c r="AS34" s="88"/>
    </row>
    <row r="35" spans="2:45" ht="14.25">
      <c r="B35" s="100">
        <f t="shared" si="6"/>
        <v>39263</v>
      </c>
      <c r="C35" s="108">
        <v>9265780</v>
      </c>
      <c r="D35" s="111"/>
      <c r="E35" s="123"/>
      <c r="F35" s="111"/>
      <c r="G35" s="112"/>
      <c r="H35" s="110">
        <f t="shared" si="0"/>
        <v>9265780</v>
      </c>
      <c r="I35" s="369"/>
      <c r="J35" s="214">
        <f>'HDD &amp; CDD'!N11</f>
        <v>34.200000000000003</v>
      </c>
      <c r="K35" s="214">
        <f>'HDD &amp; CDD'!N29</f>
        <v>66.900000000000006</v>
      </c>
      <c r="L35" s="485">
        <f t="shared" si="4"/>
        <v>30</v>
      </c>
      <c r="M35" s="214">
        <v>0</v>
      </c>
      <c r="N35" s="485">
        <f>[22]Sheet1!C33</f>
        <v>0</v>
      </c>
      <c r="O35" s="164">
        <f>'CDM Activity'!C83</f>
        <v>47253.467089810198</v>
      </c>
      <c r="P35" s="105"/>
      <c r="Q35" s="105"/>
      <c r="R35" s="105"/>
      <c r="S35" s="106"/>
      <c r="T35" s="88"/>
      <c r="U35" s="104">
        <f t="shared" si="1"/>
        <v>9591497.1894035209</v>
      </c>
      <c r="V35" s="272">
        <f t="shared" si="2"/>
        <v>325717.1894035209</v>
      </c>
      <c r="W35" s="273">
        <f t="shared" si="3"/>
        <v>3.5152700517767622E-2</v>
      </c>
      <c r="X35" s="273">
        <f t="shared" si="5"/>
        <v>3.5152700517767622E-2</v>
      </c>
      <c r="Y35" s="222"/>
      <c r="Z35" s="375"/>
      <c r="AA35" s="946">
        <v>2006</v>
      </c>
      <c r="AB35" s="947">
        <f>SUM(U18:U29)</f>
        <v>123416799.71901694</v>
      </c>
      <c r="AC35" s="947">
        <f>SUM(H18:H29)</f>
        <v>125693570</v>
      </c>
      <c r="AD35" s="948">
        <f t="shared" ref="AD35:AD43" si="8">AB35-AC35</f>
        <v>-2276770.2809830606</v>
      </c>
      <c r="AE35" s="949">
        <f t="shared" si="7"/>
        <v>-1.8113657532227469E-2</v>
      </c>
      <c r="AF35" s="949">
        <f t="shared" ref="AF35:AF43" si="9">ABS(AE35)</f>
        <v>1.8113657532227469E-2</v>
      </c>
      <c r="AH35" s="305" t="s">
        <v>137</v>
      </c>
      <c r="AI35" s="303" t="s">
        <v>138</v>
      </c>
      <c r="AJ35" s="306">
        <f>AB9</f>
        <v>0.95693229205719876</v>
      </c>
      <c r="AK35" s="302"/>
      <c r="AL35" s="303" t="s">
        <v>139</v>
      </c>
      <c r="AM35" s="302"/>
      <c r="AN35" s="302"/>
      <c r="AO35" s="303" t="s">
        <v>140</v>
      </c>
      <c r="AP35" s="302"/>
      <c r="AQ35" s="304" t="s">
        <v>141</v>
      </c>
      <c r="AR35" s="88"/>
      <c r="AS35" s="88"/>
    </row>
    <row r="36" spans="2:45">
      <c r="B36" s="100">
        <f t="shared" si="6"/>
        <v>39294</v>
      </c>
      <c r="C36" s="108">
        <v>9662330</v>
      </c>
      <c r="D36" s="111"/>
      <c r="E36" s="123"/>
      <c r="F36" s="111"/>
      <c r="G36" s="112"/>
      <c r="H36" s="110">
        <f t="shared" si="0"/>
        <v>9662330</v>
      </c>
      <c r="I36" s="369"/>
      <c r="J36" s="214">
        <f>'HDD &amp; CDD'!N12</f>
        <v>11.799999999999999</v>
      </c>
      <c r="K36" s="214">
        <f>'HDD &amp; CDD'!N30</f>
        <v>65.100000000000009</v>
      </c>
      <c r="L36" s="485">
        <f t="shared" si="4"/>
        <v>31</v>
      </c>
      <c r="M36" s="214">
        <v>0</v>
      </c>
      <c r="N36" s="485">
        <f>[22]Sheet1!C34</f>
        <v>1</v>
      </c>
      <c r="O36" s="164">
        <f>'CDM Activity'!C84</f>
        <v>49801.446285896251</v>
      </c>
      <c r="P36" s="105"/>
      <c r="Q36" s="105"/>
      <c r="R36" s="105"/>
      <c r="S36" s="106"/>
      <c r="T36" s="88"/>
      <c r="U36" s="104">
        <f t="shared" si="1"/>
        <v>9580698.6096608434</v>
      </c>
      <c r="V36" s="272">
        <f t="shared" si="2"/>
        <v>-81631.390339156613</v>
      </c>
      <c r="W36" s="273">
        <f t="shared" si="3"/>
        <v>-8.4484167213453292E-3</v>
      </c>
      <c r="X36" s="273">
        <f t="shared" si="5"/>
        <v>8.4484167213453292E-3</v>
      </c>
      <c r="Y36" s="222"/>
      <c r="Z36" s="375"/>
      <c r="AA36" s="946">
        <v>2007</v>
      </c>
      <c r="AB36" s="947">
        <f>SUM(U30:U41)</f>
        <v>124100986.80243881</v>
      </c>
      <c r="AC36" s="947">
        <f>SUM(H30:H41)</f>
        <v>125561560</v>
      </c>
      <c r="AD36" s="948">
        <f t="shared" si="8"/>
        <v>-1460573.1975611895</v>
      </c>
      <c r="AE36" s="949">
        <f t="shared" si="7"/>
        <v>-1.1632327581476285E-2</v>
      </c>
      <c r="AF36" s="949">
        <f t="shared" si="9"/>
        <v>1.1632327581476285E-2</v>
      </c>
      <c r="AH36" s="305"/>
      <c r="AI36" s="303"/>
      <c r="AJ36" s="303"/>
      <c r="AK36" s="302"/>
      <c r="AL36" s="303"/>
      <c r="AM36" s="302"/>
      <c r="AN36" s="302"/>
      <c r="AO36" s="302"/>
      <c r="AP36" s="303"/>
      <c r="AQ36" s="304"/>
      <c r="AR36" s="88"/>
      <c r="AS36" s="88"/>
    </row>
    <row r="37" spans="2:45" ht="14.25" customHeight="1">
      <c r="B37" s="100">
        <f t="shared" si="6"/>
        <v>39325</v>
      </c>
      <c r="C37" s="108">
        <v>9982760</v>
      </c>
      <c r="D37" s="111"/>
      <c r="E37" s="123"/>
      <c r="F37" s="111"/>
      <c r="G37" s="112"/>
      <c r="H37" s="110">
        <f t="shared" si="0"/>
        <v>9982760</v>
      </c>
      <c r="I37" s="369"/>
      <c r="J37" s="214">
        <f>'HDD &amp; CDD'!N13</f>
        <v>20.100000000000001</v>
      </c>
      <c r="K37" s="214">
        <f>'HDD &amp; CDD'!N31</f>
        <v>79.300000000000026</v>
      </c>
      <c r="L37" s="485">
        <f t="shared" si="4"/>
        <v>31</v>
      </c>
      <c r="M37" s="214">
        <v>0</v>
      </c>
      <c r="N37" s="485">
        <f>[22]Sheet1!C35</f>
        <v>1</v>
      </c>
      <c r="O37" s="164">
        <f>'CDM Activity'!C85</f>
        <v>52349.425481982304</v>
      </c>
      <c r="P37" s="105"/>
      <c r="Q37" s="105"/>
      <c r="R37" s="105"/>
      <c r="S37" s="106"/>
      <c r="T37" s="88"/>
      <c r="U37" s="104">
        <f t="shared" si="1"/>
        <v>9815879.2324782405</v>
      </c>
      <c r="V37" s="272">
        <f t="shared" si="2"/>
        <v>-166880.7675217595</v>
      </c>
      <c r="W37" s="273">
        <f t="shared" si="3"/>
        <v>-1.6716896682055813E-2</v>
      </c>
      <c r="X37" s="273">
        <f t="shared" si="5"/>
        <v>1.6716896682055813E-2</v>
      </c>
      <c r="Y37" s="222"/>
      <c r="Z37" s="375"/>
      <c r="AA37" s="946">
        <v>2008</v>
      </c>
      <c r="AB37" s="947">
        <f>SUM(U42:U53)</f>
        <v>122884718.83751048</v>
      </c>
      <c r="AC37" s="947">
        <f>SUM(H42:H53)</f>
        <v>121334640</v>
      </c>
      <c r="AD37" s="948">
        <f t="shared" si="8"/>
        <v>1550078.8375104815</v>
      </c>
      <c r="AE37" s="949">
        <f t="shared" si="7"/>
        <v>1.2775237454946761E-2</v>
      </c>
      <c r="AF37" s="949">
        <f t="shared" si="9"/>
        <v>1.2775237454946761E-2</v>
      </c>
      <c r="AH37" s="305" t="s">
        <v>142</v>
      </c>
      <c r="AI37" s="303" t="s">
        <v>143</v>
      </c>
      <c r="AJ37" s="307">
        <f>AB11</f>
        <v>273693.36712500837</v>
      </c>
      <c r="AK37" s="302"/>
      <c r="AL37" s="220"/>
      <c r="AM37" s="302"/>
      <c r="AN37" s="302"/>
      <c r="AO37" s="302"/>
      <c r="AP37" s="303"/>
      <c r="AQ37" s="304"/>
      <c r="AR37" s="88"/>
      <c r="AS37" s="88"/>
    </row>
    <row r="38" spans="2:45">
      <c r="B38" s="100">
        <f t="shared" si="6"/>
        <v>39355</v>
      </c>
      <c r="C38" s="108">
        <v>9063690</v>
      </c>
      <c r="D38" s="111"/>
      <c r="E38" s="123"/>
      <c r="F38" s="111"/>
      <c r="G38" s="112"/>
      <c r="H38" s="110">
        <f t="shared" ref="H38:H69" si="10">SUM(C38:G38)</f>
        <v>9063690</v>
      </c>
      <c r="I38" s="369"/>
      <c r="J38" s="214">
        <f>'HDD &amp; CDD'!N14</f>
        <v>75.999999999999986</v>
      </c>
      <c r="K38" s="214">
        <f>'HDD &amp; CDD'!N32</f>
        <v>25.7</v>
      </c>
      <c r="L38" s="485">
        <f t="shared" si="4"/>
        <v>30</v>
      </c>
      <c r="M38" s="214">
        <v>1</v>
      </c>
      <c r="N38" s="485">
        <f>[22]Sheet1!C36</f>
        <v>1</v>
      </c>
      <c r="O38" s="164">
        <f>'CDM Activity'!C86</f>
        <v>54897.404678068357</v>
      </c>
      <c r="P38" s="105"/>
      <c r="Q38" s="105"/>
      <c r="R38" s="105"/>
      <c r="S38" s="106"/>
      <c r="T38" s="88"/>
      <c r="U38" s="104">
        <f t="shared" ref="U38:U69" si="11">$AB$21+J38*$AB$22+K38*$AB$23+L38*$AB$24+M38*$AB$25+N38*$AB$26+O38*$AB$27</f>
        <v>8717985.9447507542</v>
      </c>
      <c r="V38" s="272">
        <f t="shared" ref="V38:V69" si="12">U38-H38</f>
        <v>-345704.05524924584</v>
      </c>
      <c r="W38" s="273">
        <f t="shared" ref="W38:W69" si="13">V38/H38</f>
        <v>-3.8141645979644694E-2</v>
      </c>
      <c r="X38" s="273">
        <f t="shared" si="5"/>
        <v>3.8141645979644694E-2</v>
      </c>
      <c r="Y38" s="222"/>
      <c r="Z38" s="375"/>
      <c r="AA38" s="946">
        <v>2009</v>
      </c>
      <c r="AB38" s="947">
        <f>SUM(U54:U65)</f>
        <v>120857158.06058918</v>
      </c>
      <c r="AC38" s="947">
        <f>SUM(H54:H65)</f>
        <v>118414830</v>
      </c>
      <c r="AD38" s="948">
        <f t="shared" si="8"/>
        <v>2442328.0605891794</v>
      </c>
      <c r="AE38" s="949">
        <f t="shared" si="7"/>
        <v>2.0625187407600717E-2</v>
      </c>
      <c r="AF38" s="949">
        <f t="shared" si="9"/>
        <v>2.0625187407600717E-2</v>
      </c>
      <c r="AH38" s="305"/>
      <c r="AI38" s="303" t="s">
        <v>290</v>
      </c>
      <c r="AJ38" s="308">
        <f>AJ37/AVERAGE(H124)</f>
        <v>2.8513667162638874E-2</v>
      </c>
      <c r="AK38" s="302"/>
      <c r="AL38" s="220" t="s">
        <v>144</v>
      </c>
      <c r="AM38" s="302"/>
      <c r="AN38" s="302"/>
      <c r="AO38" s="303" t="s">
        <v>145</v>
      </c>
      <c r="AP38" s="302"/>
      <c r="AQ38" s="304" t="s">
        <v>141</v>
      </c>
      <c r="AR38" s="88"/>
      <c r="AS38" s="88"/>
    </row>
    <row r="39" spans="2:45">
      <c r="B39" s="100">
        <f t="shared" si="6"/>
        <v>39386</v>
      </c>
      <c r="C39" s="108">
        <v>9402850</v>
      </c>
      <c r="D39" s="111"/>
      <c r="E39" s="123"/>
      <c r="F39" s="111"/>
      <c r="G39" s="112"/>
      <c r="H39" s="110">
        <f t="shared" si="10"/>
        <v>9402850</v>
      </c>
      <c r="I39" s="369"/>
      <c r="J39" s="214">
        <f>'HDD &amp; CDD'!N15</f>
        <v>227.49999999999997</v>
      </c>
      <c r="K39" s="214">
        <f>'HDD &amp; CDD'!N33</f>
        <v>1.9</v>
      </c>
      <c r="L39" s="485">
        <f t="shared" si="4"/>
        <v>31</v>
      </c>
      <c r="M39" s="214">
        <v>1</v>
      </c>
      <c r="N39" s="485">
        <f>[22]Sheet1!C37</f>
        <v>1</v>
      </c>
      <c r="O39" s="164">
        <f>'CDM Activity'!C87</f>
        <v>57445.38387415441</v>
      </c>
      <c r="P39" s="105"/>
      <c r="Q39" s="105"/>
      <c r="R39" s="105"/>
      <c r="S39" s="106"/>
      <c r="T39" s="88"/>
      <c r="U39" s="104">
        <f t="shared" si="11"/>
        <v>9314619.4196236394</v>
      </c>
      <c r="V39" s="272">
        <f t="shared" si="12"/>
        <v>-88230.580376360565</v>
      </c>
      <c r="W39" s="273">
        <f t="shared" si="13"/>
        <v>-9.3833869918546579E-3</v>
      </c>
      <c r="X39" s="273">
        <f t="shared" si="5"/>
        <v>9.3833869918546579E-3</v>
      </c>
      <c r="Y39" s="222"/>
      <c r="Z39" s="375"/>
      <c r="AA39" s="946">
        <v>2010</v>
      </c>
      <c r="AB39" s="947">
        <f>SUM(U66:U77)</f>
        <v>119385970.8482376</v>
      </c>
      <c r="AC39" s="947">
        <f>SUM(H66:H77)</f>
        <v>116592701</v>
      </c>
      <c r="AD39" s="948">
        <f t="shared" si="8"/>
        <v>2793269.8482376039</v>
      </c>
      <c r="AE39" s="949">
        <f t="shared" si="7"/>
        <v>2.3957501835707572E-2</v>
      </c>
      <c r="AF39" s="949">
        <f t="shared" si="9"/>
        <v>2.3957501835707572E-2</v>
      </c>
      <c r="AH39" s="305"/>
      <c r="AI39" s="302"/>
      <c r="AJ39" s="302"/>
      <c r="AK39" s="302"/>
      <c r="AL39" s="303"/>
      <c r="AM39" s="303"/>
      <c r="AN39" s="302"/>
      <c r="AO39" s="302"/>
      <c r="AP39" s="303"/>
      <c r="AQ39" s="304"/>
      <c r="AR39" s="88"/>
      <c r="AS39" s="88"/>
    </row>
    <row r="40" spans="2:45" ht="13.5" customHeight="1">
      <c r="B40" s="100">
        <f t="shared" si="6"/>
        <v>39416</v>
      </c>
      <c r="C40" s="108">
        <v>10423660</v>
      </c>
      <c r="D40" s="111"/>
      <c r="E40" s="123"/>
      <c r="F40" s="111"/>
      <c r="G40" s="112"/>
      <c r="H40" s="110">
        <f t="shared" si="10"/>
        <v>10423660</v>
      </c>
      <c r="I40" s="369"/>
      <c r="J40" s="214">
        <f>'HDD &amp; CDD'!N16</f>
        <v>517</v>
      </c>
      <c r="K40" s="214">
        <f>'HDD &amp; CDD'!N34</f>
        <v>0</v>
      </c>
      <c r="L40" s="485">
        <f t="shared" si="4"/>
        <v>30</v>
      </c>
      <c r="M40" s="214">
        <v>1</v>
      </c>
      <c r="N40" s="485">
        <f>[22]Sheet1!C38</f>
        <v>0</v>
      </c>
      <c r="O40" s="164">
        <f>'CDM Activity'!C88</f>
        <v>59993.363070240463</v>
      </c>
      <c r="P40" s="105"/>
      <c r="Q40" s="105"/>
      <c r="R40" s="105"/>
      <c r="S40" s="106"/>
      <c r="T40" s="88"/>
      <c r="U40" s="104">
        <f t="shared" si="11"/>
        <v>10504908.469096567</v>
      </c>
      <c r="V40" s="272">
        <f t="shared" si="12"/>
        <v>81248.469096567482</v>
      </c>
      <c r="W40" s="273">
        <f t="shared" si="13"/>
        <v>7.7946200371623291E-3</v>
      </c>
      <c r="X40" s="273">
        <f t="shared" si="5"/>
        <v>7.7946200371623291E-3</v>
      </c>
      <c r="Y40" s="222"/>
      <c r="Z40" s="375"/>
      <c r="AA40" s="946">
        <v>2011</v>
      </c>
      <c r="AB40" s="947">
        <f>SUM(U78:U89)</f>
        <v>118776585.22206892</v>
      </c>
      <c r="AC40" s="947">
        <f>SUM(H78:H89)</f>
        <v>118002442</v>
      </c>
      <c r="AD40" s="948">
        <f t="shared" si="8"/>
        <v>774143.22206892073</v>
      </c>
      <c r="AE40" s="949">
        <f t="shared" si="7"/>
        <v>6.5604000133227813E-3</v>
      </c>
      <c r="AF40" s="949">
        <f t="shared" si="9"/>
        <v>6.5604000133227813E-3</v>
      </c>
      <c r="AH40" s="305" t="s">
        <v>146</v>
      </c>
      <c r="AI40" s="303" t="s">
        <v>28</v>
      </c>
      <c r="AJ40" s="303">
        <f>AE16</f>
        <v>462.90110085114458</v>
      </c>
      <c r="AK40" s="302"/>
      <c r="AL40" s="303" t="s">
        <v>147</v>
      </c>
      <c r="AM40" s="303"/>
      <c r="AN40" s="302"/>
      <c r="AO40" s="302" t="s">
        <v>140</v>
      </c>
      <c r="AP40" s="303"/>
      <c r="AQ40" s="304" t="s">
        <v>141</v>
      </c>
      <c r="AR40" s="88"/>
      <c r="AS40" s="88"/>
    </row>
    <row r="41" spans="2:45">
      <c r="B41" s="217">
        <f t="shared" si="6"/>
        <v>39447</v>
      </c>
      <c r="C41" s="124">
        <v>12253260</v>
      </c>
      <c r="D41" s="125"/>
      <c r="E41" s="125"/>
      <c r="F41" s="125"/>
      <c r="G41" s="126"/>
      <c r="H41" s="117">
        <f t="shared" si="10"/>
        <v>12253260</v>
      </c>
      <c r="I41" s="370"/>
      <c r="J41" s="165">
        <f>'HDD &amp; CDD'!N17</f>
        <v>787.69999999999982</v>
      </c>
      <c r="K41" s="165">
        <f>'HDD &amp; CDD'!N35</f>
        <v>0</v>
      </c>
      <c r="L41" s="486">
        <f t="shared" si="4"/>
        <v>31</v>
      </c>
      <c r="M41" s="165">
        <v>0</v>
      </c>
      <c r="N41" s="486">
        <f>[22]Sheet1!C39</f>
        <v>2</v>
      </c>
      <c r="O41" s="167">
        <f>'CDM Activity'!C89</f>
        <v>62541.342266326516</v>
      </c>
      <c r="P41" s="118"/>
      <c r="Q41" s="118"/>
      <c r="R41" s="118"/>
      <c r="S41" s="119"/>
      <c r="T41" s="120"/>
      <c r="U41" s="121">
        <f t="shared" si="11"/>
        <v>12121883.276876023</v>
      </c>
      <c r="V41" s="284">
        <f t="shared" si="12"/>
        <v>-131376.72312397696</v>
      </c>
      <c r="W41" s="274">
        <f t="shared" si="13"/>
        <v>-1.0721777153506655E-2</v>
      </c>
      <c r="X41" s="274">
        <f t="shared" si="5"/>
        <v>1.0721777153506655E-2</v>
      </c>
      <c r="Y41" s="222"/>
      <c r="Z41" s="375"/>
      <c r="AA41" s="946">
        <v>2012</v>
      </c>
      <c r="AB41" s="947">
        <f>SUM(U90:U101)</f>
        <v>117143871.27482355</v>
      </c>
      <c r="AC41" s="947">
        <f>SUM(H90:H101)</f>
        <v>115281047</v>
      </c>
      <c r="AD41" s="948">
        <f t="shared" si="8"/>
        <v>1862824.2748235464</v>
      </c>
      <c r="AE41" s="949">
        <f t="shared" si="7"/>
        <v>1.6158981231524958E-2</v>
      </c>
      <c r="AF41" s="949">
        <f t="shared" si="9"/>
        <v>1.6158981231524958E-2</v>
      </c>
      <c r="AH41" s="305"/>
      <c r="AI41" s="303"/>
      <c r="AJ41" s="303"/>
      <c r="AK41" s="303"/>
      <c r="AL41" s="303" t="s">
        <v>148</v>
      </c>
      <c r="AM41" s="303"/>
      <c r="AN41" s="303"/>
      <c r="AO41" s="303"/>
      <c r="AP41" s="303"/>
      <c r="AQ41" s="304"/>
      <c r="AR41" s="88"/>
      <c r="AS41" s="88"/>
    </row>
    <row r="42" spans="2:45">
      <c r="B42" s="100">
        <f t="shared" si="6"/>
        <v>39478</v>
      </c>
      <c r="C42" s="108">
        <v>12288190</v>
      </c>
      <c r="D42" s="111"/>
      <c r="E42" s="123"/>
      <c r="F42" s="111"/>
      <c r="G42" s="112"/>
      <c r="H42" s="110">
        <f t="shared" si="10"/>
        <v>12288190</v>
      </c>
      <c r="I42" s="369"/>
      <c r="J42" s="214">
        <f>'HDD &amp; CDD'!O6</f>
        <v>754.20000000000016</v>
      </c>
      <c r="K42" s="214">
        <f>'HDD &amp; CDD'!O24</f>
        <v>0</v>
      </c>
      <c r="L42" s="485">
        <f t="shared" si="4"/>
        <v>31</v>
      </c>
      <c r="M42" s="214">
        <v>0</v>
      </c>
      <c r="N42" s="485">
        <f>[22]Sheet1!C40</f>
        <v>1</v>
      </c>
      <c r="O42" s="164">
        <f>'CDM Activity'!C90</f>
        <v>64386.233004899106</v>
      </c>
      <c r="P42" s="105"/>
      <c r="Q42" s="105"/>
      <c r="R42" s="105"/>
      <c r="S42" s="106"/>
      <c r="T42" s="88"/>
      <c r="U42" s="104">
        <f t="shared" si="11"/>
        <v>12071174.615474379</v>
      </c>
      <c r="V42" s="272">
        <f t="shared" si="12"/>
        <v>-217015.38452562131</v>
      </c>
      <c r="W42" s="273">
        <f t="shared" si="13"/>
        <v>-1.7660484133596673E-2</v>
      </c>
      <c r="X42" s="273">
        <f t="shared" si="5"/>
        <v>1.7660484133596673E-2</v>
      </c>
      <c r="Y42" s="222"/>
      <c r="Z42" s="375"/>
      <c r="AA42" s="946">
        <v>2013</v>
      </c>
      <c r="AB42" s="947">
        <f>SUM(U102:U113)</f>
        <v>115983388.59136477</v>
      </c>
      <c r="AC42" s="947">
        <f>SUM(H102:H113)</f>
        <v>116595466</v>
      </c>
      <c r="AD42" s="948">
        <f t="shared" si="8"/>
        <v>-612077.40863522887</v>
      </c>
      <c r="AE42" s="949">
        <f t="shared" si="7"/>
        <v>-5.249581562933407E-3</v>
      </c>
      <c r="AF42" s="949">
        <f t="shared" si="9"/>
        <v>5.249581562933407E-3</v>
      </c>
      <c r="AH42" s="305"/>
      <c r="AI42" s="303"/>
      <c r="AJ42" s="303"/>
      <c r="AK42" s="303"/>
      <c r="AL42" s="303"/>
      <c r="AM42" s="303"/>
      <c r="AN42" s="303"/>
      <c r="AO42" s="303"/>
      <c r="AP42" s="303"/>
      <c r="AQ42" s="304"/>
      <c r="AR42" s="88"/>
      <c r="AS42" s="88"/>
    </row>
    <row r="43" spans="2:45" ht="15.75">
      <c r="B43" s="100">
        <f t="shared" si="6"/>
        <v>39507</v>
      </c>
      <c r="C43" s="108">
        <v>11701800</v>
      </c>
      <c r="D43" s="111"/>
      <c r="E43" s="123"/>
      <c r="F43" s="111"/>
      <c r="G43" s="112"/>
      <c r="H43" s="110">
        <f t="shared" si="10"/>
        <v>11701800</v>
      </c>
      <c r="I43" s="369"/>
      <c r="J43" s="214">
        <f>'HDD &amp; CDD'!O7</f>
        <v>774.30000000000007</v>
      </c>
      <c r="K43" s="214">
        <f>'HDD &amp; CDD'!O25</f>
        <v>0</v>
      </c>
      <c r="L43" s="485">
        <f t="shared" si="4"/>
        <v>29</v>
      </c>
      <c r="M43" s="214">
        <v>0</v>
      </c>
      <c r="N43" s="485">
        <f>[22]Sheet1!C41</f>
        <v>1</v>
      </c>
      <c r="O43" s="164">
        <f>'CDM Activity'!C91</f>
        <v>66231.12374347169</v>
      </c>
      <c r="P43" s="105"/>
      <c r="Q43" s="105"/>
      <c r="R43" s="105"/>
      <c r="S43" s="106"/>
      <c r="T43" s="88"/>
      <c r="U43" s="104">
        <f t="shared" si="11"/>
        <v>11683553.018205589</v>
      </c>
      <c r="V43" s="272">
        <f t="shared" si="12"/>
        <v>-18246.981794411317</v>
      </c>
      <c r="W43" s="273">
        <f t="shared" si="13"/>
        <v>-1.5593311964322853E-3</v>
      </c>
      <c r="X43" s="273">
        <f t="shared" si="5"/>
        <v>1.5593311964322853E-3</v>
      </c>
      <c r="Y43" s="222"/>
      <c r="Z43" s="375"/>
      <c r="AA43" s="946">
        <v>2014</v>
      </c>
      <c r="AB43" s="947">
        <f>SUM(U114:U125)</f>
        <v>114127521.26980457</v>
      </c>
      <c r="AC43" s="947">
        <f>SUM(H114:H125)</f>
        <v>115948548</v>
      </c>
      <c r="AD43" s="948">
        <f t="shared" si="8"/>
        <v>-1821026.7301954329</v>
      </c>
      <c r="AE43" s="949">
        <f t="shared" si="7"/>
        <v>-1.5705472484186977E-2</v>
      </c>
      <c r="AF43" s="949">
        <f t="shared" si="9"/>
        <v>1.5705472484186977E-2</v>
      </c>
      <c r="AH43" s="309" t="s">
        <v>149</v>
      </c>
      <c r="AI43" s="310"/>
      <c r="AJ43" s="310"/>
      <c r="AK43" s="310" t="s">
        <v>150</v>
      </c>
      <c r="AL43" s="310"/>
      <c r="AM43" s="310"/>
      <c r="AN43" s="310"/>
      <c r="AO43" s="310"/>
      <c r="AP43" s="310" t="s">
        <v>151</v>
      </c>
      <c r="AQ43" s="311"/>
      <c r="AR43" s="88"/>
      <c r="AS43" s="88"/>
    </row>
    <row r="44" spans="2:45">
      <c r="B44" s="100">
        <f t="shared" si="6"/>
        <v>39538</v>
      </c>
      <c r="C44" s="108">
        <v>11663590</v>
      </c>
      <c r="D44" s="111"/>
      <c r="E44" s="123"/>
      <c r="F44" s="111"/>
      <c r="G44" s="112"/>
      <c r="H44" s="110">
        <f t="shared" si="10"/>
        <v>11663590</v>
      </c>
      <c r="I44" s="369"/>
      <c r="J44" s="214">
        <f>'HDD &amp; CDD'!O8</f>
        <v>721.1</v>
      </c>
      <c r="K44" s="214">
        <f>'HDD &amp; CDD'!O26</f>
        <v>0</v>
      </c>
      <c r="L44" s="485">
        <f t="shared" si="4"/>
        <v>31</v>
      </c>
      <c r="M44" s="214">
        <v>1</v>
      </c>
      <c r="N44" s="485">
        <f>[22]Sheet1!C42</f>
        <v>2</v>
      </c>
      <c r="O44" s="164">
        <f>'CDM Activity'!C92</f>
        <v>68076.01448204428</v>
      </c>
      <c r="P44" s="105"/>
      <c r="Q44" s="105"/>
      <c r="R44" s="105"/>
      <c r="S44" s="106"/>
      <c r="T44" s="88"/>
      <c r="U44" s="104">
        <f t="shared" si="11"/>
        <v>11450598.713698111</v>
      </c>
      <c r="V44" s="272">
        <f t="shared" si="12"/>
        <v>-212991.28630188853</v>
      </c>
      <c r="W44" s="273">
        <f t="shared" si="13"/>
        <v>-1.8261211711135983E-2</v>
      </c>
      <c r="X44" s="273">
        <f t="shared" si="5"/>
        <v>1.8261211711135983E-2</v>
      </c>
      <c r="Y44" s="222"/>
      <c r="Z44" s="375"/>
      <c r="AA44" s="946">
        <v>2015</v>
      </c>
      <c r="AB44" s="947">
        <f>SUM(U126:U137)</f>
        <v>111338056.3098745</v>
      </c>
      <c r="AC44" s="947">
        <f>SUM(H126:H137)</f>
        <v>112684777.95</v>
      </c>
      <c r="AD44" s="948">
        <f>AB44-AC44</f>
        <v>-1346721.6401254982</v>
      </c>
      <c r="AE44" s="949">
        <f>(AB44-AC44)/AC44</f>
        <v>-1.1951229479487102E-2</v>
      </c>
      <c r="AF44" s="949">
        <f>ABS(AE44)</f>
        <v>1.1951229479487102E-2</v>
      </c>
      <c r="AH44" s="492"/>
      <c r="AI44" s="303"/>
      <c r="AJ44" s="303"/>
      <c r="AK44" s="303"/>
      <c r="AL44" s="303"/>
      <c r="AM44" s="303"/>
      <c r="AN44" s="303"/>
      <c r="AO44" s="303"/>
      <c r="AP44" s="303"/>
      <c r="AQ44" s="303"/>
      <c r="AR44" s="88"/>
      <c r="AS44" s="88"/>
    </row>
    <row r="45" spans="2:45">
      <c r="B45" s="100">
        <f t="shared" si="6"/>
        <v>39568</v>
      </c>
      <c r="C45" s="108">
        <v>9464610</v>
      </c>
      <c r="D45" s="111"/>
      <c r="E45" s="123"/>
      <c r="F45" s="111"/>
      <c r="G45" s="112"/>
      <c r="H45" s="110">
        <f t="shared" si="10"/>
        <v>9464610</v>
      </c>
      <c r="I45" s="369"/>
      <c r="J45" s="214">
        <f>'HDD &amp; CDD'!O9</f>
        <v>299.60000000000008</v>
      </c>
      <c r="K45" s="214">
        <f>'HDD &amp; CDD'!O27</f>
        <v>0</v>
      </c>
      <c r="L45" s="485">
        <f t="shared" si="4"/>
        <v>30</v>
      </c>
      <c r="M45" s="214">
        <v>1</v>
      </c>
      <c r="N45" s="485">
        <f>[22]Sheet1!C43</f>
        <v>0</v>
      </c>
      <c r="O45" s="164">
        <f>'CDM Activity'!C93</f>
        <v>69920.905220616871</v>
      </c>
      <c r="P45" s="105"/>
      <c r="Q45" s="105"/>
      <c r="R45" s="105"/>
      <c r="S45" s="106"/>
      <c r="T45" s="88"/>
      <c r="U45" s="104">
        <f t="shared" si="11"/>
        <v>9460965.4263955429</v>
      </c>
      <c r="V45" s="272">
        <f t="shared" si="12"/>
        <v>-3644.5736044570804</v>
      </c>
      <c r="W45" s="273">
        <f t="shared" si="13"/>
        <v>-3.8507382812995783E-4</v>
      </c>
      <c r="X45" s="273">
        <f t="shared" si="5"/>
        <v>3.8507382812995783E-4</v>
      </c>
      <c r="Y45" s="222"/>
      <c r="Z45" s="375"/>
      <c r="AA45" s="946">
        <v>2016</v>
      </c>
      <c r="AB45" s="1158">
        <f>SUM(U138:U149)</f>
        <v>110860209.46704002</v>
      </c>
      <c r="AC45" s="947">
        <f>SUM(H138:H149)</f>
        <v>109734363.34999999</v>
      </c>
      <c r="AD45" s="948"/>
      <c r="AE45" s="949"/>
      <c r="AF45" s="949"/>
      <c r="AH45" s="492"/>
      <c r="AI45" s="303"/>
      <c r="AJ45" s="303"/>
      <c r="AK45" s="303"/>
      <c r="AL45" s="303"/>
      <c r="AM45" s="303"/>
      <c r="AN45" s="303"/>
      <c r="AO45" s="303"/>
      <c r="AP45" s="303"/>
      <c r="AQ45" s="303"/>
      <c r="AR45" s="88"/>
      <c r="AS45" s="88"/>
    </row>
    <row r="46" spans="2:45">
      <c r="B46" s="100">
        <f t="shared" si="6"/>
        <v>39599</v>
      </c>
      <c r="C46" s="108">
        <v>8709540</v>
      </c>
      <c r="D46" s="111"/>
      <c r="E46" s="123"/>
      <c r="F46" s="111"/>
      <c r="G46" s="112"/>
      <c r="H46" s="110">
        <f t="shared" si="10"/>
        <v>8709540</v>
      </c>
      <c r="I46" s="369"/>
      <c r="J46" s="214">
        <f>'HDD &amp; CDD'!O10</f>
        <v>185.40000000000003</v>
      </c>
      <c r="K46" s="214">
        <f>'HDD &amp; CDD'!O28</f>
        <v>0</v>
      </c>
      <c r="L46" s="485">
        <f t="shared" si="4"/>
        <v>31</v>
      </c>
      <c r="M46" s="214">
        <v>1</v>
      </c>
      <c r="N46" s="485">
        <f>[22]Sheet1!C44</f>
        <v>1</v>
      </c>
      <c r="O46" s="164">
        <f>'CDM Activity'!C94</f>
        <v>71765.795959189461</v>
      </c>
      <c r="P46" s="105"/>
      <c r="Q46" s="105"/>
      <c r="R46" s="105"/>
      <c r="S46" s="106"/>
      <c r="T46" s="88"/>
      <c r="U46" s="104">
        <f t="shared" si="11"/>
        <v>9049336.7068860978</v>
      </c>
      <c r="V46" s="272">
        <f t="shared" si="12"/>
        <v>339796.70688609779</v>
      </c>
      <c r="W46" s="273">
        <f t="shared" si="13"/>
        <v>3.9014311534948776E-2</v>
      </c>
      <c r="X46" s="273">
        <f t="shared" si="5"/>
        <v>3.9014311534948776E-2</v>
      </c>
      <c r="Y46" s="222"/>
      <c r="Z46" s="375"/>
      <c r="AA46" s="946" t="s">
        <v>548</v>
      </c>
      <c r="AB46" s="951">
        <f>SUM(U150:U161)</f>
        <v>111387474.08147961</v>
      </c>
      <c r="AC46" s="947"/>
      <c r="AD46" s="948"/>
      <c r="AE46" s="949"/>
      <c r="AF46" s="949"/>
      <c r="AH46" s="492"/>
      <c r="AI46" s="303"/>
      <c r="AJ46" s="303"/>
      <c r="AK46" s="303"/>
      <c r="AL46" s="303"/>
      <c r="AM46" s="303"/>
      <c r="AN46" s="303"/>
      <c r="AO46" s="303"/>
      <c r="AP46" s="303"/>
      <c r="AQ46" s="303"/>
      <c r="AR46" s="88"/>
      <c r="AS46" s="88"/>
    </row>
    <row r="47" spans="2:45">
      <c r="B47" s="100">
        <f t="shared" si="6"/>
        <v>39629</v>
      </c>
      <c r="C47" s="108">
        <v>9032720</v>
      </c>
      <c r="D47" s="111"/>
      <c r="E47" s="123"/>
      <c r="F47" s="111"/>
      <c r="G47" s="112"/>
      <c r="H47" s="110">
        <f t="shared" si="10"/>
        <v>9032720</v>
      </c>
      <c r="I47" s="369"/>
      <c r="J47" s="214">
        <f>'HDD &amp; CDD'!O11</f>
        <v>22.400000000000002</v>
      </c>
      <c r="K47" s="214">
        <f>'HDD &amp; CDD'!O29</f>
        <v>60.5</v>
      </c>
      <c r="L47" s="485">
        <f t="shared" si="4"/>
        <v>30</v>
      </c>
      <c r="M47" s="214">
        <v>0</v>
      </c>
      <c r="N47" s="485">
        <f>[22]Sheet1!C45</f>
        <v>0</v>
      </c>
      <c r="O47" s="164">
        <f>'CDM Activity'!C95</f>
        <v>73610.686697762052</v>
      </c>
      <c r="P47" s="105"/>
      <c r="Q47" s="105"/>
      <c r="R47" s="105"/>
      <c r="S47" s="106"/>
      <c r="T47" s="88"/>
      <c r="U47" s="104">
        <f t="shared" si="11"/>
        <v>9368322.1370835882</v>
      </c>
      <c r="V47" s="272">
        <f t="shared" si="12"/>
        <v>335602.13708358817</v>
      </c>
      <c r="W47" s="273">
        <f t="shared" si="13"/>
        <v>3.7154050727088647E-2</v>
      </c>
      <c r="X47" s="273">
        <f t="shared" si="5"/>
        <v>3.7154050727088647E-2</v>
      </c>
      <c r="Y47" s="222"/>
      <c r="Z47" s="375"/>
      <c r="AA47" s="950" t="s">
        <v>550</v>
      </c>
      <c r="AB47" s="962">
        <f>AB46</f>
        <v>111387474.08147961</v>
      </c>
      <c r="AD47" s="612"/>
      <c r="AE47" s="613"/>
      <c r="AF47" s="614"/>
      <c r="AG47" s="88"/>
      <c r="AH47" s="88"/>
      <c r="AI47" s="88"/>
      <c r="AJ47" s="88"/>
      <c r="AK47" s="88"/>
      <c r="AL47" s="88"/>
      <c r="AM47" s="88"/>
      <c r="AN47" s="88"/>
      <c r="AO47" s="88"/>
      <c r="AP47" s="88"/>
      <c r="AQ47" s="88"/>
      <c r="AR47" s="88"/>
      <c r="AS47" s="88"/>
    </row>
    <row r="48" spans="2:45">
      <c r="B48" s="100">
        <f t="shared" si="6"/>
        <v>39660</v>
      </c>
      <c r="C48" s="108">
        <v>9681910</v>
      </c>
      <c r="D48" s="111"/>
      <c r="E48" s="123"/>
      <c r="F48" s="111"/>
      <c r="G48" s="112"/>
      <c r="H48" s="110">
        <f t="shared" si="10"/>
        <v>9681910</v>
      </c>
      <c r="I48" s="369"/>
      <c r="J48" s="214">
        <f>'HDD &amp; CDD'!O12</f>
        <v>0.3</v>
      </c>
      <c r="K48" s="214">
        <f>'HDD &amp; CDD'!O30</f>
        <v>78.899999999999991</v>
      </c>
      <c r="L48" s="485">
        <f t="shared" si="4"/>
        <v>31</v>
      </c>
      <c r="M48" s="214">
        <v>0</v>
      </c>
      <c r="N48" s="485">
        <f>[22]Sheet1!C46</f>
        <v>1</v>
      </c>
      <c r="O48" s="164">
        <f>'CDM Activity'!C96</f>
        <v>75455.577436334643</v>
      </c>
      <c r="P48" s="105"/>
      <c r="Q48" s="105"/>
      <c r="R48" s="105"/>
      <c r="S48" s="106"/>
      <c r="T48" s="88"/>
      <c r="U48" s="104">
        <f t="shared" si="11"/>
        <v>9650854.776006842</v>
      </c>
      <c r="V48" s="272">
        <f t="shared" si="12"/>
        <v>-31055.223993157968</v>
      </c>
      <c r="W48" s="273">
        <f t="shared" si="13"/>
        <v>-3.2075514018574812E-3</v>
      </c>
      <c r="X48" s="273">
        <f t="shared" si="5"/>
        <v>3.2075514018574812E-3</v>
      </c>
      <c r="Y48" s="222"/>
      <c r="Z48" s="375"/>
      <c r="AA48" s="952" t="s">
        <v>551</v>
      </c>
      <c r="AB48" s="947">
        <f>SUM(U167:U178)</f>
        <v>111589488.14488795</v>
      </c>
      <c r="AD48" s="1154"/>
      <c r="AE48" s="953"/>
      <c r="AF48" s="954"/>
    </row>
    <row r="49" spans="2:46">
      <c r="B49" s="100">
        <f t="shared" si="6"/>
        <v>39691</v>
      </c>
      <c r="C49" s="108">
        <v>9241240</v>
      </c>
      <c r="D49" s="111"/>
      <c r="E49" s="123"/>
      <c r="F49" s="111"/>
      <c r="G49" s="112"/>
      <c r="H49" s="110">
        <f t="shared" si="10"/>
        <v>9241240</v>
      </c>
      <c r="I49" s="369"/>
      <c r="J49" s="214">
        <f>'HDD &amp; CDD'!O13</f>
        <v>14.399999999999999</v>
      </c>
      <c r="K49" s="214">
        <f>'HDD &amp; CDD'!O31</f>
        <v>49.499999999999993</v>
      </c>
      <c r="L49" s="485">
        <f t="shared" si="4"/>
        <v>31</v>
      </c>
      <c r="M49" s="214">
        <v>0</v>
      </c>
      <c r="N49" s="485">
        <f>[22]Sheet1!C47</f>
        <v>1</v>
      </c>
      <c r="O49" s="164">
        <f>'CDM Activity'!C97</f>
        <v>77300.468174907233</v>
      </c>
      <c r="P49" s="105"/>
      <c r="Q49" s="105"/>
      <c r="R49" s="105"/>
      <c r="S49" s="106"/>
      <c r="T49" s="88"/>
      <c r="U49" s="104">
        <f t="shared" si="11"/>
        <v>9289435.7050025649</v>
      </c>
      <c r="V49" s="272">
        <f t="shared" si="12"/>
        <v>48195.705002564937</v>
      </c>
      <c r="W49" s="273">
        <f t="shared" si="13"/>
        <v>5.215285503088864E-3</v>
      </c>
      <c r="X49" s="273">
        <f t="shared" si="5"/>
        <v>5.215285503088864E-3</v>
      </c>
      <c r="Y49" s="222"/>
      <c r="Z49" s="375"/>
      <c r="AA49" s="609"/>
      <c r="AB49" s="610"/>
      <c r="AC49" s="610"/>
      <c r="AD49" s="494"/>
      <c r="AE49" s="611"/>
      <c r="AF49" s="611"/>
      <c r="AJ49" s="615"/>
      <c r="AK49" s="616"/>
    </row>
    <row r="50" spans="2:46">
      <c r="B50" s="100">
        <f t="shared" si="6"/>
        <v>39721</v>
      </c>
      <c r="C50" s="108">
        <v>8800520</v>
      </c>
      <c r="D50" s="111"/>
      <c r="E50" s="123"/>
      <c r="F50" s="111"/>
      <c r="G50" s="112"/>
      <c r="H50" s="110">
        <f t="shared" si="10"/>
        <v>8800520</v>
      </c>
      <c r="I50" s="369"/>
      <c r="J50" s="214">
        <f>'HDD &amp; CDD'!O14</f>
        <v>95.4</v>
      </c>
      <c r="K50" s="214">
        <f>'HDD &amp; CDD'!O32</f>
        <v>25</v>
      </c>
      <c r="L50" s="485">
        <f t="shared" si="4"/>
        <v>30</v>
      </c>
      <c r="M50" s="214">
        <v>1</v>
      </c>
      <c r="N50" s="485">
        <f>[22]Sheet1!C48</f>
        <v>1</v>
      </c>
      <c r="O50" s="164">
        <f>'CDM Activity'!C98</f>
        <v>79145.358913479824</v>
      </c>
      <c r="P50" s="105"/>
      <c r="Q50" s="105"/>
      <c r="R50" s="105"/>
      <c r="S50" s="106"/>
      <c r="T50" s="88"/>
      <c r="U50" s="104">
        <f t="shared" si="11"/>
        <v>8728413.7772672623</v>
      </c>
      <c r="V50" s="272">
        <f t="shared" si="12"/>
        <v>-72106.22273273766</v>
      </c>
      <c r="W50" s="273">
        <f t="shared" si="13"/>
        <v>-8.1934047911643472E-3</v>
      </c>
      <c r="X50" s="273">
        <f t="shared" si="5"/>
        <v>8.1934047911643472E-3</v>
      </c>
      <c r="Y50" s="222"/>
      <c r="Z50" s="375"/>
      <c r="AA50" s="302"/>
      <c r="AB50" s="493" t="s">
        <v>11</v>
      </c>
      <c r="AC50" s="494">
        <f>SUM(AB34:AB44)-SUM(AC34:AC44)</f>
        <v>0</v>
      </c>
      <c r="AD50" s="494">
        <f>SUM(AD34:AD44)</f>
        <v>-8.9406967163085938E-8</v>
      </c>
      <c r="AE50" s="302"/>
      <c r="AF50" s="127"/>
      <c r="AH50" s="88"/>
      <c r="AI50" s="88"/>
      <c r="AJ50" s="88"/>
      <c r="AK50" s="88"/>
      <c r="AL50" s="88"/>
      <c r="AM50" s="88"/>
      <c r="AN50" s="88"/>
      <c r="AO50" s="88"/>
      <c r="AP50" s="88"/>
      <c r="AQ50" s="88"/>
      <c r="AR50" s="88"/>
      <c r="AS50" s="88"/>
    </row>
    <row r="51" spans="2:46">
      <c r="B51" s="100">
        <f t="shared" si="6"/>
        <v>39752</v>
      </c>
      <c r="C51" s="108">
        <v>8997790</v>
      </c>
      <c r="D51" s="111"/>
      <c r="E51" s="123"/>
      <c r="F51" s="111"/>
      <c r="G51" s="112"/>
      <c r="H51" s="110">
        <f t="shared" si="10"/>
        <v>8997790</v>
      </c>
      <c r="I51" s="369"/>
      <c r="J51" s="214">
        <f>'HDD &amp; CDD'!O15</f>
        <v>321.80000000000007</v>
      </c>
      <c r="K51" s="214">
        <f>'HDD &amp; CDD'!O33</f>
        <v>0</v>
      </c>
      <c r="L51" s="485">
        <f t="shared" si="4"/>
        <v>31</v>
      </c>
      <c r="M51" s="214">
        <v>1</v>
      </c>
      <c r="N51" s="485">
        <f>[22]Sheet1!C49</f>
        <v>1</v>
      </c>
      <c r="O51" s="164">
        <f>'CDM Activity'!C99</f>
        <v>80990.249652052415</v>
      </c>
      <c r="P51" s="105"/>
      <c r="Q51" s="105"/>
      <c r="R51" s="105"/>
      <c r="S51" s="106"/>
      <c r="T51" s="88"/>
      <c r="U51" s="104">
        <f t="shared" si="11"/>
        <v>9659633.5626671948</v>
      </c>
      <c r="V51" s="272">
        <f t="shared" si="12"/>
        <v>661843.56266719475</v>
      </c>
      <c r="W51" s="273">
        <f t="shared" si="13"/>
        <v>7.3556235772027884E-2</v>
      </c>
      <c r="X51" s="273">
        <f t="shared" si="5"/>
        <v>7.3556235772027884E-2</v>
      </c>
      <c r="Y51" s="222"/>
      <c r="Z51" s="375"/>
      <c r="AF51" s="88"/>
      <c r="AH51" s="88"/>
      <c r="AI51" s="88"/>
      <c r="AJ51" s="88"/>
      <c r="AK51" s="88"/>
      <c r="AL51" s="88"/>
      <c r="AM51" s="88"/>
      <c r="AN51" s="88"/>
      <c r="AO51" s="88"/>
      <c r="AP51" s="88"/>
      <c r="AQ51" s="88"/>
      <c r="AR51" s="88"/>
      <c r="AS51" s="88"/>
    </row>
    <row r="52" spans="2:46">
      <c r="B52" s="100">
        <f t="shared" si="6"/>
        <v>39782</v>
      </c>
      <c r="C52" s="108">
        <v>9775270</v>
      </c>
      <c r="D52" s="111"/>
      <c r="E52" s="123"/>
      <c r="F52" s="111"/>
      <c r="G52" s="112"/>
      <c r="H52" s="110">
        <f t="shared" si="10"/>
        <v>9775270</v>
      </c>
      <c r="I52" s="369"/>
      <c r="J52" s="214">
        <f>'HDD &amp; CDD'!O16</f>
        <v>502.8</v>
      </c>
      <c r="K52" s="214">
        <f>'HDD &amp; CDD'!O34</f>
        <v>0</v>
      </c>
      <c r="L52" s="485">
        <f t="shared" si="4"/>
        <v>30</v>
      </c>
      <c r="M52" s="214">
        <v>1</v>
      </c>
      <c r="N52" s="485">
        <f>[22]Sheet1!C50</f>
        <v>0</v>
      </c>
      <c r="O52" s="164">
        <f>'CDM Activity'!C100</f>
        <v>82835.140390625005</v>
      </c>
      <c r="P52" s="105"/>
      <c r="Q52" s="105"/>
      <c r="R52" s="105"/>
      <c r="S52" s="106"/>
      <c r="T52" s="88"/>
      <c r="U52" s="104">
        <f t="shared" si="11"/>
        <v>10372540.463279542</v>
      </c>
      <c r="V52" s="272">
        <f t="shared" si="12"/>
        <v>597270.46327954158</v>
      </c>
      <c r="W52" s="273">
        <f t="shared" si="13"/>
        <v>6.1100149998878965E-2</v>
      </c>
      <c r="X52" s="273">
        <f t="shared" si="5"/>
        <v>6.1100149998878965E-2</v>
      </c>
      <c r="Y52" s="222"/>
      <c r="Z52" s="375"/>
      <c r="AA52" s="276" t="s">
        <v>194</v>
      </c>
      <c r="AB52" s="280"/>
      <c r="AC52" s="277"/>
      <c r="AD52" s="278"/>
      <c r="AE52" s="278"/>
      <c r="AF52" s="282">
        <f>AVERAGE(AF34:AF44)</f>
        <v>1.4312346527810797E-2</v>
      </c>
      <c r="AH52" s="88"/>
      <c r="AI52" s="88"/>
      <c r="AJ52" s="88"/>
      <c r="AK52" s="88"/>
      <c r="AL52" s="88"/>
      <c r="AM52" s="88"/>
      <c r="AN52" s="88"/>
      <c r="AO52" s="88"/>
      <c r="AP52" s="88"/>
      <c r="AQ52" s="88"/>
      <c r="AR52" s="88"/>
      <c r="AS52" s="88"/>
    </row>
    <row r="53" spans="2:46">
      <c r="B53" s="217">
        <f t="shared" si="6"/>
        <v>39813</v>
      </c>
      <c r="C53" s="124">
        <v>11977460</v>
      </c>
      <c r="D53" s="125"/>
      <c r="E53" s="125"/>
      <c r="F53" s="125"/>
      <c r="G53" s="126"/>
      <c r="H53" s="117">
        <f t="shared" si="10"/>
        <v>11977460</v>
      </c>
      <c r="I53" s="370"/>
      <c r="J53" s="165">
        <f>'HDD &amp; CDD'!O17</f>
        <v>796.70000000000027</v>
      </c>
      <c r="K53" s="165">
        <f>'HDD &amp; CDD'!O35</f>
        <v>0</v>
      </c>
      <c r="L53" s="486">
        <f t="shared" si="4"/>
        <v>31</v>
      </c>
      <c r="M53" s="165">
        <v>0</v>
      </c>
      <c r="N53" s="486">
        <f>[22]Sheet1!C51</f>
        <v>2</v>
      </c>
      <c r="O53" s="167">
        <f>'CDM Activity'!C101</f>
        <v>84680.031129197596</v>
      </c>
      <c r="P53" s="118"/>
      <c r="Q53" s="118"/>
      <c r="R53" s="118"/>
      <c r="S53" s="119"/>
      <c r="T53" s="120"/>
      <c r="U53" s="121">
        <f t="shared" si="11"/>
        <v>12099889.935543779</v>
      </c>
      <c r="V53" s="284">
        <f t="shared" si="12"/>
        <v>122429.93554377928</v>
      </c>
      <c r="W53" s="274">
        <f t="shared" si="13"/>
        <v>1.022169437792147E-2</v>
      </c>
      <c r="X53" s="274">
        <f t="shared" si="5"/>
        <v>1.022169437792147E-2</v>
      </c>
      <c r="Y53" s="222"/>
      <c r="Z53" s="375"/>
      <c r="AA53" s="276" t="s">
        <v>195</v>
      </c>
      <c r="AB53" s="281"/>
      <c r="AC53" s="279"/>
      <c r="AD53" s="279"/>
      <c r="AE53" s="279"/>
      <c r="AF53" s="283">
        <f>AVERAGE(X6:X137)</f>
        <v>2.1443890801441705E-2</v>
      </c>
      <c r="AG53" s="88"/>
      <c r="AH53" s="88"/>
      <c r="AI53" s="88"/>
      <c r="AJ53" s="88"/>
      <c r="AK53" s="88"/>
      <c r="AL53" s="88"/>
      <c r="AM53" s="88"/>
      <c r="AN53" s="88"/>
      <c r="AO53" s="88"/>
      <c r="AP53" s="88"/>
      <c r="AQ53" s="88"/>
      <c r="AR53" s="88"/>
      <c r="AS53" s="88"/>
    </row>
    <row r="54" spans="2:46">
      <c r="B54" s="100">
        <f t="shared" si="6"/>
        <v>39844</v>
      </c>
      <c r="C54" s="108">
        <v>12715660</v>
      </c>
      <c r="D54" s="111"/>
      <c r="E54" s="123"/>
      <c r="F54" s="111"/>
      <c r="G54" s="112"/>
      <c r="H54" s="110">
        <f t="shared" si="10"/>
        <v>12715660</v>
      </c>
      <c r="I54" s="369"/>
      <c r="J54" s="214">
        <f>'HDD &amp; CDD'!P6</f>
        <v>979.5</v>
      </c>
      <c r="K54" s="214">
        <f>'HDD &amp; CDD'!P24</f>
        <v>0</v>
      </c>
      <c r="L54" s="485">
        <f t="shared" si="4"/>
        <v>31</v>
      </c>
      <c r="M54" s="214">
        <v>0</v>
      </c>
      <c r="N54" s="485">
        <f>[22]Sheet1!C52</f>
        <v>1</v>
      </c>
      <c r="O54" s="164">
        <f>'CDM Activity'!C102</f>
        <v>89869.377558430104</v>
      </c>
      <c r="P54" s="105"/>
      <c r="Q54" s="105"/>
      <c r="R54" s="105"/>
      <c r="S54" s="106"/>
      <c r="T54" s="88"/>
      <c r="U54" s="104">
        <f t="shared" si="11"/>
        <v>13049606.468674913</v>
      </c>
      <c r="V54" s="272">
        <f t="shared" si="12"/>
        <v>333946.46867491305</v>
      </c>
      <c r="W54" s="273">
        <f t="shared" si="13"/>
        <v>2.6262613869426601E-2</v>
      </c>
      <c r="X54" s="273">
        <f t="shared" si="5"/>
        <v>2.6262613869426601E-2</v>
      </c>
      <c r="Y54" s="222"/>
      <c r="Z54" s="375"/>
      <c r="AG54" s="88"/>
      <c r="AH54" s="88"/>
      <c r="AI54" s="88"/>
      <c r="AJ54" s="88"/>
      <c r="AK54" s="88"/>
      <c r="AL54" s="88"/>
      <c r="AM54" s="88"/>
      <c r="AN54" s="88"/>
      <c r="AO54" s="88"/>
      <c r="AP54" s="88"/>
      <c r="AQ54" s="88"/>
      <c r="AR54" s="88"/>
      <c r="AS54" s="88"/>
    </row>
    <row r="55" spans="2:46">
      <c r="B55" s="100">
        <f t="shared" si="6"/>
        <v>39872</v>
      </c>
      <c r="C55" s="108">
        <v>10806911</v>
      </c>
      <c r="D55" s="111"/>
      <c r="E55" s="123"/>
      <c r="F55" s="111"/>
      <c r="G55" s="112"/>
      <c r="H55" s="110">
        <f t="shared" si="10"/>
        <v>10806911</v>
      </c>
      <c r="I55" s="369"/>
      <c r="J55" s="214">
        <f>'HDD &amp; CDD'!P7</f>
        <v>711.5</v>
      </c>
      <c r="K55" s="214">
        <f>'HDD &amp; CDD'!P25</f>
        <v>0</v>
      </c>
      <c r="L55" s="485">
        <f t="shared" si="4"/>
        <v>28</v>
      </c>
      <c r="M55" s="214">
        <v>0</v>
      </c>
      <c r="N55" s="485">
        <f>[22]Sheet1!C53</f>
        <v>1</v>
      </c>
      <c r="O55" s="164">
        <f>'CDM Activity'!C103</f>
        <v>95058.723987662612</v>
      </c>
      <c r="P55" s="105"/>
      <c r="Q55" s="105"/>
      <c r="R55" s="105"/>
      <c r="S55" s="106"/>
      <c r="T55" s="88"/>
      <c r="U55" s="104">
        <f t="shared" si="11"/>
        <v>11068842.576771142</v>
      </c>
      <c r="V55" s="272">
        <f t="shared" si="12"/>
        <v>261931.57677114196</v>
      </c>
      <c r="W55" s="273">
        <f t="shared" si="13"/>
        <v>2.4237414074303191E-2</v>
      </c>
      <c r="X55" s="273">
        <f t="shared" si="5"/>
        <v>2.4237414074303191E-2</v>
      </c>
      <c r="Y55" s="222"/>
      <c r="Z55" s="375"/>
      <c r="AA55" s="88" t="s">
        <v>153</v>
      </c>
      <c r="AB55" s="88"/>
      <c r="AC55" s="88"/>
      <c r="AD55" s="88"/>
    </row>
    <row r="56" spans="2:46">
      <c r="B56" s="100">
        <f t="shared" si="6"/>
        <v>39903</v>
      </c>
      <c r="C56" s="108">
        <v>10822297</v>
      </c>
      <c r="D56" s="111"/>
      <c r="E56" s="123"/>
      <c r="F56" s="111"/>
      <c r="G56" s="112"/>
      <c r="H56" s="110">
        <f t="shared" si="10"/>
        <v>10822297</v>
      </c>
      <c r="I56" s="369"/>
      <c r="J56" s="214">
        <f>'HDD &amp; CDD'!P8</f>
        <v>598.30000000000007</v>
      </c>
      <c r="K56" s="214">
        <f>'HDD &amp; CDD'!P26</f>
        <v>0</v>
      </c>
      <c r="L56" s="485">
        <f t="shared" si="4"/>
        <v>31</v>
      </c>
      <c r="M56" s="214">
        <v>1</v>
      </c>
      <c r="N56" s="485">
        <f>[22]Sheet1!C54</f>
        <v>0</v>
      </c>
      <c r="O56" s="164">
        <f>'CDM Activity'!C104</f>
        <v>100248.07041689512</v>
      </c>
      <c r="P56" s="105"/>
      <c r="Q56" s="105"/>
      <c r="R56" s="105"/>
      <c r="S56" s="106"/>
      <c r="T56" s="88"/>
      <c r="U56" s="104">
        <f t="shared" si="11"/>
        <v>11006234.393761342</v>
      </c>
      <c r="V56" s="272">
        <f t="shared" si="12"/>
        <v>183937.39376134239</v>
      </c>
      <c r="W56" s="273">
        <f t="shared" si="13"/>
        <v>1.6996150979902178E-2</v>
      </c>
      <c r="X56" s="273">
        <f t="shared" si="5"/>
        <v>1.6996150979902178E-2</v>
      </c>
      <c r="Y56" s="222"/>
      <c r="Z56" s="375"/>
      <c r="AA56" s="88" t="s">
        <v>154</v>
      </c>
      <c r="AB56" s="88"/>
      <c r="AC56" s="88"/>
      <c r="AD56" s="88"/>
    </row>
    <row r="57" spans="2:46">
      <c r="B57" s="100">
        <f t="shared" si="6"/>
        <v>39933</v>
      </c>
      <c r="C57" s="108">
        <v>9188119</v>
      </c>
      <c r="D57" s="111"/>
      <c r="E57" s="123"/>
      <c r="F57" s="111"/>
      <c r="G57" s="112"/>
      <c r="H57" s="110">
        <f t="shared" si="10"/>
        <v>9188119</v>
      </c>
      <c r="I57" s="369"/>
      <c r="J57" s="214">
        <f>'HDD &amp; CDD'!P9</f>
        <v>334.2999999999999</v>
      </c>
      <c r="K57" s="214">
        <f>'HDD &amp; CDD'!P27</f>
        <v>2.5</v>
      </c>
      <c r="L57" s="485">
        <f t="shared" si="4"/>
        <v>30</v>
      </c>
      <c r="M57" s="214">
        <v>1</v>
      </c>
      <c r="N57" s="485">
        <f>[22]Sheet1!C55</f>
        <v>2</v>
      </c>
      <c r="O57" s="164">
        <f>'CDM Activity'!C105</f>
        <v>105437.41684612763</v>
      </c>
      <c r="P57" s="105"/>
      <c r="Q57" s="105"/>
      <c r="R57" s="105"/>
      <c r="S57" s="106"/>
      <c r="T57" s="88"/>
      <c r="U57" s="104">
        <f t="shared" si="11"/>
        <v>9334043.9502340332</v>
      </c>
      <c r="V57" s="272">
        <f t="shared" si="12"/>
        <v>145924.95023403317</v>
      </c>
      <c r="W57" s="273">
        <f t="shared" si="13"/>
        <v>1.5881917749871674E-2</v>
      </c>
      <c r="X57" s="273">
        <f t="shared" si="5"/>
        <v>1.5881917749871674E-2</v>
      </c>
      <c r="Y57" s="222"/>
      <c r="Z57" s="375"/>
      <c r="AA57" s="88"/>
      <c r="AB57" s="88"/>
      <c r="AC57" s="88"/>
      <c r="AD57" s="88"/>
      <c r="AE57" s="88"/>
      <c r="AF57" s="88"/>
    </row>
    <row r="58" spans="2:46">
      <c r="B58" s="100">
        <f t="shared" si="6"/>
        <v>39964</v>
      </c>
      <c r="C58" s="108">
        <v>8646669</v>
      </c>
      <c r="D58" s="111"/>
      <c r="E58" s="123"/>
      <c r="F58" s="111"/>
      <c r="G58" s="112"/>
      <c r="H58" s="110">
        <f t="shared" si="10"/>
        <v>8646669</v>
      </c>
      <c r="I58" s="369"/>
      <c r="J58" s="214">
        <f>'HDD &amp; CDD'!P10</f>
        <v>181.6</v>
      </c>
      <c r="K58" s="214">
        <f>'HDD &amp; CDD'!P28</f>
        <v>3.2</v>
      </c>
      <c r="L58" s="485">
        <f t="shared" si="4"/>
        <v>31</v>
      </c>
      <c r="M58" s="214">
        <v>1</v>
      </c>
      <c r="N58" s="485">
        <f>[22]Sheet1!C56</f>
        <v>1</v>
      </c>
      <c r="O58" s="164">
        <f>'CDM Activity'!C106</f>
        <v>110626.76327536014</v>
      </c>
      <c r="P58" s="105"/>
      <c r="Q58" s="105"/>
      <c r="R58" s="105"/>
      <c r="S58" s="106"/>
      <c r="T58" s="88"/>
      <c r="U58" s="104">
        <f t="shared" si="11"/>
        <v>8965134.3136551902</v>
      </c>
      <c r="V58" s="272">
        <f t="shared" si="12"/>
        <v>318465.31365519017</v>
      </c>
      <c r="W58" s="273">
        <f t="shared" si="13"/>
        <v>3.6830982388153188E-2</v>
      </c>
      <c r="X58" s="273">
        <f t="shared" si="5"/>
        <v>3.6830982388153188E-2</v>
      </c>
      <c r="Y58" s="222"/>
      <c r="Z58" s="375"/>
      <c r="AD58" s="88"/>
      <c r="AE58" s="88"/>
      <c r="AF58" s="88" t="s">
        <v>273</v>
      </c>
    </row>
    <row r="59" spans="2:46">
      <c r="B59" s="100">
        <f t="shared" si="6"/>
        <v>39994</v>
      </c>
      <c r="C59" s="108">
        <v>8694745</v>
      </c>
      <c r="D59" s="111"/>
      <c r="E59" s="123"/>
      <c r="F59" s="111"/>
      <c r="G59" s="112"/>
      <c r="H59" s="110">
        <f t="shared" si="10"/>
        <v>8694745</v>
      </c>
      <c r="I59" s="369"/>
      <c r="J59" s="214">
        <f>'HDD &amp; CDD'!P11</f>
        <v>50.4</v>
      </c>
      <c r="K59" s="214">
        <f>'HDD &amp; CDD'!P29</f>
        <v>44.9</v>
      </c>
      <c r="L59" s="485">
        <f t="shared" si="4"/>
        <v>30</v>
      </c>
      <c r="M59" s="214">
        <v>0</v>
      </c>
      <c r="N59" s="485">
        <f>[22]Sheet1!C57</f>
        <v>0</v>
      </c>
      <c r="O59" s="164">
        <f>'CDM Activity'!C107</f>
        <v>115816.10970459264</v>
      </c>
      <c r="P59" s="105"/>
      <c r="Q59" s="105"/>
      <c r="R59" s="105"/>
      <c r="S59" s="106"/>
      <c r="T59" s="88"/>
      <c r="U59" s="104">
        <f t="shared" si="11"/>
        <v>9153145.3209487814</v>
      </c>
      <c r="V59" s="272">
        <f t="shared" si="12"/>
        <v>458400.32094878145</v>
      </c>
      <c r="W59" s="273">
        <f t="shared" si="13"/>
        <v>5.2721537083466101E-2</v>
      </c>
      <c r="X59" s="273">
        <f t="shared" si="5"/>
        <v>5.2721537083466101E-2</v>
      </c>
      <c r="Y59" s="222"/>
      <c r="Z59" s="375"/>
      <c r="AA59" s="455" t="s">
        <v>135</v>
      </c>
      <c r="AB59" s="585"/>
      <c r="AC59" s="456" t="s">
        <v>270</v>
      </c>
      <c r="AD59" s="457" t="s">
        <v>193</v>
      </c>
      <c r="AF59" s="458" t="s">
        <v>267</v>
      </c>
      <c r="AG59" s="459" t="s">
        <v>0</v>
      </c>
      <c r="AH59" s="459" t="s">
        <v>268</v>
      </c>
      <c r="AI59" s="459" t="s">
        <v>274</v>
      </c>
      <c r="AK59" s="88" t="s">
        <v>549</v>
      </c>
      <c r="AL59" s="88"/>
      <c r="AM59" s="88"/>
      <c r="AN59" s="88"/>
      <c r="AO59" s="88"/>
      <c r="AP59" s="88"/>
      <c r="AQ59" s="88"/>
      <c r="AR59" s="88"/>
      <c r="AS59" s="88"/>
      <c r="AT59" s="88"/>
    </row>
    <row r="60" spans="2:46">
      <c r="B60" s="100">
        <f t="shared" si="6"/>
        <v>40025</v>
      </c>
      <c r="C60" s="108">
        <v>8965453</v>
      </c>
      <c r="D60" s="111"/>
      <c r="E60" s="123"/>
      <c r="F60" s="111"/>
      <c r="G60" s="112"/>
      <c r="H60" s="110">
        <f t="shared" si="10"/>
        <v>8965453</v>
      </c>
      <c r="I60" s="369"/>
      <c r="J60" s="214">
        <f>'HDD &amp; CDD'!P12</f>
        <v>13.1</v>
      </c>
      <c r="K60" s="214">
        <f>'HDD &amp; CDD'!P30</f>
        <v>42.899999999999991</v>
      </c>
      <c r="L60" s="485">
        <f t="shared" si="4"/>
        <v>31</v>
      </c>
      <c r="M60" s="214">
        <v>0</v>
      </c>
      <c r="N60" s="485">
        <f>[22]Sheet1!C58</f>
        <v>1</v>
      </c>
      <c r="O60" s="164">
        <f>'CDM Activity'!C108</f>
        <v>121005.45613382515</v>
      </c>
      <c r="P60" s="105"/>
      <c r="Q60" s="105"/>
      <c r="R60" s="105"/>
      <c r="S60" s="106"/>
      <c r="T60" s="88"/>
      <c r="U60" s="104">
        <f t="shared" si="11"/>
        <v>9062256.6246289723</v>
      </c>
      <c r="V60" s="272">
        <f t="shared" si="12"/>
        <v>96803.624628972262</v>
      </c>
      <c r="W60" s="273">
        <f t="shared" si="13"/>
        <v>1.0797404730020029E-2</v>
      </c>
      <c r="X60" s="273">
        <f t="shared" si="5"/>
        <v>1.0797404730020029E-2</v>
      </c>
      <c r="Y60" s="222"/>
      <c r="Z60" s="375"/>
      <c r="AA60" s="452">
        <v>2016</v>
      </c>
      <c r="AB60" s="452" t="s">
        <v>334</v>
      </c>
      <c r="AC60" s="453"/>
      <c r="AD60" s="454"/>
      <c r="AF60" s="440">
        <f>'Rate Class Energy Model '!D81</f>
        <v>717439.6</v>
      </c>
      <c r="AG60" s="460">
        <f>'Rate Class Energy Model '!$C$17</f>
        <v>1.0819000000000001</v>
      </c>
      <c r="AH60" s="461">
        <f>AF60*AG60</f>
        <v>776197.90324000001</v>
      </c>
      <c r="AI60" s="453">
        <f>AC60-AH60</f>
        <v>-776197.90324000001</v>
      </c>
      <c r="AK60" s="88"/>
      <c r="AL60" s="88"/>
      <c r="AM60" s="88"/>
      <c r="AN60" s="88"/>
      <c r="AO60" s="88"/>
      <c r="AP60" s="88"/>
      <c r="AQ60" s="88"/>
      <c r="AR60" s="88"/>
      <c r="AS60" s="88"/>
      <c r="AT60" s="88"/>
    </row>
    <row r="61" spans="2:46">
      <c r="B61" s="100">
        <f t="shared" si="6"/>
        <v>40056</v>
      </c>
      <c r="C61" s="108">
        <v>9534995</v>
      </c>
      <c r="D61" s="111"/>
      <c r="E61" s="123"/>
      <c r="F61" s="111"/>
      <c r="G61" s="112"/>
      <c r="H61" s="110">
        <f t="shared" si="10"/>
        <v>9534995</v>
      </c>
      <c r="I61" s="369"/>
      <c r="J61" s="214">
        <f>'HDD &amp; CDD'!P13</f>
        <v>26.1</v>
      </c>
      <c r="K61" s="214">
        <f>'HDD &amp; CDD'!P31</f>
        <v>82.100000000000009</v>
      </c>
      <c r="L61" s="485">
        <f t="shared" si="4"/>
        <v>31</v>
      </c>
      <c r="M61" s="214">
        <v>0</v>
      </c>
      <c r="N61" s="485">
        <f>[22]Sheet1!C59</f>
        <v>1</v>
      </c>
      <c r="O61" s="164">
        <f>'CDM Activity'!C109</f>
        <v>126194.80256305766</v>
      </c>
      <c r="P61" s="105"/>
      <c r="Q61" s="105"/>
      <c r="R61" s="105"/>
      <c r="S61" s="106"/>
      <c r="T61" s="88"/>
      <c r="U61" s="104">
        <f t="shared" si="11"/>
        <v>9670530.6436466482</v>
      </c>
      <c r="V61" s="272">
        <f t="shared" si="12"/>
        <v>135535.64364664815</v>
      </c>
      <c r="W61" s="273">
        <f t="shared" si="13"/>
        <v>1.4214547951692491E-2</v>
      </c>
      <c r="X61" s="273">
        <f t="shared" si="5"/>
        <v>1.4214547951692491E-2</v>
      </c>
      <c r="Y61" s="222"/>
      <c r="Z61" s="375"/>
      <c r="AA61" s="452">
        <v>2017</v>
      </c>
      <c r="AB61" s="452" t="s">
        <v>270</v>
      </c>
      <c r="AC61" s="453">
        <f>AB46</f>
        <v>111387474.08147961</v>
      </c>
      <c r="AD61" s="454"/>
      <c r="AF61" s="440">
        <f>'Rate Class Energy Model '!D82</f>
        <v>1076159.3999999999</v>
      </c>
      <c r="AG61" s="460">
        <f>'Rate Class Energy Model '!$C$17</f>
        <v>1.0819000000000001</v>
      </c>
      <c r="AH61" s="461">
        <f>AF61*AG61</f>
        <v>1164296.8548600001</v>
      </c>
      <c r="AI61" s="453">
        <f>AC61-AH61</f>
        <v>110223177.22661962</v>
      </c>
      <c r="AK61" s="88"/>
      <c r="AL61" s="88"/>
      <c r="AM61" s="88"/>
      <c r="AN61" s="88"/>
      <c r="AO61" s="88"/>
      <c r="AP61" s="88"/>
      <c r="AQ61" s="88"/>
      <c r="AR61" s="88"/>
      <c r="AS61" s="88"/>
      <c r="AT61" s="88"/>
    </row>
    <row r="62" spans="2:46">
      <c r="B62" s="100">
        <f t="shared" si="6"/>
        <v>40086</v>
      </c>
      <c r="C62" s="108">
        <v>8543544</v>
      </c>
      <c r="D62" s="111"/>
      <c r="E62" s="123"/>
      <c r="F62" s="111"/>
      <c r="G62" s="112"/>
      <c r="H62" s="110">
        <f t="shared" si="10"/>
        <v>8543544</v>
      </c>
      <c r="I62" s="369"/>
      <c r="J62" s="214">
        <f>'HDD &amp; CDD'!P14</f>
        <v>106.49999999999999</v>
      </c>
      <c r="K62" s="214">
        <f>'HDD &amp; CDD'!P32</f>
        <v>5</v>
      </c>
      <c r="L62" s="485">
        <f t="shared" si="4"/>
        <v>30</v>
      </c>
      <c r="M62" s="214">
        <v>1</v>
      </c>
      <c r="N62" s="485">
        <f>[22]Sheet1!C60</f>
        <v>1</v>
      </c>
      <c r="O62" s="164">
        <f>'CDM Activity'!C110</f>
        <v>131384.14899229017</v>
      </c>
      <c r="P62" s="105"/>
      <c r="Q62" s="105"/>
      <c r="R62" s="105"/>
      <c r="S62" s="106"/>
      <c r="T62" s="88"/>
      <c r="U62" s="104">
        <f t="shared" si="11"/>
        <v>8342154.7054857258</v>
      </c>
      <c r="V62" s="272">
        <f t="shared" si="12"/>
        <v>-201389.29451427422</v>
      </c>
      <c r="W62" s="273">
        <f t="shared" si="13"/>
        <v>-2.3572102457045253E-2</v>
      </c>
      <c r="X62" s="273">
        <f t="shared" si="5"/>
        <v>2.3572102457045253E-2</v>
      </c>
      <c r="Y62" s="222"/>
      <c r="Z62" s="375"/>
      <c r="AA62" s="88"/>
      <c r="AB62" s="88"/>
      <c r="AC62" s="88"/>
      <c r="AD62" s="88"/>
      <c r="AE62" s="88"/>
      <c r="AF62" s="128"/>
      <c r="AG62" s="88"/>
      <c r="AH62" s="88"/>
      <c r="AI62" s="88"/>
      <c r="AJ62" s="88"/>
      <c r="AK62" s="88"/>
      <c r="AL62" s="88"/>
      <c r="AM62" s="88"/>
      <c r="AN62" s="88"/>
      <c r="AO62" s="88"/>
      <c r="AP62" s="88"/>
      <c r="AQ62" s="88"/>
      <c r="AR62" s="88"/>
      <c r="AS62" s="88"/>
      <c r="AT62" s="88"/>
    </row>
    <row r="63" spans="2:46">
      <c r="B63" s="100">
        <f t="shared" si="6"/>
        <v>40117</v>
      </c>
      <c r="C63" s="108">
        <v>9341679</v>
      </c>
      <c r="D63" s="111"/>
      <c r="E63" s="123"/>
      <c r="F63" s="111"/>
      <c r="G63" s="112"/>
      <c r="H63" s="110">
        <f t="shared" si="10"/>
        <v>9341679</v>
      </c>
      <c r="I63" s="369"/>
      <c r="J63" s="214">
        <f>'HDD &amp; CDD'!P15</f>
        <v>355.5</v>
      </c>
      <c r="K63" s="214">
        <f>'HDD &amp; CDD'!P33</f>
        <v>0</v>
      </c>
      <c r="L63" s="485">
        <f t="shared" si="4"/>
        <v>31</v>
      </c>
      <c r="M63" s="214">
        <v>1</v>
      </c>
      <c r="N63" s="485">
        <f>[22]Sheet1!C61</f>
        <v>1</v>
      </c>
      <c r="O63" s="164">
        <f>'CDM Activity'!C111</f>
        <v>136573.49542152268</v>
      </c>
      <c r="P63" s="105"/>
      <c r="Q63" s="105"/>
      <c r="R63" s="105"/>
      <c r="S63" s="106"/>
      <c r="T63" s="88"/>
      <c r="U63" s="104">
        <f t="shared" si="11"/>
        <v>9656268.9668548033</v>
      </c>
      <c r="V63" s="272">
        <f t="shared" si="12"/>
        <v>314589.96685480326</v>
      </c>
      <c r="W63" s="273">
        <f t="shared" si="13"/>
        <v>3.3675955559466696E-2</v>
      </c>
      <c r="X63" s="273">
        <f t="shared" si="5"/>
        <v>3.3675955559466696E-2</v>
      </c>
      <c r="Y63" s="222"/>
      <c r="Z63" s="375"/>
      <c r="AA63" s="488">
        <v>2015</v>
      </c>
      <c r="AB63" s="488"/>
      <c r="AC63" s="556"/>
      <c r="AD63" s="557"/>
      <c r="AE63" s="88"/>
      <c r="AF63" s="88"/>
      <c r="AG63" s="88"/>
      <c r="AH63" s="88"/>
      <c r="AI63" s="558">
        <v>112069472.74848521</v>
      </c>
      <c r="AJ63" s="88"/>
      <c r="AK63" s="88"/>
      <c r="AL63" s="88"/>
      <c r="AM63" s="88"/>
      <c r="AN63" s="88"/>
      <c r="AO63" s="88"/>
      <c r="AP63" s="88"/>
      <c r="AQ63" s="88"/>
      <c r="AR63" s="88"/>
      <c r="AS63" s="88"/>
      <c r="AT63" s="88"/>
    </row>
    <row r="64" spans="2:46">
      <c r="B64" s="100">
        <f t="shared" si="6"/>
        <v>40147</v>
      </c>
      <c r="C64" s="108">
        <v>9542500</v>
      </c>
      <c r="D64" s="111"/>
      <c r="E64" s="123"/>
      <c r="F64" s="111"/>
      <c r="G64" s="112"/>
      <c r="H64" s="110">
        <f t="shared" si="10"/>
        <v>9542500</v>
      </c>
      <c r="I64" s="369"/>
      <c r="J64" s="214">
        <f>'HDD &amp; CDD'!P16</f>
        <v>417.39999999999992</v>
      </c>
      <c r="K64" s="214">
        <f>'HDD &amp; CDD'!P34</f>
        <v>0</v>
      </c>
      <c r="L64" s="485">
        <f t="shared" si="4"/>
        <v>30</v>
      </c>
      <c r="M64" s="214">
        <v>1</v>
      </c>
      <c r="N64" s="485">
        <f>[22]Sheet1!C62</f>
        <v>0</v>
      </c>
      <c r="O64" s="164">
        <f>'CDM Activity'!C112</f>
        <v>141762.84185075518</v>
      </c>
      <c r="P64" s="105"/>
      <c r="Q64" s="105"/>
      <c r="R64" s="105"/>
      <c r="S64" s="106"/>
      <c r="T64" s="88"/>
      <c r="U64" s="104">
        <f t="shared" si="11"/>
        <v>9803320.3618102521</v>
      </c>
      <c r="V64" s="272">
        <f t="shared" si="12"/>
        <v>260820.36181025207</v>
      </c>
      <c r="W64" s="273">
        <f t="shared" si="13"/>
        <v>2.7332497962824425E-2</v>
      </c>
      <c r="X64" s="273">
        <f t="shared" si="5"/>
        <v>2.7332497962824425E-2</v>
      </c>
      <c r="Y64" s="222"/>
      <c r="Z64" s="375"/>
      <c r="AA64" s="488">
        <v>2017</v>
      </c>
      <c r="AB64" s="488" t="s">
        <v>270</v>
      </c>
      <c r="AC64" s="556">
        <v>111387474.08147961</v>
      </c>
      <c r="AD64" s="557"/>
      <c r="AE64" s="88"/>
      <c r="AF64" s="88"/>
      <c r="AG64" s="88"/>
      <c r="AH64" s="88"/>
      <c r="AI64" s="558">
        <v>112365090.43825229</v>
      </c>
      <c r="AJ64" s="88"/>
      <c r="AK64" s="88"/>
      <c r="AL64" s="88"/>
      <c r="AM64" s="88"/>
      <c r="AN64" s="88"/>
      <c r="AO64" s="88"/>
      <c r="AP64" s="88"/>
      <c r="AQ64" s="88"/>
      <c r="AR64" s="88"/>
      <c r="AS64" s="88"/>
      <c r="AT64" s="88"/>
    </row>
    <row r="65" spans="2:45">
      <c r="B65" s="217">
        <f t="shared" si="6"/>
        <v>40178</v>
      </c>
      <c r="C65" s="124">
        <v>11612258</v>
      </c>
      <c r="D65" s="125"/>
      <c r="E65" s="125"/>
      <c r="F65" s="125"/>
      <c r="G65" s="126"/>
      <c r="H65" s="117">
        <f t="shared" si="10"/>
        <v>11612258</v>
      </c>
      <c r="I65" s="370"/>
      <c r="J65" s="165">
        <f>'HDD &amp; CDD'!P17</f>
        <v>759.40000000000009</v>
      </c>
      <c r="K65" s="165">
        <f>'HDD &amp; CDD'!P35</f>
        <v>0</v>
      </c>
      <c r="L65" s="486">
        <f t="shared" si="4"/>
        <v>31</v>
      </c>
      <c r="M65" s="165">
        <v>0</v>
      </c>
      <c r="N65" s="486">
        <f>[22]Sheet1!C63</f>
        <v>2</v>
      </c>
      <c r="O65" s="167">
        <f>'CDM Activity'!C113</f>
        <v>146952.18827998769</v>
      </c>
      <c r="P65" s="118"/>
      <c r="Q65" s="118"/>
      <c r="R65" s="118"/>
      <c r="S65" s="119"/>
      <c r="T65" s="120"/>
      <c r="U65" s="121">
        <f t="shared" si="11"/>
        <v>11745619.734117394</v>
      </c>
      <c r="V65" s="284">
        <f t="shared" si="12"/>
        <v>133361.73411739431</v>
      </c>
      <c r="W65" s="274">
        <f t="shared" si="13"/>
        <v>1.1484565199756526E-2</v>
      </c>
      <c r="X65" s="274">
        <f t="shared" si="5"/>
        <v>1.1484565199756526E-2</v>
      </c>
      <c r="Y65" s="222"/>
      <c r="Z65" s="375"/>
      <c r="AD65" s="88"/>
      <c r="AE65" s="128"/>
      <c r="AF65" s="1155">
        <f>AC61/AG61</f>
        <v>102955424.79108939</v>
      </c>
      <c r="AG65" s="1075">
        <f>AI61/AG61</f>
        <v>101879265.39108938</v>
      </c>
      <c r="AI65" s="88"/>
      <c r="AJ65" s="88"/>
      <c r="AK65" s="88"/>
      <c r="AL65" s="88"/>
      <c r="AM65" s="88"/>
      <c r="AN65" s="88"/>
      <c r="AO65" s="88"/>
      <c r="AP65" s="88"/>
      <c r="AQ65" s="88"/>
      <c r="AR65" s="88"/>
      <c r="AS65" s="88"/>
    </row>
    <row r="66" spans="2:45">
      <c r="B66" s="100">
        <f t="shared" si="6"/>
        <v>40209</v>
      </c>
      <c r="C66" s="108">
        <v>12078338</v>
      </c>
      <c r="D66" s="111"/>
      <c r="E66" s="123"/>
      <c r="F66" s="111"/>
      <c r="G66" s="112"/>
      <c r="H66" s="110">
        <f t="shared" si="10"/>
        <v>12078338</v>
      </c>
      <c r="I66" s="369"/>
      <c r="J66" s="214">
        <f>'HDD &amp; CDD'!Q6</f>
        <v>789.2</v>
      </c>
      <c r="K66" s="214">
        <f>'HDD &amp; CDD'!Q24</f>
        <v>0</v>
      </c>
      <c r="L66" s="485">
        <f t="shared" si="4"/>
        <v>31</v>
      </c>
      <c r="M66" s="214">
        <v>0</v>
      </c>
      <c r="N66" s="485">
        <f>[22]Sheet1!C64</f>
        <v>1</v>
      </c>
      <c r="O66" s="164">
        <f>'CDM Activity'!C114</f>
        <v>147944.66302405365</v>
      </c>
      <c r="P66" s="105"/>
      <c r="Q66" s="105"/>
      <c r="R66" s="105"/>
      <c r="S66" s="106"/>
      <c r="T66" s="88"/>
      <c r="U66" s="104">
        <f t="shared" si="11"/>
        <v>11992980.114385521</v>
      </c>
      <c r="V66" s="272">
        <f t="shared" si="12"/>
        <v>-85357.885614478961</v>
      </c>
      <c r="W66" s="273">
        <f t="shared" si="13"/>
        <v>-7.0670224342520432E-3</v>
      </c>
      <c r="X66" s="273">
        <f t="shared" si="5"/>
        <v>7.0670224342520432E-3</v>
      </c>
      <c r="Y66" s="222"/>
      <c r="Z66" s="375"/>
      <c r="AA66" s="451" t="s">
        <v>101</v>
      </c>
      <c r="AB66" s="451" t="s">
        <v>270</v>
      </c>
      <c r="AI66" s="88"/>
      <c r="AJ66" s="88"/>
      <c r="AK66" s="88"/>
      <c r="AL66" s="88"/>
      <c r="AM66" s="88"/>
      <c r="AN66" s="88"/>
      <c r="AO66" s="88"/>
      <c r="AP66" s="88"/>
      <c r="AQ66" s="88"/>
      <c r="AR66" s="88"/>
      <c r="AS66" s="88"/>
    </row>
    <row r="67" spans="2:45">
      <c r="B67" s="100">
        <f t="shared" si="6"/>
        <v>40237</v>
      </c>
      <c r="C67" s="108">
        <v>10494800</v>
      </c>
      <c r="D67" s="111"/>
      <c r="E67" s="123"/>
      <c r="F67" s="111"/>
      <c r="G67" s="112"/>
      <c r="H67" s="110">
        <f t="shared" si="10"/>
        <v>10494800</v>
      </c>
      <c r="I67" s="369"/>
      <c r="J67" s="214">
        <f>'HDD &amp; CDD'!Q7</f>
        <v>655.8</v>
      </c>
      <c r="K67" s="214">
        <f>'HDD &amp; CDD'!Q25</f>
        <v>0</v>
      </c>
      <c r="L67" s="485">
        <f t="shared" si="4"/>
        <v>28</v>
      </c>
      <c r="M67" s="214">
        <v>0</v>
      </c>
      <c r="N67" s="485">
        <f>[22]Sheet1!C65</f>
        <v>1</v>
      </c>
      <c r="O67" s="164">
        <f>'CDM Activity'!C115</f>
        <v>148937.1377681196</v>
      </c>
      <c r="P67" s="105"/>
      <c r="Q67" s="105"/>
      <c r="R67" s="105"/>
      <c r="S67" s="106"/>
      <c r="T67" s="88"/>
      <c r="U67" s="104">
        <f t="shared" si="11"/>
        <v>10652920.085643042</v>
      </c>
      <c r="V67" s="272">
        <f t="shared" si="12"/>
        <v>158120.08564304188</v>
      </c>
      <c r="W67" s="273">
        <f t="shared" si="13"/>
        <v>1.5066517288851802E-2</v>
      </c>
      <c r="X67" s="273">
        <f t="shared" si="5"/>
        <v>1.5066517288851802E-2</v>
      </c>
      <c r="Y67" s="222"/>
      <c r="Z67" s="375"/>
      <c r="AA67" s="531">
        <v>2016</v>
      </c>
      <c r="AB67" s="532">
        <f>U180</f>
        <v>111589488.14488795</v>
      </c>
      <c r="AI67" s="88"/>
      <c r="AJ67" s="88"/>
      <c r="AK67" s="88"/>
      <c r="AL67" s="88"/>
      <c r="AM67" s="88"/>
      <c r="AN67" s="88"/>
      <c r="AO67" s="88"/>
      <c r="AP67" s="88"/>
      <c r="AQ67" s="88"/>
      <c r="AR67" s="88"/>
      <c r="AS67" s="88"/>
    </row>
    <row r="68" spans="2:45">
      <c r="B68" s="100">
        <f t="shared" si="6"/>
        <v>40268</v>
      </c>
      <c r="C68" s="108">
        <v>10154062</v>
      </c>
      <c r="D68" s="111"/>
      <c r="E68" s="123"/>
      <c r="F68" s="111"/>
      <c r="G68" s="112"/>
      <c r="H68" s="110">
        <f t="shared" si="10"/>
        <v>10154062</v>
      </c>
      <c r="I68" s="369"/>
      <c r="J68" s="214">
        <f>'HDD &amp; CDD'!Q8</f>
        <v>460.7000000000001</v>
      </c>
      <c r="K68" s="214">
        <f>'HDD &amp; CDD'!Q26</f>
        <v>0</v>
      </c>
      <c r="L68" s="485">
        <f t="shared" si="4"/>
        <v>31</v>
      </c>
      <c r="M68" s="214">
        <v>1</v>
      </c>
      <c r="N68" s="485">
        <f>[22]Sheet1!C66</f>
        <v>0</v>
      </c>
      <c r="O68" s="164">
        <f>'CDM Activity'!C116</f>
        <v>149929.61251218556</v>
      </c>
      <c r="P68" s="105"/>
      <c r="Q68" s="105"/>
      <c r="R68" s="105"/>
      <c r="S68" s="106"/>
      <c r="T68" s="88"/>
      <c r="U68" s="104">
        <f t="shared" si="11"/>
        <v>10219984.842744254</v>
      </c>
      <c r="V68" s="272">
        <f t="shared" si="12"/>
        <v>65922.842744253576</v>
      </c>
      <c r="W68" s="273">
        <f t="shared" si="13"/>
        <v>6.4922631695821416E-3</v>
      </c>
      <c r="X68" s="273">
        <f t="shared" si="5"/>
        <v>6.4922631695821416E-3</v>
      </c>
      <c r="Y68" s="222"/>
      <c r="Z68" s="375"/>
      <c r="AD68" s="615"/>
      <c r="AE68" s="615"/>
      <c r="AG68" s="88"/>
      <c r="AH68" s="88"/>
      <c r="AI68" s="88"/>
      <c r="AJ68" s="88"/>
      <c r="AK68" s="88"/>
      <c r="AL68" s="88"/>
      <c r="AM68" s="88"/>
      <c r="AN68" s="88"/>
      <c r="AO68" s="88"/>
      <c r="AP68" s="88"/>
      <c r="AQ68" s="88"/>
      <c r="AR68" s="88"/>
      <c r="AS68" s="88"/>
    </row>
    <row r="69" spans="2:45">
      <c r="B69" s="100">
        <f t="shared" si="6"/>
        <v>40298</v>
      </c>
      <c r="C69" s="108">
        <v>8300785</v>
      </c>
      <c r="D69" s="111"/>
      <c r="E69" s="123"/>
      <c r="F69" s="111"/>
      <c r="G69" s="112"/>
      <c r="H69" s="110">
        <f t="shared" si="10"/>
        <v>8300785</v>
      </c>
      <c r="I69" s="369"/>
      <c r="J69" s="214">
        <f>'HDD &amp; CDD'!Q9</f>
        <v>258.09999999999997</v>
      </c>
      <c r="K69" s="214">
        <f>'HDD &amp; CDD'!Q27</f>
        <v>1.6</v>
      </c>
      <c r="L69" s="485">
        <f t="shared" si="4"/>
        <v>30</v>
      </c>
      <c r="M69" s="214">
        <v>1</v>
      </c>
      <c r="N69" s="485">
        <f>[22]Sheet1!C67</f>
        <v>2</v>
      </c>
      <c r="O69" s="164">
        <f>'CDM Activity'!C117</f>
        <v>150922.08725625151</v>
      </c>
      <c r="P69" s="105"/>
      <c r="Q69" s="105"/>
      <c r="R69" s="105"/>
      <c r="S69" s="106"/>
      <c r="T69" s="88"/>
      <c r="U69" s="104">
        <f t="shared" si="11"/>
        <v>8833746.1996417828</v>
      </c>
      <c r="V69" s="272">
        <f t="shared" si="12"/>
        <v>532961.19964178279</v>
      </c>
      <c r="W69" s="273">
        <f t="shared" si="13"/>
        <v>6.4206120221374577E-2</v>
      </c>
      <c r="X69" s="273">
        <f t="shared" si="5"/>
        <v>6.4206120221374577E-2</v>
      </c>
      <c r="Y69" s="222"/>
      <c r="Z69" s="375"/>
      <c r="AG69" s="88"/>
      <c r="AH69" s="88"/>
      <c r="AI69" s="88"/>
      <c r="AJ69" s="88"/>
      <c r="AK69" s="88"/>
      <c r="AL69" s="88"/>
      <c r="AM69" s="88"/>
      <c r="AN69" s="88"/>
      <c r="AO69" s="88"/>
      <c r="AP69" s="88"/>
      <c r="AQ69" s="88"/>
      <c r="AR69" s="88"/>
      <c r="AS69" s="88"/>
    </row>
    <row r="70" spans="2:45">
      <c r="B70" s="100">
        <f t="shared" si="6"/>
        <v>40329</v>
      </c>
      <c r="C70" s="108">
        <v>8510046</v>
      </c>
      <c r="D70" s="111"/>
      <c r="E70" s="123"/>
      <c r="F70" s="111"/>
      <c r="G70" s="112"/>
      <c r="H70" s="110">
        <f t="shared" ref="H70:H101" si="14">SUM(C70:G70)</f>
        <v>8510046</v>
      </c>
      <c r="I70" s="369"/>
      <c r="J70" s="214">
        <f>'HDD &amp; CDD'!Q10</f>
        <v>112.30000000000001</v>
      </c>
      <c r="K70" s="214">
        <f>'HDD &amp; CDD'!Q28</f>
        <v>38.199999999999996</v>
      </c>
      <c r="L70" s="485">
        <f t="shared" si="4"/>
        <v>31</v>
      </c>
      <c r="M70" s="214">
        <v>1</v>
      </c>
      <c r="N70" s="485">
        <f>[22]Sheet1!C68</f>
        <v>1</v>
      </c>
      <c r="O70" s="164">
        <f>'CDM Activity'!C118</f>
        <v>151914.56200031747</v>
      </c>
      <c r="P70" s="105"/>
      <c r="Q70" s="105"/>
      <c r="R70" s="105"/>
      <c r="S70" s="106"/>
      <c r="T70" s="88"/>
      <c r="U70" s="104">
        <f t="shared" ref="U70:U101" si="15">$AB$21+J70*$AB$22+K70*$AB$23+L70*$AB$24+M70*$AB$25+N70*$AB$26+O70*$AB$27</f>
        <v>9024408.6261633243</v>
      </c>
      <c r="V70" s="272">
        <f t="shared" ref="V70:V101" si="16">U70-H70</f>
        <v>514362.62616332434</v>
      </c>
      <c r="W70" s="273">
        <f t="shared" ref="W70:W101" si="17">V70/H70</f>
        <v>6.044181502230709E-2</v>
      </c>
      <c r="X70" s="273">
        <f t="shared" si="5"/>
        <v>6.044181502230709E-2</v>
      </c>
      <c r="Y70" s="222"/>
      <c r="Z70" s="375"/>
      <c r="AG70" s="88"/>
      <c r="AH70" s="88"/>
      <c r="AI70" s="88"/>
      <c r="AJ70" s="88"/>
      <c r="AK70" s="88"/>
      <c r="AL70" s="88"/>
      <c r="AM70" s="88"/>
      <c r="AN70" s="88"/>
      <c r="AO70" s="88"/>
      <c r="AP70" s="88"/>
      <c r="AQ70" s="88"/>
      <c r="AR70" s="88"/>
      <c r="AS70" s="88"/>
    </row>
    <row r="71" spans="2:45">
      <c r="B71" s="100">
        <f t="shared" si="6"/>
        <v>40359</v>
      </c>
      <c r="C71" s="108">
        <v>8680146</v>
      </c>
      <c r="D71" s="111"/>
      <c r="E71" s="123"/>
      <c r="F71" s="111"/>
      <c r="G71" s="112"/>
      <c r="H71" s="110">
        <f t="shared" si="14"/>
        <v>8680146</v>
      </c>
      <c r="I71" s="369"/>
      <c r="J71" s="214">
        <f>'HDD &amp; CDD'!Q11</f>
        <v>37.600000000000009</v>
      </c>
      <c r="K71" s="214">
        <f>'HDD &amp; CDD'!Q29</f>
        <v>33.4</v>
      </c>
      <c r="L71" s="485">
        <f t="shared" ref="L71:L134" si="18">DAY(EOMONTH(B71,0))</f>
        <v>30</v>
      </c>
      <c r="M71" s="214">
        <v>0</v>
      </c>
      <c r="N71" s="485">
        <f>[22]Sheet1!C69</f>
        <v>0</v>
      </c>
      <c r="O71" s="164">
        <f>'CDM Activity'!C119</f>
        <v>152907.03674438343</v>
      </c>
      <c r="P71" s="105"/>
      <c r="Q71" s="105"/>
      <c r="R71" s="105"/>
      <c r="S71" s="106"/>
      <c r="T71" s="88"/>
      <c r="U71" s="104">
        <f t="shared" si="15"/>
        <v>8821068.0114438813</v>
      </c>
      <c r="V71" s="272">
        <f t="shared" si="16"/>
        <v>140922.01144388132</v>
      </c>
      <c r="W71" s="273">
        <f t="shared" si="17"/>
        <v>1.6234981697759613E-2</v>
      </c>
      <c r="X71" s="273">
        <f t="shared" ref="X71:X125" si="19">ABS(W71)</f>
        <v>1.6234981697759613E-2</v>
      </c>
      <c r="Y71" s="222"/>
      <c r="Z71" s="375"/>
      <c r="AB71" s="92" t="s">
        <v>471</v>
      </c>
      <c r="AG71" s="88"/>
      <c r="AH71" s="88"/>
      <c r="AI71" s="88"/>
      <c r="AJ71" s="88"/>
      <c r="AK71" s="88"/>
      <c r="AL71" s="88"/>
      <c r="AM71" s="88"/>
      <c r="AN71" s="88"/>
      <c r="AO71" s="88"/>
      <c r="AP71" s="88"/>
      <c r="AQ71" s="88"/>
      <c r="AR71" s="88"/>
      <c r="AS71" s="88"/>
    </row>
    <row r="72" spans="2:45">
      <c r="B72" s="100">
        <f t="shared" ref="B72:B135" si="20">EOMONTH(B71,1)</f>
        <v>40390</v>
      </c>
      <c r="C72" s="108">
        <v>9983854</v>
      </c>
      <c r="D72" s="111"/>
      <c r="E72" s="123"/>
      <c r="F72" s="111"/>
      <c r="G72" s="112"/>
      <c r="H72" s="110">
        <f t="shared" si="14"/>
        <v>9983854</v>
      </c>
      <c r="I72" s="369"/>
      <c r="J72" s="214">
        <f>'HDD &amp; CDD'!Q12</f>
        <v>4.5</v>
      </c>
      <c r="K72" s="214">
        <f>'HDD &amp; CDD'!Q30</f>
        <v>150.79999999999998</v>
      </c>
      <c r="L72" s="485">
        <f t="shared" si="18"/>
        <v>31</v>
      </c>
      <c r="M72" s="214">
        <v>0</v>
      </c>
      <c r="N72" s="485">
        <f>[22]Sheet1!C70</f>
        <v>1</v>
      </c>
      <c r="O72" s="164">
        <f>'CDM Activity'!C120</f>
        <v>153899.51148844938</v>
      </c>
      <c r="P72" s="105"/>
      <c r="Q72" s="105"/>
      <c r="R72" s="105"/>
      <c r="S72" s="106"/>
      <c r="T72" s="88"/>
      <c r="U72" s="104">
        <f t="shared" si="15"/>
        <v>10475479.3182962</v>
      </c>
      <c r="V72" s="272">
        <f t="shared" si="16"/>
        <v>491625.31829619966</v>
      </c>
      <c r="W72" s="273">
        <f t="shared" si="17"/>
        <v>4.9242038024213862E-2</v>
      </c>
      <c r="X72" s="273">
        <f t="shared" si="19"/>
        <v>4.9242038024213862E-2</v>
      </c>
      <c r="Y72" s="222"/>
      <c r="Z72" s="375"/>
      <c r="AD72" s="88"/>
      <c r="AE72" s="128"/>
      <c r="AF72" s="88"/>
      <c r="AG72" s="88"/>
      <c r="AH72" s="88"/>
      <c r="AI72" s="83"/>
      <c r="AJ72" s="88"/>
      <c r="AK72" s="88"/>
      <c r="AL72" s="88"/>
      <c r="AM72" s="88"/>
      <c r="AN72" s="88"/>
      <c r="AO72" s="88"/>
      <c r="AP72" s="88"/>
      <c r="AQ72" s="88"/>
      <c r="AR72" s="88"/>
      <c r="AS72" s="88"/>
    </row>
    <row r="73" spans="2:45">
      <c r="B73" s="100">
        <f t="shared" si="20"/>
        <v>40421</v>
      </c>
      <c r="C73" s="108">
        <v>9543754</v>
      </c>
      <c r="D73" s="111"/>
      <c r="E73" s="123"/>
      <c r="F73" s="111"/>
      <c r="G73" s="112"/>
      <c r="H73" s="110">
        <f t="shared" si="14"/>
        <v>9543754</v>
      </c>
      <c r="I73" s="369"/>
      <c r="J73" s="214">
        <f>'HDD &amp; CDD'!Q13</f>
        <v>14.7</v>
      </c>
      <c r="K73" s="214">
        <f>'HDD &amp; CDD'!Q31</f>
        <v>93</v>
      </c>
      <c r="L73" s="485">
        <f t="shared" si="18"/>
        <v>31</v>
      </c>
      <c r="M73" s="214">
        <v>0</v>
      </c>
      <c r="N73" s="485">
        <f>[22]Sheet1!C71</f>
        <v>1</v>
      </c>
      <c r="O73" s="164">
        <f>'CDM Activity'!C121</f>
        <v>154891.98623251534</v>
      </c>
      <c r="P73" s="105"/>
      <c r="Q73" s="105"/>
      <c r="R73" s="105"/>
      <c r="S73" s="106"/>
      <c r="T73" s="88"/>
      <c r="U73" s="104">
        <f t="shared" si="15"/>
        <v>9690734.791365236</v>
      </c>
      <c r="V73" s="272">
        <f t="shared" si="16"/>
        <v>146980.79136523604</v>
      </c>
      <c r="W73" s="273">
        <f t="shared" si="17"/>
        <v>1.5400731343791557E-2</v>
      </c>
      <c r="X73" s="273">
        <f t="shared" si="19"/>
        <v>1.5400731343791557E-2</v>
      </c>
      <c r="Y73" s="222"/>
      <c r="Z73" s="375"/>
      <c r="AA73" s="88"/>
      <c r="AB73" s="88"/>
      <c r="AC73" s="88"/>
      <c r="AD73" s="88"/>
      <c r="AE73" s="128"/>
      <c r="AF73" s="88"/>
      <c r="AG73" s="88"/>
      <c r="AH73" s="88"/>
      <c r="AI73" s="83"/>
      <c r="AJ73" s="88"/>
      <c r="AK73" s="88"/>
      <c r="AL73" s="88"/>
      <c r="AM73" s="88"/>
      <c r="AN73" s="88"/>
      <c r="AO73" s="88"/>
      <c r="AP73" s="88"/>
      <c r="AQ73" s="88"/>
      <c r="AR73" s="88"/>
      <c r="AS73" s="88"/>
    </row>
    <row r="74" spans="2:45">
      <c r="B74" s="100">
        <f t="shared" si="20"/>
        <v>40451</v>
      </c>
      <c r="C74" s="108">
        <v>8579877</v>
      </c>
      <c r="D74" s="111"/>
      <c r="E74" s="123"/>
      <c r="F74" s="111"/>
      <c r="G74" s="112"/>
      <c r="H74" s="110">
        <f t="shared" si="14"/>
        <v>8579877</v>
      </c>
      <c r="I74" s="369"/>
      <c r="J74" s="214">
        <f>'HDD &amp; CDD'!Q14</f>
        <v>112</v>
      </c>
      <c r="K74" s="214">
        <f>'HDD &amp; CDD'!Q32</f>
        <v>26.200000000000003</v>
      </c>
      <c r="L74" s="485">
        <f t="shared" si="18"/>
        <v>30</v>
      </c>
      <c r="M74" s="214">
        <v>1</v>
      </c>
      <c r="N74" s="485">
        <f>[22]Sheet1!C72</f>
        <v>1</v>
      </c>
      <c r="O74" s="164">
        <f>'CDM Activity'!C122</f>
        <v>155884.46097658129</v>
      </c>
      <c r="P74" s="105"/>
      <c r="Q74" s="105"/>
      <c r="R74" s="105"/>
      <c r="S74" s="106"/>
      <c r="T74" s="88"/>
      <c r="U74" s="104">
        <f t="shared" si="15"/>
        <v>8601235.5769119095</v>
      </c>
      <c r="V74" s="272">
        <f t="shared" si="16"/>
        <v>21358.576911909506</v>
      </c>
      <c r="W74" s="273">
        <f t="shared" si="17"/>
        <v>2.4893803153482859E-3</v>
      </c>
      <c r="X74" s="273">
        <f t="shared" si="19"/>
        <v>2.4893803153482859E-3</v>
      </c>
      <c r="Y74" s="222"/>
      <c r="Z74" s="375"/>
      <c r="AA74" s="88"/>
      <c r="AB74" s="88"/>
      <c r="AC74" s="88"/>
      <c r="AD74" s="88"/>
      <c r="AE74" s="88"/>
      <c r="AF74" s="88"/>
      <c r="AG74" s="88"/>
      <c r="AH74" s="88"/>
      <c r="AI74" s="83"/>
      <c r="AJ74" s="88"/>
      <c r="AK74" s="88"/>
      <c r="AL74" s="88"/>
      <c r="AM74" s="88"/>
      <c r="AN74" s="88"/>
      <c r="AO74" s="88"/>
      <c r="AP74" s="88"/>
      <c r="AQ74" s="88"/>
      <c r="AR74" s="88"/>
      <c r="AS74" s="88"/>
    </row>
    <row r="75" spans="2:45">
      <c r="B75" s="100">
        <f t="shared" si="20"/>
        <v>40482</v>
      </c>
      <c r="C75" s="108">
        <v>8994685</v>
      </c>
      <c r="D75" s="111"/>
      <c r="E75" s="123"/>
      <c r="F75" s="111"/>
      <c r="G75" s="112"/>
      <c r="H75" s="110">
        <f t="shared" si="14"/>
        <v>8994685</v>
      </c>
      <c r="I75" s="369"/>
      <c r="J75" s="214">
        <f>'HDD &amp; CDD'!Q15</f>
        <v>311</v>
      </c>
      <c r="K75" s="214">
        <f>'HDD &amp; CDD'!Q33</f>
        <v>0</v>
      </c>
      <c r="L75" s="485">
        <f t="shared" si="18"/>
        <v>31</v>
      </c>
      <c r="M75" s="214">
        <v>1</v>
      </c>
      <c r="N75" s="485">
        <f>[22]Sheet1!C73</f>
        <v>1</v>
      </c>
      <c r="O75" s="164">
        <f>'CDM Activity'!C123</f>
        <v>156876.93572064725</v>
      </c>
      <c r="P75" s="105"/>
      <c r="Q75" s="105"/>
      <c r="R75" s="105"/>
      <c r="S75" s="106"/>
      <c r="T75" s="88"/>
      <c r="U75" s="104">
        <f t="shared" si="15"/>
        <v>9389743.8863178305</v>
      </c>
      <c r="V75" s="272">
        <f t="shared" si="16"/>
        <v>395058.88631783053</v>
      </c>
      <c r="W75" s="273">
        <f t="shared" si="17"/>
        <v>4.3921369822048299E-2</v>
      </c>
      <c r="X75" s="273">
        <f t="shared" si="19"/>
        <v>4.3921369822048299E-2</v>
      </c>
      <c r="Y75" s="222"/>
      <c r="Z75" s="375"/>
      <c r="AA75" s="88"/>
      <c r="AB75" s="88"/>
      <c r="AC75" s="88"/>
      <c r="AD75" s="88"/>
      <c r="AE75" s="88"/>
      <c r="AF75" s="88"/>
      <c r="AG75" s="88"/>
      <c r="AH75" s="88"/>
      <c r="AI75" s="83"/>
      <c r="AJ75" s="88"/>
      <c r="AK75" s="88"/>
      <c r="AL75" s="88"/>
      <c r="AM75" s="88"/>
      <c r="AN75" s="88"/>
      <c r="AO75" s="88"/>
      <c r="AP75" s="88"/>
      <c r="AQ75" s="88"/>
      <c r="AR75" s="88"/>
      <c r="AS75" s="88"/>
    </row>
    <row r="76" spans="2:45">
      <c r="B76" s="100">
        <f t="shared" si="20"/>
        <v>40512</v>
      </c>
      <c r="C76" s="108">
        <v>9833800</v>
      </c>
      <c r="D76" s="111"/>
      <c r="E76" s="123"/>
      <c r="F76" s="111"/>
      <c r="G76" s="112"/>
      <c r="H76" s="110">
        <f t="shared" si="14"/>
        <v>9833800</v>
      </c>
      <c r="I76" s="369"/>
      <c r="J76" s="214">
        <f>'HDD &amp; CDD'!Q16</f>
        <v>491.59999999999985</v>
      </c>
      <c r="K76" s="214">
        <f>'HDD &amp; CDD'!Q34</f>
        <v>0</v>
      </c>
      <c r="L76" s="485">
        <f t="shared" si="18"/>
        <v>30</v>
      </c>
      <c r="M76" s="214">
        <v>1</v>
      </c>
      <c r="N76" s="485">
        <f>[22]Sheet1!C74</f>
        <v>0</v>
      </c>
      <c r="O76" s="164">
        <f>'CDM Activity'!C124</f>
        <v>157869.4104647132</v>
      </c>
      <c r="P76" s="105"/>
      <c r="Q76" s="105"/>
      <c r="R76" s="105"/>
      <c r="S76" s="106"/>
      <c r="T76" s="88"/>
      <c r="U76" s="104">
        <f t="shared" si="15"/>
        <v>10103247.912672451</v>
      </c>
      <c r="V76" s="272">
        <f t="shared" si="16"/>
        <v>269447.91267245077</v>
      </c>
      <c r="W76" s="273">
        <f t="shared" si="17"/>
        <v>2.7400182297021576E-2</v>
      </c>
      <c r="X76" s="273">
        <f t="shared" si="19"/>
        <v>2.7400182297021576E-2</v>
      </c>
      <c r="Y76" s="222"/>
      <c r="Z76" s="375"/>
      <c r="AA76" s="88"/>
      <c r="AB76" s="88"/>
      <c r="AC76" s="88"/>
      <c r="AD76" s="88"/>
      <c r="AE76" s="88"/>
      <c r="AF76" s="88"/>
      <c r="AG76" s="88"/>
      <c r="AH76" s="88"/>
      <c r="AI76" s="83"/>
      <c r="AJ76" s="88"/>
      <c r="AK76" s="88"/>
      <c r="AL76" s="88"/>
      <c r="AM76" s="88"/>
      <c r="AN76" s="88"/>
      <c r="AO76" s="88"/>
      <c r="AP76" s="88"/>
      <c r="AQ76" s="88"/>
      <c r="AR76" s="88"/>
      <c r="AS76" s="88"/>
    </row>
    <row r="77" spans="2:45">
      <c r="B77" s="217">
        <f t="shared" si="20"/>
        <v>40543</v>
      </c>
      <c r="C77" s="124">
        <v>11438554</v>
      </c>
      <c r="D77" s="125"/>
      <c r="E77" s="125"/>
      <c r="F77" s="125"/>
      <c r="G77" s="126"/>
      <c r="H77" s="117">
        <f t="shared" si="14"/>
        <v>11438554</v>
      </c>
      <c r="I77" s="370"/>
      <c r="J77" s="165">
        <f>'HDD &amp; CDD'!Q17</f>
        <v>731.39999999999986</v>
      </c>
      <c r="K77" s="165">
        <f>'HDD &amp; CDD'!Q35</f>
        <v>0</v>
      </c>
      <c r="L77" s="486">
        <f t="shared" si="18"/>
        <v>31</v>
      </c>
      <c r="M77" s="165">
        <v>0</v>
      </c>
      <c r="N77" s="486">
        <f>[22]Sheet1!C75</f>
        <v>2</v>
      </c>
      <c r="O77" s="167">
        <f>'CDM Activity'!C125</f>
        <v>158861.88520877916</v>
      </c>
      <c r="P77" s="118"/>
      <c r="Q77" s="118"/>
      <c r="R77" s="118"/>
      <c r="S77" s="119"/>
      <c r="T77" s="120"/>
      <c r="U77" s="121">
        <f t="shared" si="15"/>
        <v>11580421.482652169</v>
      </c>
      <c r="V77" s="284">
        <f t="shared" si="16"/>
        <v>141867.48265216872</v>
      </c>
      <c r="W77" s="274">
        <f t="shared" si="17"/>
        <v>1.2402571396014628E-2</v>
      </c>
      <c r="X77" s="274">
        <f t="shared" si="19"/>
        <v>1.2402571396014628E-2</v>
      </c>
      <c r="Y77" s="222"/>
      <c r="Z77" s="375"/>
      <c r="AA77" s="88"/>
      <c r="AB77" s="88"/>
      <c r="AC77" s="88"/>
      <c r="AD77" s="88"/>
      <c r="AE77" s="88"/>
      <c r="AF77" s="88"/>
      <c r="AG77" s="88"/>
      <c r="AH77" s="88"/>
      <c r="AJ77" s="88"/>
      <c r="AK77" s="88"/>
      <c r="AL77" s="88"/>
      <c r="AM77" s="88"/>
      <c r="AN77" s="88"/>
      <c r="AO77" s="88"/>
      <c r="AP77" s="88"/>
      <c r="AQ77" s="88"/>
      <c r="AR77" s="88"/>
      <c r="AS77" s="88"/>
    </row>
    <row r="78" spans="2:45">
      <c r="B78" s="100">
        <f t="shared" si="20"/>
        <v>40574</v>
      </c>
      <c r="C78" s="108">
        <f>[21]Sheet1!C24</f>
        <v>12132585</v>
      </c>
      <c r="D78" s="111"/>
      <c r="E78" s="108">
        <f>[21]Sheet1!D24</f>
        <v>0</v>
      </c>
      <c r="F78" s="123"/>
      <c r="G78" s="112"/>
      <c r="H78" s="110">
        <f t="shared" si="14"/>
        <v>12132585</v>
      </c>
      <c r="I78" s="369"/>
      <c r="J78" s="214">
        <f>'HDD &amp; CDD'!R6</f>
        <v>888.7</v>
      </c>
      <c r="K78" s="214">
        <f>'HDD &amp; CDD'!R24</f>
        <v>0</v>
      </c>
      <c r="L78" s="485">
        <f t="shared" si="18"/>
        <v>31</v>
      </c>
      <c r="M78" s="214">
        <v>0</v>
      </c>
      <c r="N78" s="485">
        <f>[22]Sheet1!C76</f>
        <v>1</v>
      </c>
      <c r="O78" s="164">
        <f>'CDM Activity'!C126</f>
        <v>163326.59789935348</v>
      </c>
      <c r="P78" s="105"/>
      <c r="Q78" s="105"/>
      <c r="R78" s="105"/>
      <c r="S78" s="106"/>
      <c r="T78" s="88"/>
      <c r="U78" s="104">
        <f t="shared" si="15"/>
        <v>12413151.402470622</v>
      </c>
      <c r="V78" s="272">
        <f t="shared" si="16"/>
        <v>280566.40247062221</v>
      </c>
      <c r="W78" s="273">
        <f t="shared" si="17"/>
        <v>2.3125030854564153E-2</v>
      </c>
      <c r="X78" s="273">
        <f t="shared" si="19"/>
        <v>2.3125030854564153E-2</v>
      </c>
      <c r="Y78" s="222"/>
      <c r="Z78" s="375"/>
      <c r="AA78" s="88"/>
      <c r="AB78" s="88"/>
      <c r="AC78" s="88"/>
      <c r="AD78" s="88"/>
      <c r="AE78" s="88"/>
      <c r="AF78" s="88"/>
      <c r="AG78" s="88"/>
      <c r="AH78" s="83"/>
      <c r="AJ78" s="88"/>
      <c r="AK78" s="88"/>
      <c r="AL78" s="88"/>
      <c r="AM78" s="88"/>
      <c r="AN78" s="88"/>
      <c r="AO78" s="88"/>
      <c r="AP78" s="88"/>
      <c r="AQ78" s="88"/>
      <c r="AR78" s="88"/>
      <c r="AS78" s="88"/>
    </row>
    <row r="79" spans="2:45">
      <c r="B79" s="100">
        <f t="shared" si="20"/>
        <v>40602</v>
      </c>
      <c r="C79" s="108">
        <f>[21]Sheet1!C25</f>
        <v>10866454</v>
      </c>
      <c r="D79" s="111"/>
      <c r="E79" s="108">
        <f>[21]Sheet1!D25</f>
        <v>1799</v>
      </c>
      <c r="F79" s="123"/>
      <c r="G79" s="112"/>
      <c r="H79" s="110">
        <f t="shared" si="14"/>
        <v>10868253</v>
      </c>
      <c r="I79" s="369"/>
      <c r="J79" s="214">
        <f>'HDD &amp; CDD'!R7</f>
        <v>731.6</v>
      </c>
      <c r="K79" s="214">
        <f>'HDD &amp; CDD'!R25</f>
        <v>0</v>
      </c>
      <c r="L79" s="485">
        <f t="shared" si="18"/>
        <v>28</v>
      </c>
      <c r="M79" s="214">
        <v>0</v>
      </c>
      <c r="N79" s="485">
        <f>[22]Sheet1!C77</f>
        <v>1</v>
      </c>
      <c r="O79" s="164">
        <f>'CDM Activity'!C127</f>
        <v>167791.3105899278</v>
      </c>
      <c r="P79" s="105"/>
      <c r="Q79" s="105"/>
      <c r="R79" s="105"/>
      <c r="S79" s="106"/>
      <c r="T79" s="88"/>
      <c r="U79" s="104">
        <f t="shared" si="15"/>
        <v>10952373.72821979</v>
      </c>
      <c r="V79" s="272">
        <f t="shared" si="16"/>
        <v>84120.728219790384</v>
      </c>
      <c r="W79" s="273">
        <f t="shared" si="17"/>
        <v>7.7400414049792901E-3</v>
      </c>
      <c r="X79" s="273">
        <f t="shared" si="19"/>
        <v>7.7400414049792901E-3</v>
      </c>
      <c r="Y79" s="222"/>
      <c r="Z79" s="375"/>
      <c r="AA79" s="88"/>
      <c r="AB79" s="88"/>
      <c r="AC79" s="88"/>
      <c r="AD79" s="88"/>
      <c r="AE79" s="88"/>
      <c r="AF79" s="88"/>
      <c r="AG79" s="88"/>
      <c r="AH79" s="83"/>
      <c r="AJ79" s="88"/>
      <c r="AK79" s="88"/>
      <c r="AL79" s="88"/>
      <c r="AM79" s="88"/>
      <c r="AN79" s="88"/>
      <c r="AO79" s="88"/>
      <c r="AP79" s="88"/>
      <c r="AQ79" s="88"/>
      <c r="AR79" s="88"/>
      <c r="AS79" s="88"/>
    </row>
    <row r="80" spans="2:45">
      <c r="B80" s="100">
        <f t="shared" si="20"/>
        <v>40633</v>
      </c>
      <c r="C80" s="108">
        <f>[21]Sheet1!C26</f>
        <v>11067608</v>
      </c>
      <c r="D80" s="111"/>
      <c r="E80" s="108">
        <f>[21]Sheet1!D26</f>
        <v>1033</v>
      </c>
      <c r="F80" s="123"/>
      <c r="G80" s="112"/>
      <c r="H80" s="110">
        <f t="shared" si="14"/>
        <v>11068641</v>
      </c>
      <c r="I80" s="369"/>
      <c r="J80" s="214">
        <f>'HDD &amp; CDD'!R8</f>
        <v>634.59999999999991</v>
      </c>
      <c r="K80" s="214">
        <f>'HDD &amp; CDD'!R26</f>
        <v>0</v>
      </c>
      <c r="L80" s="485">
        <f t="shared" si="18"/>
        <v>31</v>
      </c>
      <c r="M80" s="214">
        <v>1</v>
      </c>
      <c r="N80" s="485">
        <f>[22]Sheet1!C78</f>
        <v>0</v>
      </c>
      <c r="O80" s="164">
        <f>'CDM Activity'!C128</f>
        <v>172256.02328050212</v>
      </c>
      <c r="P80" s="105"/>
      <c r="Q80" s="105"/>
      <c r="R80" s="105"/>
      <c r="S80" s="106"/>
      <c r="T80" s="88"/>
      <c r="U80" s="104">
        <f t="shared" si="15"/>
        <v>10967513.294443252</v>
      </c>
      <c r="V80" s="272">
        <f t="shared" si="16"/>
        <v>-101127.70555674843</v>
      </c>
      <c r="W80" s="273">
        <f t="shared" si="17"/>
        <v>-9.1364157132522803E-3</v>
      </c>
      <c r="X80" s="273">
        <f t="shared" si="19"/>
        <v>9.1364157132522803E-3</v>
      </c>
      <c r="Y80" s="222"/>
      <c r="Z80" s="375"/>
      <c r="AD80" s="88"/>
      <c r="AE80" s="88"/>
      <c r="AF80" s="88"/>
      <c r="AG80" s="88"/>
      <c r="AH80" s="83"/>
      <c r="AJ80" s="88"/>
      <c r="AK80" s="88"/>
      <c r="AL80" s="88"/>
      <c r="AM80" s="88"/>
      <c r="AN80" s="88"/>
      <c r="AO80" s="88"/>
      <c r="AP80" s="88"/>
      <c r="AQ80" s="88"/>
      <c r="AR80" s="88"/>
      <c r="AS80" s="88"/>
    </row>
    <row r="81" spans="2:45">
      <c r="B81" s="100">
        <f t="shared" si="20"/>
        <v>40663</v>
      </c>
      <c r="C81" s="108">
        <f>[21]Sheet1!C27</f>
        <v>9072415</v>
      </c>
      <c r="D81" s="111"/>
      <c r="E81" s="108">
        <f>[21]Sheet1!D27</f>
        <v>2402</v>
      </c>
      <c r="F81" s="123"/>
      <c r="G81" s="112"/>
      <c r="H81" s="110">
        <f t="shared" si="14"/>
        <v>9074817</v>
      </c>
      <c r="I81" s="369"/>
      <c r="J81" s="214">
        <f>'HDD &amp; CDD'!R9</f>
        <v>347.40000000000009</v>
      </c>
      <c r="K81" s="214">
        <f>'HDD &amp; CDD'!R27</f>
        <v>0</v>
      </c>
      <c r="L81" s="485">
        <f t="shared" si="18"/>
        <v>30</v>
      </c>
      <c r="M81" s="214">
        <v>1</v>
      </c>
      <c r="N81" s="485">
        <f>[22]Sheet1!C79</f>
        <v>2</v>
      </c>
      <c r="O81" s="164">
        <f>'CDM Activity'!C129</f>
        <v>176720.73597107644</v>
      </c>
      <c r="P81" s="105"/>
      <c r="Q81" s="105"/>
      <c r="R81" s="105"/>
      <c r="S81" s="106"/>
      <c r="T81" s="88"/>
      <c r="U81" s="104">
        <f t="shared" si="15"/>
        <v>9153198.6393112857</v>
      </c>
      <c r="V81" s="272">
        <f t="shared" si="16"/>
        <v>78381.639311285689</v>
      </c>
      <c r="W81" s="273">
        <f t="shared" si="17"/>
        <v>8.6372694139491401E-3</v>
      </c>
      <c r="X81" s="273">
        <f t="shared" si="19"/>
        <v>8.6372694139491401E-3</v>
      </c>
      <c r="Y81" s="222"/>
      <c r="Z81" s="375"/>
      <c r="AD81" s="88"/>
      <c r="AE81" s="88"/>
      <c r="AF81" s="88"/>
      <c r="AG81" s="88"/>
      <c r="AH81" s="83"/>
      <c r="AJ81" s="88"/>
      <c r="AK81" s="88"/>
      <c r="AL81" s="88"/>
      <c r="AM81" s="88"/>
      <c r="AN81" s="88"/>
      <c r="AO81" s="88"/>
      <c r="AP81" s="88"/>
      <c r="AQ81" s="88"/>
      <c r="AR81" s="88"/>
      <c r="AS81" s="88"/>
    </row>
    <row r="82" spans="2:45">
      <c r="B82" s="100">
        <f t="shared" si="20"/>
        <v>40694</v>
      </c>
      <c r="C82" s="108">
        <f>[21]Sheet1!C28</f>
        <v>8656277</v>
      </c>
      <c r="D82" s="111"/>
      <c r="E82" s="108">
        <f>[21]Sheet1!D28</f>
        <v>2602</v>
      </c>
      <c r="F82" s="123"/>
      <c r="G82" s="112"/>
      <c r="H82" s="110">
        <f t="shared" si="14"/>
        <v>8658879</v>
      </c>
      <c r="I82" s="369"/>
      <c r="J82" s="214">
        <f>'HDD &amp; CDD'!R10</f>
        <v>142.79999999999998</v>
      </c>
      <c r="K82" s="214">
        <f>'HDD &amp; CDD'!R28</f>
        <v>16.7</v>
      </c>
      <c r="L82" s="485">
        <f t="shared" si="18"/>
        <v>31</v>
      </c>
      <c r="M82" s="214">
        <v>1</v>
      </c>
      <c r="N82" s="485">
        <f>[22]Sheet1!C80</f>
        <v>1</v>
      </c>
      <c r="O82" s="164">
        <f>'CDM Activity'!C130</f>
        <v>181185.44866165076</v>
      </c>
      <c r="P82" s="105"/>
      <c r="Q82" s="105"/>
      <c r="R82" s="105"/>
      <c r="S82" s="106"/>
      <c r="T82" s="88"/>
      <c r="U82" s="104">
        <f t="shared" si="15"/>
        <v>8773638.717420321</v>
      </c>
      <c r="V82" s="272">
        <f t="shared" si="16"/>
        <v>114759.71742032096</v>
      </c>
      <c r="W82" s="273">
        <f t="shared" si="17"/>
        <v>1.3253415069123954E-2</v>
      </c>
      <c r="X82" s="273">
        <f t="shared" si="19"/>
        <v>1.3253415069123954E-2</v>
      </c>
      <c r="Y82" s="222"/>
      <c r="Z82" s="375"/>
      <c r="AD82" s="88"/>
      <c r="AE82" s="88"/>
      <c r="AF82" s="88"/>
      <c r="AG82" s="83"/>
      <c r="AH82" s="83"/>
      <c r="AJ82" s="88"/>
      <c r="AK82" s="88"/>
      <c r="AL82" s="88"/>
      <c r="AM82" s="88"/>
      <c r="AN82" s="88"/>
      <c r="AO82" s="88"/>
      <c r="AP82" s="88"/>
      <c r="AQ82" s="88"/>
      <c r="AR82" s="88"/>
      <c r="AS82" s="88"/>
    </row>
    <row r="83" spans="2:45">
      <c r="B83" s="100">
        <f t="shared" si="20"/>
        <v>40724</v>
      </c>
      <c r="C83" s="108">
        <f>[21]Sheet1!C29</f>
        <v>8776092</v>
      </c>
      <c r="D83" s="111"/>
      <c r="E83" s="108">
        <f>[21]Sheet1!D29</f>
        <v>2828</v>
      </c>
      <c r="F83" s="123"/>
      <c r="G83" s="112"/>
      <c r="H83" s="110">
        <f t="shared" si="14"/>
        <v>8778920</v>
      </c>
      <c r="I83" s="369"/>
      <c r="J83" s="214">
        <f>'HDD &amp; CDD'!R11</f>
        <v>18.5</v>
      </c>
      <c r="K83" s="214">
        <f>'HDD &amp; CDD'!R29</f>
        <v>59.1</v>
      </c>
      <c r="L83" s="485">
        <f t="shared" si="18"/>
        <v>30</v>
      </c>
      <c r="M83" s="214">
        <v>0</v>
      </c>
      <c r="N83" s="485">
        <f>[22]Sheet1!C81</f>
        <v>0</v>
      </c>
      <c r="O83" s="164">
        <f>'CDM Activity'!C131</f>
        <v>185650.16135222508</v>
      </c>
      <c r="P83" s="105"/>
      <c r="Q83" s="105"/>
      <c r="R83" s="105"/>
      <c r="S83" s="106"/>
      <c r="T83" s="88"/>
      <c r="U83" s="104">
        <f t="shared" si="15"/>
        <v>9006013.4441020694</v>
      </c>
      <c r="V83" s="272">
        <f t="shared" si="16"/>
        <v>227093.44410206936</v>
      </c>
      <c r="W83" s="273">
        <f t="shared" si="17"/>
        <v>2.5868038904793455E-2</v>
      </c>
      <c r="X83" s="273">
        <f t="shared" si="19"/>
        <v>2.5868038904793455E-2</v>
      </c>
      <c r="Y83" s="222"/>
      <c r="Z83" s="375"/>
      <c r="AD83" s="88"/>
      <c r="AE83" s="88"/>
      <c r="AF83" s="88"/>
      <c r="AG83" s="83"/>
      <c r="AJ83" s="88"/>
      <c r="AK83" s="88"/>
      <c r="AL83" s="88"/>
      <c r="AM83" s="88"/>
      <c r="AN83" s="88"/>
      <c r="AO83" s="88"/>
      <c r="AP83" s="88"/>
      <c r="AQ83" s="88"/>
      <c r="AR83" s="88"/>
      <c r="AS83" s="88"/>
    </row>
    <row r="84" spans="2:45">
      <c r="B84" s="100">
        <f t="shared" si="20"/>
        <v>40755</v>
      </c>
      <c r="C84" s="108">
        <f>[21]Sheet1!C30</f>
        <v>9998192</v>
      </c>
      <c r="D84" s="111"/>
      <c r="E84" s="108">
        <f>[21]Sheet1!D30</f>
        <v>3389</v>
      </c>
      <c r="F84" s="123"/>
      <c r="G84" s="112"/>
      <c r="H84" s="110">
        <f t="shared" si="14"/>
        <v>10001581</v>
      </c>
      <c r="I84" s="369"/>
      <c r="J84" s="214">
        <f>'HDD &amp; CDD'!R12</f>
        <v>0</v>
      </c>
      <c r="K84" s="214">
        <f>'HDD &amp; CDD'!R30</f>
        <v>137.5</v>
      </c>
      <c r="L84" s="485">
        <f t="shared" si="18"/>
        <v>31</v>
      </c>
      <c r="M84" s="214">
        <v>0</v>
      </c>
      <c r="N84" s="485">
        <f>[22]Sheet1!C82</f>
        <v>1</v>
      </c>
      <c r="O84" s="164">
        <f>'CDM Activity'!C132</f>
        <v>190114.87404279941</v>
      </c>
      <c r="P84" s="105"/>
      <c r="Q84" s="105"/>
      <c r="R84" s="105"/>
      <c r="S84" s="106"/>
      <c r="T84" s="88"/>
      <c r="U84" s="104">
        <f t="shared" si="15"/>
        <v>10158861.702963317</v>
      </c>
      <c r="V84" s="272">
        <f t="shared" si="16"/>
        <v>157280.70296331681</v>
      </c>
      <c r="W84" s="273">
        <f t="shared" si="17"/>
        <v>1.5725584081488397E-2</v>
      </c>
      <c r="X84" s="273">
        <f t="shared" si="19"/>
        <v>1.5725584081488397E-2</v>
      </c>
      <c r="Y84" s="222"/>
      <c r="Z84" s="375"/>
      <c r="AD84" s="88"/>
      <c r="AE84" s="88"/>
      <c r="AF84" s="88"/>
      <c r="AJ84" s="88"/>
      <c r="AK84" s="88"/>
      <c r="AL84" s="88"/>
      <c r="AM84" s="88"/>
      <c r="AN84" s="88"/>
      <c r="AO84" s="88"/>
      <c r="AP84" s="88"/>
      <c r="AQ84" s="88"/>
      <c r="AR84" s="88"/>
      <c r="AS84" s="88"/>
    </row>
    <row r="85" spans="2:45">
      <c r="B85" s="100">
        <f t="shared" si="20"/>
        <v>40786</v>
      </c>
      <c r="C85" s="108">
        <f>[21]Sheet1!C31</f>
        <v>9450654</v>
      </c>
      <c r="D85" s="111"/>
      <c r="E85" s="108">
        <f>[21]Sheet1!D31</f>
        <v>3782</v>
      </c>
      <c r="F85" s="123"/>
      <c r="G85" s="112"/>
      <c r="H85" s="110">
        <f t="shared" si="14"/>
        <v>9454436</v>
      </c>
      <c r="I85" s="369"/>
      <c r="J85" s="214">
        <f>'HDD &amp; CDD'!R13</f>
        <v>2.3000000000000003</v>
      </c>
      <c r="K85" s="214">
        <f>'HDD &amp; CDD'!R31</f>
        <v>82.300000000000011</v>
      </c>
      <c r="L85" s="485">
        <f t="shared" si="18"/>
        <v>31</v>
      </c>
      <c r="M85" s="214">
        <v>0</v>
      </c>
      <c r="N85" s="485">
        <f>[22]Sheet1!C83</f>
        <v>1</v>
      </c>
      <c r="O85" s="164">
        <f>'CDM Activity'!C133</f>
        <v>194579.58673337373</v>
      </c>
      <c r="P85" s="105"/>
      <c r="Q85" s="105"/>
      <c r="R85" s="105"/>
      <c r="S85" s="106"/>
      <c r="T85" s="88"/>
      <c r="U85" s="104">
        <f t="shared" si="15"/>
        <v>9364497.2496166117</v>
      </c>
      <c r="V85" s="272">
        <f t="shared" si="16"/>
        <v>-89938.750383388251</v>
      </c>
      <c r="W85" s="273">
        <f t="shared" si="17"/>
        <v>-9.5128625740750952E-3</v>
      </c>
      <c r="X85" s="273">
        <f t="shared" si="19"/>
        <v>9.5128625740750952E-3</v>
      </c>
      <c r="Y85" s="222"/>
      <c r="Z85" s="375"/>
      <c r="AD85" s="88"/>
      <c r="AE85" s="88"/>
      <c r="AF85" s="88"/>
      <c r="AJ85" s="88"/>
      <c r="AK85" s="88"/>
      <c r="AL85" s="88"/>
      <c r="AM85" s="88"/>
      <c r="AN85" s="88"/>
      <c r="AO85" s="88"/>
      <c r="AP85" s="88"/>
      <c r="AQ85" s="88"/>
      <c r="AR85" s="88"/>
      <c r="AS85" s="88"/>
    </row>
    <row r="86" spans="2:45">
      <c r="B86" s="100">
        <f t="shared" si="20"/>
        <v>40816</v>
      </c>
      <c r="C86" s="108">
        <f>[21]Sheet1!C32</f>
        <v>8631923</v>
      </c>
      <c r="D86" s="111"/>
      <c r="E86" s="108">
        <f>[21]Sheet1!D32</f>
        <v>3038</v>
      </c>
      <c r="F86" s="123"/>
      <c r="G86" s="112"/>
      <c r="H86" s="110">
        <f t="shared" si="14"/>
        <v>8634961</v>
      </c>
      <c r="I86" s="369"/>
      <c r="J86" s="214">
        <f>'HDD &amp; CDD'!R14</f>
        <v>55.4</v>
      </c>
      <c r="K86" s="214">
        <f>'HDD &amp; CDD'!R32</f>
        <v>32.9</v>
      </c>
      <c r="L86" s="485">
        <f t="shared" si="18"/>
        <v>30</v>
      </c>
      <c r="M86" s="214">
        <v>1</v>
      </c>
      <c r="N86" s="485">
        <f>[22]Sheet1!C84</f>
        <v>1</v>
      </c>
      <c r="O86" s="164">
        <f>'CDM Activity'!C134</f>
        <v>199044.29942394805</v>
      </c>
      <c r="P86" s="105"/>
      <c r="Q86" s="105"/>
      <c r="R86" s="105"/>
      <c r="S86" s="106"/>
      <c r="T86" s="88"/>
      <c r="U86" s="104">
        <f t="shared" si="15"/>
        <v>8308260.9333220311</v>
      </c>
      <c r="V86" s="272">
        <f t="shared" si="16"/>
        <v>-326700.06667796895</v>
      </c>
      <c r="W86" s="273">
        <f t="shared" si="17"/>
        <v>-3.7834573506234592E-2</v>
      </c>
      <c r="X86" s="273">
        <f t="shared" si="19"/>
        <v>3.7834573506234592E-2</v>
      </c>
      <c r="Y86" s="222"/>
      <c r="Z86" s="375"/>
      <c r="AA86" s="129"/>
      <c r="AB86" s="130"/>
      <c r="AC86" s="83"/>
      <c r="AD86" s="83"/>
      <c r="AE86" s="83"/>
      <c r="AF86" s="83"/>
      <c r="AJ86" s="88"/>
      <c r="AK86" s="88"/>
      <c r="AL86" s="88"/>
      <c r="AM86" s="88"/>
      <c r="AN86" s="88"/>
      <c r="AO86" s="88"/>
      <c r="AP86" s="88"/>
      <c r="AQ86" s="88"/>
      <c r="AR86" s="88"/>
      <c r="AS86" s="88"/>
    </row>
    <row r="87" spans="2:45">
      <c r="B87" s="100">
        <f t="shared" si="20"/>
        <v>40847</v>
      </c>
      <c r="C87" s="108">
        <f>[21]Sheet1!C33</f>
        <v>8921515</v>
      </c>
      <c r="D87" s="111"/>
      <c r="E87" s="108">
        <f>[21]Sheet1!D33</f>
        <v>5616</v>
      </c>
      <c r="F87" s="123"/>
      <c r="G87" s="112"/>
      <c r="H87" s="110">
        <f t="shared" si="14"/>
        <v>8927131</v>
      </c>
      <c r="I87" s="369"/>
      <c r="J87" s="214">
        <f>'HDD &amp; CDD'!R15</f>
        <v>259.10000000000002</v>
      </c>
      <c r="K87" s="214">
        <f>'HDD &amp; CDD'!R33</f>
        <v>1.4</v>
      </c>
      <c r="L87" s="485">
        <f t="shared" si="18"/>
        <v>31</v>
      </c>
      <c r="M87" s="214">
        <v>1</v>
      </c>
      <c r="N87" s="485">
        <f>[22]Sheet1!C85</f>
        <v>1</v>
      </c>
      <c r="O87" s="164">
        <f>'CDM Activity'!C135</f>
        <v>203509.01211452237</v>
      </c>
      <c r="P87" s="105"/>
      <c r="Q87" s="105"/>
      <c r="R87" s="105"/>
      <c r="S87" s="106"/>
      <c r="T87" s="88"/>
      <c r="U87" s="104">
        <f t="shared" si="15"/>
        <v>9032614.3527382482</v>
      </c>
      <c r="V87" s="272">
        <f t="shared" si="16"/>
        <v>105483.35273824818</v>
      </c>
      <c r="W87" s="273">
        <f t="shared" si="17"/>
        <v>1.1816041765069672E-2</v>
      </c>
      <c r="X87" s="273">
        <f t="shared" si="19"/>
        <v>1.1816041765069672E-2</v>
      </c>
      <c r="Y87" s="222"/>
      <c r="Z87" s="375"/>
      <c r="AA87" s="83"/>
      <c r="AB87" s="129"/>
      <c r="AC87" s="83"/>
      <c r="AD87" s="83"/>
      <c r="AE87" s="83"/>
      <c r="AF87" s="83"/>
      <c r="AJ87" s="88"/>
      <c r="AK87" s="88"/>
      <c r="AL87" s="88"/>
      <c r="AM87" s="88"/>
      <c r="AN87" s="88"/>
      <c r="AO87" s="88"/>
      <c r="AP87" s="88"/>
      <c r="AQ87" s="88"/>
      <c r="AR87" s="88"/>
      <c r="AS87" s="88"/>
    </row>
    <row r="88" spans="2:45">
      <c r="B88" s="100">
        <f t="shared" si="20"/>
        <v>40877</v>
      </c>
      <c r="C88" s="108">
        <f>[21]Sheet1!C34</f>
        <v>9478715</v>
      </c>
      <c r="D88" s="111"/>
      <c r="E88" s="108">
        <f>[21]Sheet1!D34</f>
        <v>3860</v>
      </c>
      <c r="F88" s="123"/>
      <c r="G88" s="112"/>
      <c r="H88" s="110">
        <f t="shared" si="14"/>
        <v>9482575</v>
      </c>
      <c r="I88" s="369"/>
      <c r="J88" s="214">
        <f>'HDD &amp; CDD'!R16</f>
        <v>392.9</v>
      </c>
      <c r="K88" s="214">
        <f>'HDD &amp; CDD'!R34</f>
        <v>0</v>
      </c>
      <c r="L88" s="485">
        <f t="shared" si="18"/>
        <v>30</v>
      </c>
      <c r="M88" s="214">
        <v>1</v>
      </c>
      <c r="N88" s="485">
        <f>[22]Sheet1!C86</f>
        <v>0</v>
      </c>
      <c r="O88" s="164">
        <f>'CDM Activity'!C136</f>
        <v>207973.72480509669</v>
      </c>
      <c r="P88" s="105"/>
      <c r="Q88" s="105"/>
      <c r="R88" s="105"/>
      <c r="S88" s="106"/>
      <c r="T88" s="88"/>
      <c r="U88" s="104">
        <f t="shared" si="15"/>
        <v>9497434.4307287745</v>
      </c>
      <c r="V88" s="272">
        <f t="shared" si="16"/>
        <v>14859.430728774518</v>
      </c>
      <c r="W88" s="273">
        <f t="shared" si="17"/>
        <v>1.5670248565157162E-3</v>
      </c>
      <c r="X88" s="273">
        <f t="shared" si="19"/>
        <v>1.5670248565157162E-3</v>
      </c>
      <c r="Y88" s="222"/>
      <c r="Z88" s="375"/>
      <c r="AJ88" s="88"/>
      <c r="AK88" s="88"/>
      <c r="AL88" s="88"/>
      <c r="AM88" s="88"/>
      <c r="AN88" s="88"/>
      <c r="AO88" s="88"/>
      <c r="AP88" s="88"/>
      <c r="AQ88" s="88"/>
      <c r="AR88" s="88"/>
      <c r="AS88" s="88"/>
    </row>
    <row r="89" spans="2:45">
      <c r="B89" s="217">
        <f t="shared" si="20"/>
        <v>40908</v>
      </c>
      <c r="C89" s="124">
        <f>[21]Sheet1!C35</f>
        <v>10916892</v>
      </c>
      <c r="D89" s="125"/>
      <c r="E89" s="124">
        <f>[21]Sheet1!D35</f>
        <v>2771</v>
      </c>
      <c r="F89" s="125"/>
      <c r="G89" s="126"/>
      <c r="H89" s="117">
        <f t="shared" si="14"/>
        <v>10919663</v>
      </c>
      <c r="I89" s="370"/>
      <c r="J89" s="165">
        <f>'HDD &amp; CDD'!R17</f>
        <v>672.19999999999993</v>
      </c>
      <c r="K89" s="165">
        <f>'HDD &amp; CDD'!R35</f>
        <v>0</v>
      </c>
      <c r="L89" s="486">
        <f t="shared" si="18"/>
        <v>31</v>
      </c>
      <c r="M89" s="165">
        <v>0</v>
      </c>
      <c r="N89" s="486">
        <f>[22]Sheet1!C87</f>
        <v>2</v>
      </c>
      <c r="O89" s="167">
        <f>'CDM Activity'!C137</f>
        <v>212438.43749567101</v>
      </c>
      <c r="P89" s="118"/>
      <c r="Q89" s="118"/>
      <c r="R89" s="118"/>
      <c r="S89" s="119"/>
      <c r="T89" s="120"/>
      <c r="U89" s="121">
        <f t="shared" si="15"/>
        <v>11149027.326732604</v>
      </c>
      <c r="V89" s="284">
        <f t="shared" si="16"/>
        <v>229364.32673260383</v>
      </c>
      <c r="W89" s="274">
        <f t="shared" si="17"/>
        <v>2.1004707446796098E-2</v>
      </c>
      <c r="X89" s="274">
        <f t="shared" si="19"/>
        <v>2.1004707446796098E-2</v>
      </c>
      <c r="Y89" s="222"/>
      <c r="Z89" s="375"/>
      <c r="AJ89" s="88"/>
      <c r="AK89" s="88"/>
      <c r="AL89" s="88"/>
      <c r="AM89" s="88"/>
      <c r="AN89" s="88"/>
      <c r="AO89" s="88"/>
      <c r="AP89" s="88"/>
      <c r="AQ89" s="88"/>
      <c r="AR89" s="88"/>
      <c r="AS89" s="88"/>
    </row>
    <row r="90" spans="2:45">
      <c r="B90" s="100">
        <f t="shared" si="20"/>
        <v>40939</v>
      </c>
      <c r="C90" s="108">
        <f>[21]Sheet1!C36</f>
        <v>11698538</v>
      </c>
      <c r="D90" s="111"/>
      <c r="E90" s="108">
        <f>[21]Sheet1!D36</f>
        <v>1792</v>
      </c>
      <c r="F90" s="123"/>
      <c r="G90" s="112"/>
      <c r="H90" s="110">
        <f t="shared" si="14"/>
        <v>11700330</v>
      </c>
      <c r="I90" s="369"/>
      <c r="J90" s="214">
        <f>'HDD &amp; CDD'!S6</f>
        <v>831.00000000000023</v>
      </c>
      <c r="K90" s="214">
        <f>'HDD &amp; CDD'!S24</f>
        <v>0</v>
      </c>
      <c r="L90" s="485">
        <f t="shared" si="18"/>
        <v>31</v>
      </c>
      <c r="M90" s="214">
        <v>0</v>
      </c>
      <c r="N90" s="485">
        <f>[22]Sheet1!C88</f>
        <v>1</v>
      </c>
      <c r="O90" s="164">
        <f>'CDM Activity'!C138</f>
        <v>217943.86721066199</v>
      </c>
      <c r="P90" s="105"/>
      <c r="Q90" s="105"/>
      <c r="R90" s="105"/>
      <c r="S90" s="106"/>
      <c r="T90" s="88"/>
      <c r="U90" s="104">
        <f t="shared" si="15"/>
        <v>11985752.455270387</v>
      </c>
      <c r="V90" s="272">
        <f t="shared" si="16"/>
        <v>285422.45527038723</v>
      </c>
      <c r="W90" s="273">
        <f t="shared" si="17"/>
        <v>2.4394393600042669E-2</v>
      </c>
      <c r="X90" s="273">
        <f t="shared" si="19"/>
        <v>2.4394393600042669E-2</v>
      </c>
      <c r="Y90" s="222"/>
      <c r="Z90" s="375"/>
      <c r="AJ90" s="88"/>
      <c r="AK90" s="88"/>
      <c r="AL90" s="88"/>
      <c r="AM90" s="88"/>
      <c r="AN90" s="88"/>
      <c r="AO90" s="88"/>
      <c r="AP90" s="88"/>
      <c r="AQ90" s="88"/>
      <c r="AR90" s="88"/>
      <c r="AS90" s="88"/>
    </row>
    <row r="91" spans="2:45">
      <c r="B91" s="100">
        <f t="shared" si="20"/>
        <v>40968</v>
      </c>
      <c r="C91" s="108">
        <f>[21]Sheet1!C37</f>
        <v>10394346</v>
      </c>
      <c r="D91" s="111"/>
      <c r="E91" s="108">
        <f>[21]Sheet1!D37</f>
        <v>1495</v>
      </c>
      <c r="F91" s="123"/>
      <c r="G91" s="112"/>
      <c r="H91" s="110">
        <f t="shared" si="14"/>
        <v>10395841</v>
      </c>
      <c r="I91" s="369"/>
      <c r="J91" s="214">
        <f>'HDD &amp; CDD'!S7</f>
        <v>671.39999999999986</v>
      </c>
      <c r="K91" s="214">
        <f>'HDD &amp; CDD'!S25</f>
        <v>0</v>
      </c>
      <c r="L91" s="485">
        <f t="shared" si="18"/>
        <v>29</v>
      </c>
      <c r="M91" s="214">
        <v>0</v>
      </c>
      <c r="N91" s="485">
        <f>[22]Sheet1!C89</f>
        <v>1</v>
      </c>
      <c r="O91" s="164">
        <f>'CDM Activity'!C139</f>
        <v>223449.29692565298</v>
      </c>
      <c r="P91" s="105"/>
      <c r="Q91" s="105"/>
      <c r="R91" s="105"/>
      <c r="S91" s="106"/>
      <c r="T91" s="88"/>
      <c r="U91" s="104">
        <f t="shared" si="15"/>
        <v>10748366.018034752</v>
      </c>
      <c r="V91" s="272">
        <f t="shared" si="16"/>
        <v>352525.01803475246</v>
      </c>
      <c r="W91" s="273">
        <f t="shared" si="17"/>
        <v>3.3910197167766651E-2</v>
      </c>
      <c r="X91" s="273">
        <f t="shared" si="19"/>
        <v>3.3910197167766651E-2</v>
      </c>
      <c r="Y91" s="222"/>
      <c r="Z91" s="375"/>
      <c r="AJ91" s="88"/>
      <c r="AK91" s="88"/>
      <c r="AL91" s="88"/>
      <c r="AM91" s="88"/>
      <c r="AN91" s="88"/>
      <c r="AO91" s="88"/>
      <c r="AP91" s="88"/>
      <c r="AQ91" s="88"/>
      <c r="AR91" s="88"/>
      <c r="AS91" s="88"/>
    </row>
    <row r="92" spans="2:45">
      <c r="B92" s="100">
        <f t="shared" si="20"/>
        <v>40999</v>
      </c>
      <c r="C92" s="108">
        <f>[21]Sheet1!C38</f>
        <v>9868346</v>
      </c>
      <c r="D92" s="111"/>
      <c r="E92" s="108">
        <f>[21]Sheet1!D38</f>
        <v>3678</v>
      </c>
      <c r="F92" s="123"/>
      <c r="G92" s="112"/>
      <c r="H92" s="110">
        <f t="shared" si="14"/>
        <v>9872024</v>
      </c>
      <c r="I92" s="369"/>
      <c r="J92" s="214">
        <f>'HDD &amp; CDD'!S8</f>
        <v>460.29999999999984</v>
      </c>
      <c r="K92" s="214">
        <f>'HDD &amp; CDD'!S26</f>
        <v>0</v>
      </c>
      <c r="L92" s="485">
        <f t="shared" si="18"/>
        <v>31</v>
      </c>
      <c r="M92" s="214">
        <v>1</v>
      </c>
      <c r="N92" s="485">
        <f>[22]Sheet1!C90</f>
        <v>0</v>
      </c>
      <c r="O92" s="164">
        <f>'CDM Activity'!C140</f>
        <v>228954.72664064396</v>
      </c>
      <c r="P92" s="105"/>
      <c r="Q92" s="105"/>
      <c r="R92" s="105"/>
      <c r="S92" s="106"/>
      <c r="T92" s="88"/>
      <c r="U92" s="104">
        <f t="shared" si="15"/>
        <v>9989586.065389229</v>
      </c>
      <c r="V92" s="272">
        <f t="shared" si="16"/>
        <v>117562.06538922898</v>
      </c>
      <c r="W92" s="273">
        <f t="shared" si="17"/>
        <v>1.1908608142487193E-2</v>
      </c>
      <c r="X92" s="273">
        <f t="shared" si="19"/>
        <v>1.1908608142487193E-2</v>
      </c>
      <c r="Y92" s="222"/>
      <c r="Z92" s="375"/>
      <c r="AJ92" s="88"/>
      <c r="AK92" s="88"/>
      <c r="AL92" s="88"/>
      <c r="AM92" s="88"/>
      <c r="AN92" s="88"/>
      <c r="AO92" s="88"/>
      <c r="AP92" s="88"/>
      <c r="AQ92" s="88"/>
      <c r="AR92" s="88"/>
      <c r="AS92" s="88"/>
    </row>
    <row r="93" spans="2:45">
      <c r="B93" s="100">
        <f t="shared" si="20"/>
        <v>41029</v>
      </c>
      <c r="C93" s="108">
        <f>[21]Sheet1!C39</f>
        <v>8701738</v>
      </c>
      <c r="D93" s="111"/>
      <c r="E93" s="108">
        <f>[21]Sheet1!D39</f>
        <v>5711</v>
      </c>
      <c r="F93" s="123"/>
      <c r="G93" s="112"/>
      <c r="H93" s="110">
        <f t="shared" si="14"/>
        <v>8707449</v>
      </c>
      <c r="I93" s="369"/>
      <c r="J93" s="214">
        <f>'HDD &amp; CDD'!S9</f>
        <v>363.30000000000007</v>
      </c>
      <c r="K93" s="214">
        <f>'HDD &amp; CDD'!S27</f>
        <v>3.2</v>
      </c>
      <c r="L93" s="485">
        <f t="shared" si="18"/>
        <v>30</v>
      </c>
      <c r="M93" s="214">
        <v>1</v>
      </c>
      <c r="N93" s="485">
        <f>[22]Sheet1!C91</f>
        <v>2</v>
      </c>
      <c r="O93" s="164">
        <f>'CDM Activity'!C141</f>
        <v>234460.15635563494</v>
      </c>
      <c r="P93" s="105"/>
      <c r="Q93" s="105"/>
      <c r="R93" s="105"/>
      <c r="S93" s="106"/>
      <c r="T93" s="88"/>
      <c r="U93" s="104">
        <f t="shared" si="15"/>
        <v>9106398.9120746031</v>
      </c>
      <c r="V93" s="272">
        <f t="shared" si="16"/>
        <v>398949.91207460314</v>
      </c>
      <c r="W93" s="273">
        <f t="shared" si="17"/>
        <v>4.5817082830413726E-2</v>
      </c>
      <c r="X93" s="273">
        <f t="shared" si="19"/>
        <v>4.5817082830413726E-2</v>
      </c>
      <c r="Y93" s="222"/>
      <c r="Z93" s="375"/>
      <c r="AJ93" s="88"/>
      <c r="AK93" s="88"/>
      <c r="AL93" s="88"/>
      <c r="AM93" s="88"/>
      <c r="AN93" s="88"/>
      <c r="AO93" s="88"/>
      <c r="AP93" s="88"/>
      <c r="AQ93" s="88"/>
      <c r="AR93" s="88"/>
      <c r="AS93" s="88"/>
    </row>
    <row r="94" spans="2:45">
      <c r="B94" s="100">
        <f t="shared" si="20"/>
        <v>41060</v>
      </c>
      <c r="C94" s="108">
        <f>[21]Sheet1!C40</f>
        <v>8473818</v>
      </c>
      <c r="D94" s="111"/>
      <c r="E94" s="108">
        <f>[21]Sheet1!D40</f>
        <v>6666</v>
      </c>
      <c r="F94" s="123"/>
      <c r="G94" s="112"/>
      <c r="H94" s="110">
        <f t="shared" si="14"/>
        <v>8480484</v>
      </c>
      <c r="I94" s="369"/>
      <c r="J94" s="214">
        <f>'HDD &amp; CDD'!S10</f>
        <v>102.4</v>
      </c>
      <c r="K94" s="214">
        <f>'HDD &amp; CDD'!S28</f>
        <v>21</v>
      </c>
      <c r="L94" s="485">
        <f t="shared" si="18"/>
        <v>31</v>
      </c>
      <c r="M94" s="214">
        <v>1</v>
      </c>
      <c r="N94" s="485">
        <f>[22]Sheet1!C92</f>
        <v>1</v>
      </c>
      <c r="O94" s="164">
        <f>'CDM Activity'!C142</f>
        <v>239965.58607062593</v>
      </c>
      <c r="P94" s="105"/>
      <c r="Q94" s="105"/>
      <c r="R94" s="105"/>
      <c r="S94" s="106"/>
      <c r="T94" s="88"/>
      <c r="U94" s="104">
        <f t="shared" si="15"/>
        <v>8476701.0975409057</v>
      </c>
      <c r="V94" s="272">
        <f t="shared" si="16"/>
        <v>-3782.9024590943009</v>
      </c>
      <c r="W94" s="273">
        <f t="shared" si="17"/>
        <v>-4.4607152835785088E-4</v>
      </c>
      <c r="X94" s="273">
        <f t="shared" si="19"/>
        <v>4.4607152835785088E-4</v>
      </c>
      <c r="Y94" s="222"/>
      <c r="Z94" s="375"/>
      <c r="AJ94" s="88"/>
      <c r="AK94" s="88"/>
      <c r="AL94" s="88"/>
      <c r="AM94" s="88"/>
      <c r="AN94" s="88"/>
      <c r="AO94" s="88"/>
      <c r="AP94" s="88"/>
      <c r="AQ94" s="88"/>
      <c r="AR94" s="88"/>
      <c r="AS94" s="88"/>
    </row>
    <row r="95" spans="2:45">
      <c r="B95" s="100">
        <f t="shared" si="20"/>
        <v>41090</v>
      </c>
      <c r="C95" s="108">
        <f>[21]Sheet1!C41</f>
        <v>9028518</v>
      </c>
      <c r="D95" s="111"/>
      <c r="E95" s="108">
        <f>[21]Sheet1!D41</f>
        <v>8514</v>
      </c>
      <c r="F95" s="123"/>
      <c r="G95" s="112"/>
      <c r="H95" s="110">
        <f t="shared" si="14"/>
        <v>9037032</v>
      </c>
      <c r="I95" s="369"/>
      <c r="J95" s="214">
        <f>'HDD &amp; CDD'!S11</f>
        <v>31.4</v>
      </c>
      <c r="K95" s="214">
        <f>'HDD &amp; CDD'!S29</f>
        <v>70.399999999999991</v>
      </c>
      <c r="L95" s="485">
        <f t="shared" si="18"/>
        <v>30</v>
      </c>
      <c r="M95" s="214">
        <v>0</v>
      </c>
      <c r="N95" s="485">
        <f>[22]Sheet1!C93</f>
        <v>0</v>
      </c>
      <c r="O95" s="164">
        <f>'CDM Activity'!C143</f>
        <v>245471.01578561691</v>
      </c>
      <c r="P95" s="105"/>
      <c r="Q95" s="105"/>
      <c r="R95" s="105"/>
      <c r="S95" s="106"/>
      <c r="T95" s="88"/>
      <c r="U95" s="104">
        <f t="shared" si="15"/>
        <v>9055430.6312932037</v>
      </c>
      <c r="V95" s="272">
        <f t="shared" si="16"/>
        <v>18398.631293203682</v>
      </c>
      <c r="W95" s="273">
        <f t="shared" si="17"/>
        <v>2.0359152532826797E-3</v>
      </c>
      <c r="X95" s="273">
        <f t="shared" si="19"/>
        <v>2.0359152532826797E-3</v>
      </c>
      <c r="Y95" s="222"/>
      <c r="Z95" s="375"/>
      <c r="AG95" s="83"/>
      <c r="AJ95" s="88"/>
      <c r="AK95" s="88"/>
      <c r="AL95" s="88"/>
      <c r="AM95" s="88"/>
      <c r="AN95" s="88"/>
      <c r="AO95" s="88"/>
      <c r="AP95" s="88"/>
      <c r="AQ95" s="88"/>
      <c r="AR95" s="88"/>
      <c r="AS95" s="88"/>
    </row>
    <row r="96" spans="2:45">
      <c r="B96" s="100">
        <f t="shared" si="20"/>
        <v>41121</v>
      </c>
      <c r="C96" s="108">
        <f>[21]Sheet1!C42</f>
        <v>9776500</v>
      </c>
      <c r="D96" s="111"/>
      <c r="E96" s="108">
        <f>[21]Sheet1!D42</f>
        <v>8372</v>
      </c>
      <c r="F96" s="123"/>
      <c r="G96" s="112"/>
      <c r="H96" s="110">
        <f t="shared" si="14"/>
        <v>9784872</v>
      </c>
      <c r="I96" s="369"/>
      <c r="J96" s="214">
        <f>'HDD &amp; CDD'!S12</f>
        <v>0</v>
      </c>
      <c r="K96" s="214">
        <f>'HDD &amp; CDD'!S30</f>
        <v>142.20000000000005</v>
      </c>
      <c r="L96" s="485">
        <f t="shared" si="18"/>
        <v>31</v>
      </c>
      <c r="M96" s="214">
        <v>0</v>
      </c>
      <c r="N96" s="485">
        <f>[22]Sheet1!C94</f>
        <v>1</v>
      </c>
      <c r="O96" s="164">
        <f>'CDM Activity'!C144</f>
        <v>250976.44550060789</v>
      </c>
      <c r="P96" s="105"/>
      <c r="Q96" s="105"/>
      <c r="R96" s="105"/>
      <c r="S96" s="106"/>
      <c r="T96" s="88"/>
      <c r="U96" s="104">
        <f t="shared" si="15"/>
        <v>10050308.876072662</v>
      </c>
      <c r="V96" s="272">
        <f t="shared" si="16"/>
        <v>265436.87607266195</v>
      </c>
      <c r="W96" s="273">
        <f t="shared" si="17"/>
        <v>2.712727116641505E-2</v>
      </c>
      <c r="X96" s="273">
        <f t="shared" si="19"/>
        <v>2.712727116641505E-2</v>
      </c>
      <c r="Y96" s="222"/>
      <c r="Z96" s="375"/>
      <c r="AG96" s="83"/>
      <c r="AJ96" s="88"/>
      <c r="AK96" s="88"/>
      <c r="AL96" s="88"/>
      <c r="AM96" s="88"/>
      <c r="AN96" s="88"/>
      <c r="AO96" s="88"/>
      <c r="AP96" s="88"/>
      <c r="AQ96" s="88"/>
      <c r="AR96" s="88"/>
      <c r="AS96" s="88"/>
    </row>
    <row r="97" spans="2:45">
      <c r="B97" s="100">
        <f t="shared" si="20"/>
        <v>41152</v>
      </c>
      <c r="C97" s="108">
        <f>[21]Sheet1!C43</f>
        <v>9430200</v>
      </c>
      <c r="D97" s="111"/>
      <c r="E97" s="108">
        <f>[21]Sheet1!D43</f>
        <v>8141</v>
      </c>
      <c r="F97" s="123"/>
      <c r="G97" s="112"/>
      <c r="H97" s="110">
        <f t="shared" si="14"/>
        <v>9438341</v>
      </c>
      <c r="I97" s="369"/>
      <c r="J97" s="214">
        <f>'HDD &amp; CDD'!S13</f>
        <v>8.4</v>
      </c>
      <c r="K97" s="214">
        <f>'HDD &amp; CDD'!S31</f>
        <v>97.600000000000009</v>
      </c>
      <c r="L97" s="485">
        <f t="shared" si="18"/>
        <v>31</v>
      </c>
      <c r="M97" s="214">
        <v>0</v>
      </c>
      <c r="N97" s="485">
        <f>[22]Sheet1!C95</f>
        <v>1</v>
      </c>
      <c r="O97" s="164">
        <f>'CDM Activity'!C145</f>
        <v>256481.87521559888</v>
      </c>
      <c r="P97" s="105"/>
      <c r="Q97" s="105"/>
      <c r="R97" s="105"/>
      <c r="S97" s="106"/>
      <c r="T97" s="88"/>
      <c r="U97" s="104">
        <f t="shared" si="15"/>
        <v>9433545.2921183202</v>
      </c>
      <c r="V97" s="272">
        <f t="shared" si="16"/>
        <v>-4795.7078816797584</v>
      </c>
      <c r="W97" s="273">
        <f t="shared" si="17"/>
        <v>-5.0810919860595825E-4</v>
      </c>
      <c r="X97" s="273">
        <f t="shared" si="19"/>
        <v>5.0810919860595825E-4</v>
      </c>
      <c r="Y97" s="222"/>
      <c r="Z97" s="375"/>
      <c r="AJ97" s="88"/>
      <c r="AK97" s="88"/>
      <c r="AL97" s="88"/>
      <c r="AM97" s="88"/>
      <c r="AN97" s="88"/>
      <c r="AO97" s="88"/>
      <c r="AP97" s="88"/>
      <c r="AQ97" s="88"/>
      <c r="AR97" s="88"/>
      <c r="AS97" s="88"/>
    </row>
    <row r="98" spans="2:45">
      <c r="B98" s="100">
        <f t="shared" si="20"/>
        <v>41182</v>
      </c>
      <c r="C98" s="108">
        <f>[21]Sheet1!C44</f>
        <v>8456345</v>
      </c>
      <c r="D98" s="111"/>
      <c r="E98" s="108">
        <f>[21]Sheet1!D44</f>
        <v>7448</v>
      </c>
      <c r="F98" s="123"/>
      <c r="G98" s="112"/>
      <c r="H98" s="110">
        <f t="shared" si="14"/>
        <v>8463793</v>
      </c>
      <c r="I98" s="369"/>
      <c r="J98" s="214">
        <f>'HDD &amp; CDD'!S14</f>
        <v>127.30000000000001</v>
      </c>
      <c r="K98" s="214">
        <f>'HDD &amp; CDD'!S32</f>
        <v>20.6</v>
      </c>
      <c r="L98" s="485">
        <f t="shared" si="18"/>
        <v>30</v>
      </c>
      <c r="M98" s="214">
        <v>1</v>
      </c>
      <c r="N98" s="485">
        <f>[22]Sheet1!C96</f>
        <v>1</v>
      </c>
      <c r="O98" s="164">
        <f>'CDM Activity'!C146</f>
        <v>261987.30493058986</v>
      </c>
      <c r="P98" s="105"/>
      <c r="Q98" s="105"/>
      <c r="R98" s="105"/>
      <c r="S98" s="106"/>
      <c r="T98" s="88"/>
      <c r="U98" s="104">
        <f t="shared" si="15"/>
        <v>8285481.1324438173</v>
      </c>
      <c r="V98" s="272">
        <f t="shared" si="16"/>
        <v>-178311.86755618267</v>
      </c>
      <c r="W98" s="273">
        <f t="shared" si="17"/>
        <v>-2.1067607342970543E-2</v>
      </c>
      <c r="X98" s="273">
        <f t="shared" si="19"/>
        <v>2.1067607342970543E-2</v>
      </c>
      <c r="Y98" s="222"/>
      <c r="Z98" s="375"/>
      <c r="AJ98" s="88"/>
      <c r="AK98" s="88"/>
      <c r="AL98" s="88"/>
      <c r="AM98" s="88"/>
      <c r="AN98" s="88"/>
      <c r="AO98" s="88"/>
      <c r="AP98" s="88"/>
      <c r="AQ98" s="88"/>
      <c r="AR98" s="88"/>
      <c r="AS98" s="88"/>
    </row>
    <row r="99" spans="2:45">
      <c r="B99" s="100">
        <f t="shared" si="20"/>
        <v>41213</v>
      </c>
      <c r="C99" s="108">
        <f>[21]Sheet1!C45</f>
        <v>8663345</v>
      </c>
      <c r="D99" s="111"/>
      <c r="E99" s="108">
        <f>[21]Sheet1!D45</f>
        <v>6062</v>
      </c>
      <c r="F99" s="123"/>
      <c r="G99" s="112"/>
      <c r="H99" s="110">
        <f t="shared" si="14"/>
        <v>8669407</v>
      </c>
      <c r="I99" s="369"/>
      <c r="J99" s="520">
        <f>'HDD &amp; CDD'!S15</f>
        <v>259.8595782569019</v>
      </c>
      <c r="K99" s="214">
        <f>'HDD &amp; CDD'!S33</f>
        <v>0</v>
      </c>
      <c r="L99" s="485">
        <f t="shared" si="18"/>
        <v>31</v>
      </c>
      <c r="M99" s="214">
        <v>1</v>
      </c>
      <c r="N99" s="485">
        <f>[22]Sheet1!C97</f>
        <v>1</v>
      </c>
      <c r="O99" s="164">
        <f>'CDM Activity'!C147</f>
        <v>267492.73464558081</v>
      </c>
      <c r="P99" s="105"/>
      <c r="Q99" s="105"/>
      <c r="R99" s="105"/>
      <c r="S99" s="106"/>
      <c r="T99" s="88"/>
      <c r="U99" s="104">
        <f t="shared" si="15"/>
        <v>8831036.642715076</v>
      </c>
      <c r="V99" s="272">
        <f t="shared" si="16"/>
        <v>161629.64271507598</v>
      </c>
      <c r="W99" s="273">
        <f t="shared" si="17"/>
        <v>1.8643679171490735E-2</v>
      </c>
      <c r="X99" s="273">
        <f t="shared" si="19"/>
        <v>1.8643679171490735E-2</v>
      </c>
      <c r="Y99" s="222"/>
      <c r="Z99" s="375"/>
      <c r="AA99" s="83"/>
      <c r="AB99" s="83"/>
      <c r="AC99" s="131" t="s">
        <v>319</v>
      </c>
      <c r="AD99" s="83"/>
      <c r="AE99" s="83" t="s">
        <v>214</v>
      </c>
      <c r="AF99" s="83"/>
      <c r="AJ99" s="88"/>
      <c r="AK99" s="88"/>
      <c r="AL99" s="88"/>
      <c r="AM99" s="88"/>
      <c r="AN99" s="88"/>
      <c r="AO99" s="88"/>
      <c r="AP99" s="88"/>
      <c r="AQ99" s="88"/>
      <c r="AR99" s="88"/>
      <c r="AS99" s="88"/>
    </row>
    <row r="100" spans="2:45">
      <c r="B100" s="100">
        <f t="shared" si="20"/>
        <v>41243</v>
      </c>
      <c r="C100" s="108">
        <f>[21]Sheet1!C46</f>
        <v>9765918</v>
      </c>
      <c r="D100" s="111"/>
      <c r="E100" s="108">
        <f>[21]Sheet1!D46</f>
        <v>3812</v>
      </c>
      <c r="F100" s="123"/>
      <c r="G100" s="112"/>
      <c r="H100" s="110">
        <f t="shared" si="14"/>
        <v>9769730</v>
      </c>
      <c r="I100" s="369"/>
      <c r="J100" s="214">
        <f>'HDD &amp; CDD'!S16</f>
        <v>541.70000000000005</v>
      </c>
      <c r="K100" s="214">
        <f>'HDD &amp; CDD'!S34</f>
        <v>0</v>
      </c>
      <c r="L100" s="485">
        <f t="shared" si="18"/>
        <v>30</v>
      </c>
      <c r="M100" s="214">
        <v>1</v>
      </c>
      <c r="N100" s="485">
        <f>[22]Sheet1!C98</f>
        <v>0</v>
      </c>
      <c r="O100" s="164">
        <f>'CDM Activity'!C148</f>
        <v>272998.16436057177</v>
      </c>
      <c r="P100" s="105"/>
      <c r="Q100" s="105"/>
      <c r="R100" s="105"/>
      <c r="S100" s="106"/>
      <c r="T100" s="88"/>
      <c r="U100" s="104">
        <f t="shared" si="15"/>
        <v>10004271.274020357</v>
      </c>
      <c r="V100" s="272">
        <f t="shared" si="16"/>
        <v>234541.27402035706</v>
      </c>
      <c r="W100" s="273">
        <f t="shared" si="17"/>
        <v>2.4006935096502879E-2</v>
      </c>
      <c r="X100" s="273">
        <f t="shared" si="19"/>
        <v>2.4006935096502879E-2</v>
      </c>
      <c r="Y100" s="222"/>
      <c r="Z100" s="375"/>
      <c r="AA100" s="83"/>
      <c r="AB100" s="83"/>
      <c r="AC100" s="83"/>
      <c r="AD100" s="83"/>
      <c r="AE100" s="83"/>
      <c r="AF100" s="83"/>
      <c r="AJ100" s="88"/>
      <c r="AK100" s="88"/>
      <c r="AL100" s="88"/>
      <c r="AM100" s="88"/>
      <c r="AN100" s="88"/>
      <c r="AO100" s="88"/>
      <c r="AP100" s="88"/>
      <c r="AQ100" s="88"/>
      <c r="AR100" s="88"/>
      <c r="AS100" s="88"/>
    </row>
    <row r="101" spans="2:45">
      <c r="B101" s="217">
        <f t="shared" si="20"/>
        <v>41274</v>
      </c>
      <c r="C101" s="124">
        <f>[21]Sheet1!C47</f>
        <v>10958364</v>
      </c>
      <c r="D101" s="125"/>
      <c r="E101" s="117">
        <f>[21]Sheet1!D47</f>
        <v>3380</v>
      </c>
      <c r="F101" s="125"/>
      <c r="G101" s="126"/>
      <c r="H101" s="117">
        <f t="shared" si="14"/>
        <v>10961744</v>
      </c>
      <c r="I101" s="370"/>
      <c r="J101" s="165">
        <f>'HDD &amp; CDD'!S17</f>
        <v>719.1</v>
      </c>
      <c r="K101" s="165">
        <f>'HDD &amp; CDD'!S35</f>
        <v>0</v>
      </c>
      <c r="L101" s="486">
        <f t="shared" si="18"/>
        <v>31</v>
      </c>
      <c r="M101" s="165">
        <v>0</v>
      </c>
      <c r="N101" s="486">
        <f>[22]Sheet1!C99</f>
        <v>2</v>
      </c>
      <c r="O101" s="167">
        <f>'CDM Activity'!C149</f>
        <v>278503.59407556272</v>
      </c>
      <c r="P101" s="118"/>
      <c r="Q101" s="118"/>
      <c r="R101" s="118"/>
      <c r="S101" s="119"/>
      <c r="T101" s="120"/>
      <c r="U101" s="121">
        <f t="shared" si="15"/>
        <v>11176992.877850216</v>
      </c>
      <c r="V101" s="284">
        <f t="shared" si="16"/>
        <v>215248.87785021588</v>
      </c>
      <c r="W101" s="274">
        <f t="shared" si="17"/>
        <v>1.9636371534512746E-2</v>
      </c>
      <c r="X101" s="274">
        <f t="shared" si="19"/>
        <v>1.9636371534512746E-2</v>
      </c>
      <c r="Y101" s="222"/>
      <c r="Z101" s="375"/>
      <c r="AA101" s="226" t="s">
        <v>155</v>
      </c>
      <c r="AB101" s="227">
        <v>2017</v>
      </c>
      <c r="AC101" s="227">
        <v>2015</v>
      </c>
      <c r="AD101" s="617" t="s">
        <v>156</v>
      </c>
      <c r="AE101" s="227" t="s">
        <v>157</v>
      </c>
      <c r="AF101" s="228" t="s">
        <v>158</v>
      </c>
      <c r="AG101" s="229" t="s">
        <v>159</v>
      </c>
      <c r="AJ101" s="88"/>
      <c r="AK101" s="88"/>
      <c r="AL101" s="88"/>
      <c r="AM101" s="88"/>
      <c r="AN101" s="88"/>
      <c r="AO101" s="88"/>
      <c r="AP101" s="88"/>
      <c r="AQ101" s="88"/>
      <c r="AR101" s="88"/>
      <c r="AS101" s="88"/>
    </row>
    <row r="102" spans="2:45">
      <c r="B102" s="100">
        <f t="shared" si="20"/>
        <v>41305</v>
      </c>
      <c r="C102" s="108">
        <f>[21]Sheet1!C48</f>
        <v>11999817</v>
      </c>
      <c r="D102" s="111"/>
      <c r="E102" s="108">
        <f>[21]Sheet1!D48</f>
        <v>1235</v>
      </c>
      <c r="F102" s="123"/>
      <c r="G102" s="112"/>
      <c r="H102" s="110">
        <f t="shared" ref="H102:H149" si="21">SUM(C102:G102)</f>
        <v>12001052</v>
      </c>
      <c r="I102" s="369"/>
      <c r="J102" s="214">
        <f>'HDD &amp; CDD'!T6</f>
        <v>839.90000000000009</v>
      </c>
      <c r="K102" s="214">
        <f>'HDD &amp; CDD'!T24</f>
        <v>0</v>
      </c>
      <c r="L102" s="485">
        <f t="shared" si="18"/>
        <v>31</v>
      </c>
      <c r="M102" s="214">
        <v>0</v>
      </c>
      <c r="N102" s="485">
        <f>[22]Sheet1!C100</f>
        <v>1</v>
      </c>
      <c r="O102" s="164">
        <f>'CDM Activity'!C150</f>
        <v>280072.04639907333</v>
      </c>
      <c r="P102" s="105"/>
      <c r="Q102" s="105"/>
      <c r="R102" s="105"/>
      <c r="S102" s="106"/>
      <c r="T102" s="88"/>
      <c r="U102" s="104">
        <f t="shared" ref="U102:U134" si="22">$AB$21+J102*$AB$22+K102*$AB$23+L102*$AB$24+M102*$AB$25+N102*$AB$26+O102*$AB$27</f>
        <v>11847647.482342605</v>
      </c>
      <c r="V102" s="272">
        <f t="shared" ref="V102:V125" si="23">U102-H102</f>
        <v>-153404.51765739545</v>
      </c>
      <c r="W102" s="273">
        <f t="shared" ref="W102:W125" si="24">V102/H102</f>
        <v>-1.2782589197796615E-2</v>
      </c>
      <c r="X102" s="273">
        <f t="shared" si="19"/>
        <v>1.2782589197796615E-2</v>
      </c>
      <c r="Y102" s="222"/>
      <c r="Z102" s="375"/>
      <c r="AA102" s="132" t="str">
        <f t="shared" ref="AA102:AA107" si="25">AA22</f>
        <v>HDD</v>
      </c>
      <c r="AB102" s="230">
        <f>SUM(J150:J161)</f>
        <v>4373.5859578256895</v>
      </c>
      <c r="AC102" s="230">
        <f>SUM(J126:J137)</f>
        <v>4486.1000000000004</v>
      </c>
      <c r="AD102" s="231">
        <f t="shared" ref="AD102:AD107" si="26">AB102-AC102</f>
        <v>-112.51404217431082</v>
      </c>
      <c r="AE102" s="232">
        <f t="shared" ref="AE102:AE107" si="27">AB22</f>
        <v>4669.8887900706077</v>
      </c>
      <c r="AF102" s="133">
        <f t="shared" ref="AF102:AF107" si="28">AD102*AE102</f>
        <v>-525428.06427534565</v>
      </c>
      <c r="AG102" s="134">
        <f t="shared" ref="AG102:AG107" si="29">AF102/$AF$110</f>
        <v>-10.632370647427933</v>
      </c>
      <c r="AJ102" s="88"/>
      <c r="AK102" s="88"/>
      <c r="AL102" s="88"/>
      <c r="AM102" s="88"/>
      <c r="AN102" s="88"/>
      <c r="AO102" s="88"/>
      <c r="AP102" s="88"/>
      <c r="AQ102" s="88"/>
      <c r="AR102" s="88"/>
      <c r="AS102" s="88"/>
    </row>
    <row r="103" spans="2:45">
      <c r="B103" s="100">
        <f t="shared" si="20"/>
        <v>41333</v>
      </c>
      <c r="C103" s="108">
        <f>[21]Sheet1!C49</f>
        <v>10701983</v>
      </c>
      <c r="D103" s="111"/>
      <c r="E103" s="108">
        <f>[21]Sheet1!D49</f>
        <v>1814</v>
      </c>
      <c r="F103" s="123"/>
      <c r="G103" s="112"/>
      <c r="H103" s="110">
        <f t="shared" si="21"/>
        <v>10703797</v>
      </c>
      <c r="I103" s="369"/>
      <c r="J103" s="214">
        <f>'HDD &amp; CDD'!T7</f>
        <v>728.5</v>
      </c>
      <c r="K103" s="214">
        <f>'HDD &amp; CDD'!T25</f>
        <v>0</v>
      </c>
      <c r="L103" s="485">
        <f t="shared" si="18"/>
        <v>28</v>
      </c>
      <c r="M103" s="214">
        <v>0</v>
      </c>
      <c r="N103" s="485">
        <f>[22]Sheet1!C101</f>
        <v>1</v>
      </c>
      <c r="O103" s="164">
        <f>'CDM Activity'!C151</f>
        <v>281640.49872258393</v>
      </c>
      <c r="P103" s="105"/>
      <c r="Q103" s="105"/>
      <c r="R103" s="105"/>
      <c r="S103" s="106"/>
      <c r="T103" s="88"/>
      <c r="U103" s="104">
        <f t="shared" si="22"/>
        <v>10608659.351309517</v>
      </c>
      <c r="V103" s="272">
        <f t="shared" si="23"/>
        <v>-95137.648690482602</v>
      </c>
      <c r="W103" s="273">
        <f t="shared" si="24"/>
        <v>-8.8882149661921473E-3</v>
      </c>
      <c r="X103" s="273">
        <f t="shared" si="19"/>
        <v>8.8882149661921473E-3</v>
      </c>
      <c r="Y103" s="222"/>
      <c r="Z103" s="375"/>
      <c r="AA103" s="132" t="str">
        <f t="shared" si="25"/>
        <v>CDD</v>
      </c>
      <c r="AB103" s="588">
        <f>SUM(K150:K161)</f>
        <v>272.57</v>
      </c>
      <c r="AC103" s="588">
        <f>SUM(K126:K137)</f>
        <v>259.49999999999994</v>
      </c>
      <c r="AD103" s="231">
        <f t="shared" si="26"/>
        <v>13.07000000000005</v>
      </c>
      <c r="AE103" s="232">
        <f t="shared" si="27"/>
        <v>14351.337003651915</v>
      </c>
      <c r="AF103" s="133">
        <f t="shared" si="28"/>
        <v>187571.97463773124</v>
      </c>
      <c r="AG103" s="134">
        <f t="shared" si="29"/>
        <v>3.7956380578354447</v>
      </c>
      <c r="AJ103" s="88"/>
      <c r="AK103" s="88"/>
      <c r="AL103" s="88"/>
      <c r="AM103" s="88"/>
      <c r="AN103" s="88"/>
      <c r="AO103" s="88"/>
      <c r="AP103" s="88"/>
      <c r="AQ103" s="88"/>
      <c r="AR103" s="88"/>
      <c r="AS103" s="88"/>
    </row>
    <row r="104" spans="2:45">
      <c r="B104" s="100">
        <f t="shared" si="20"/>
        <v>41364</v>
      </c>
      <c r="C104" s="108">
        <f>[21]Sheet1!C50</f>
        <v>10574475</v>
      </c>
      <c r="D104" s="111"/>
      <c r="E104" s="108">
        <f>[21]Sheet1!D50</f>
        <v>2546</v>
      </c>
      <c r="F104" s="123"/>
      <c r="G104" s="112"/>
      <c r="H104" s="110">
        <f t="shared" si="21"/>
        <v>10577021</v>
      </c>
      <c r="I104" s="369"/>
      <c r="J104" s="214">
        <f>'HDD &amp; CDD'!T8</f>
        <v>612.9</v>
      </c>
      <c r="K104" s="214">
        <f>'HDD &amp; CDD'!T26</f>
        <v>0</v>
      </c>
      <c r="L104" s="485">
        <f t="shared" si="18"/>
        <v>31</v>
      </c>
      <c r="M104" s="214">
        <v>1</v>
      </c>
      <c r="N104" s="485">
        <f>[22]Sheet1!C102</f>
        <v>1</v>
      </c>
      <c r="O104" s="164">
        <f>'CDM Activity'!C152</f>
        <v>283208.95104609453</v>
      </c>
      <c r="P104" s="105"/>
      <c r="Q104" s="105"/>
      <c r="R104" s="105"/>
      <c r="S104" s="106"/>
      <c r="T104" s="88"/>
      <c r="U104" s="104">
        <f t="shared" si="22"/>
        <v>10434246.803446554</v>
      </c>
      <c r="V104" s="272">
        <f t="shared" si="23"/>
        <v>-142774.19655344635</v>
      </c>
      <c r="W104" s="273">
        <f t="shared" si="24"/>
        <v>-1.3498526338696535E-2</v>
      </c>
      <c r="X104" s="273">
        <f t="shared" si="19"/>
        <v>1.3498526338696535E-2</v>
      </c>
      <c r="Y104" s="222"/>
      <c r="Z104" s="375"/>
      <c r="AA104" s="132" t="str">
        <f t="shared" si="25"/>
        <v>Number of Days in Month</v>
      </c>
      <c r="AB104" s="135">
        <f>SUM(L150:L161)</f>
        <v>365</v>
      </c>
      <c r="AC104" s="135">
        <f>SUM(L126:L137)</f>
        <v>365</v>
      </c>
      <c r="AD104" s="232">
        <f t="shared" si="26"/>
        <v>0</v>
      </c>
      <c r="AE104" s="232">
        <f t="shared" si="27"/>
        <v>238075.58345615162</v>
      </c>
      <c r="AF104" s="133">
        <f t="shared" si="28"/>
        <v>0</v>
      </c>
      <c r="AG104" s="134">
        <f t="shared" si="29"/>
        <v>0</v>
      </c>
      <c r="AJ104" s="88"/>
      <c r="AK104" s="88"/>
      <c r="AL104" s="88"/>
      <c r="AM104" s="88"/>
      <c r="AN104" s="88"/>
      <c r="AO104" s="88"/>
      <c r="AP104" s="88"/>
      <c r="AQ104" s="88"/>
      <c r="AR104" s="88"/>
      <c r="AS104" s="88"/>
    </row>
    <row r="105" spans="2:45">
      <c r="B105" s="100">
        <f t="shared" si="20"/>
        <v>41394</v>
      </c>
      <c r="C105" s="108">
        <f>[21]Sheet1!C51</f>
        <v>9116700</v>
      </c>
      <c r="D105" s="111"/>
      <c r="E105" s="108">
        <f>[21]Sheet1!D51</f>
        <v>4962</v>
      </c>
      <c r="F105" s="123"/>
      <c r="G105" s="112"/>
      <c r="H105" s="110">
        <f t="shared" si="21"/>
        <v>9121662</v>
      </c>
      <c r="I105" s="369"/>
      <c r="J105" s="214">
        <f>'HDD &amp; CDD'!T9</f>
        <v>381.1</v>
      </c>
      <c r="K105" s="214">
        <f>'HDD &amp; CDD'!T27</f>
        <v>0</v>
      </c>
      <c r="L105" s="485">
        <f t="shared" si="18"/>
        <v>30</v>
      </c>
      <c r="M105" s="214">
        <v>1</v>
      </c>
      <c r="N105" s="485">
        <f>[22]Sheet1!C103</f>
        <v>1</v>
      </c>
      <c r="O105" s="164">
        <f>'CDM Activity'!C153</f>
        <v>284777.40336960513</v>
      </c>
      <c r="P105" s="105"/>
      <c r="Q105" s="105"/>
      <c r="R105" s="105"/>
      <c r="S105" s="106"/>
      <c r="T105" s="88"/>
      <c r="U105" s="104">
        <f t="shared" si="22"/>
        <v>9109155.2290012687</v>
      </c>
      <c r="V105" s="272">
        <f t="shared" si="23"/>
        <v>-12506.770998731256</v>
      </c>
      <c r="W105" s="273">
        <f t="shared" si="24"/>
        <v>-1.3711066030216046E-3</v>
      </c>
      <c r="X105" s="273">
        <f t="shared" si="19"/>
        <v>1.3711066030216046E-3</v>
      </c>
      <c r="Y105" s="222"/>
      <c r="Z105" s="375"/>
      <c r="AA105" s="132" t="str">
        <f t="shared" si="25"/>
        <v>Spring/Fall Flag</v>
      </c>
      <c r="AB105" s="136">
        <f>SUM(M150:M161)</f>
        <v>6</v>
      </c>
      <c r="AC105" s="136">
        <f>SUM(M126:M137)</f>
        <v>6</v>
      </c>
      <c r="AD105" s="231">
        <f t="shared" si="26"/>
        <v>0</v>
      </c>
      <c r="AE105" s="232">
        <f t="shared" si="27"/>
        <v>-344264.38464849006</v>
      </c>
      <c r="AF105" s="133">
        <f t="shared" si="28"/>
        <v>0</v>
      </c>
      <c r="AG105" s="134">
        <f t="shared" si="29"/>
        <v>0</v>
      </c>
      <c r="AJ105" s="88"/>
      <c r="AK105" s="88"/>
      <c r="AL105" s="88"/>
      <c r="AM105" s="88"/>
      <c r="AN105" s="88"/>
      <c r="AO105" s="88"/>
      <c r="AP105" s="88"/>
      <c r="AQ105" s="88"/>
      <c r="AR105" s="88"/>
      <c r="AS105" s="88"/>
    </row>
    <row r="106" spans="2:45">
      <c r="B106" s="100">
        <f t="shared" si="20"/>
        <v>41425</v>
      </c>
      <c r="C106" s="108">
        <f>[21]Sheet1!C52</f>
        <v>8204917</v>
      </c>
      <c r="D106" s="111"/>
      <c r="E106" s="108">
        <f>[21]Sheet1!D52</f>
        <v>6326</v>
      </c>
      <c r="F106" s="111"/>
      <c r="G106" s="112"/>
      <c r="H106" s="110">
        <f t="shared" si="21"/>
        <v>8211243</v>
      </c>
      <c r="I106" s="369"/>
      <c r="J106" s="214">
        <f>'HDD &amp; CDD'!T10</f>
        <v>121.2</v>
      </c>
      <c r="K106" s="214">
        <f>'HDD &amp; CDD'!T28</f>
        <v>15.3</v>
      </c>
      <c r="L106" s="485">
        <f t="shared" si="18"/>
        <v>31</v>
      </c>
      <c r="M106" s="214">
        <v>1</v>
      </c>
      <c r="N106" s="485">
        <f>[22]Sheet1!C104</f>
        <v>1</v>
      </c>
      <c r="O106" s="164">
        <f>'CDM Activity'!C154</f>
        <v>286345.85569311574</v>
      </c>
      <c r="P106" s="105"/>
      <c r="Q106" s="105"/>
      <c r="R106" s="105"/>
      <c r="S106" s="106"/>
      <c r="T106" s="88"/>
      <c r="U106" s="104">
        <f t="shared" si="22"/>
        <v>8348566.4026231784</v>
      </c>
      <c r="V106" s="272">
        <f t="shared" si="23"/>
        <v>137323.40262317844</v>
      </c>
      <c r="W106" s="273">
        <f t="shared" si="24"/>
        <v>1.6723826419846353E-2</v>
      </c>
      <c r="X106" s="273">
        <f t="shared" si="19"/>
        <v>1.6723826419846353E-2</v>
      </c>
      <c r="Y106" s="222"/>
      <c r="Z106" s="375"/>
      <c r="AA106" s="132" t="str">
        <f t="shared" si="25"/>
        <v>Holidays in Month</v>
      </c>
      <c r="AB106" s="225">
        <f>SUM(N150:N161)</f>
        <v>11</v>
      </c>
      <c r="AC106" s="225">
        <f>SUM(N126:N137)</f>
        <v>11</v>
      </c>
      <c r="AD106" s="231">
        <f t="shared" si="26"/>
        <v>0</v>
      </c>
      <c r="AE106" s="232">
        <f t="shared" si="27"/>
        <v>-111067.80810262606</v>
      </c>
      <c r="AF106" s="133">
        <f t="shared" si="28"/>
        <v>0</v>
      </c>
      <c r="AG106" s="133">
        <f t="shared" si="29"/>
        <v>0</v>
      </c>
      <c r="AJ106" s="88"/>
      <c r="AK106" s="88"/>
      <c r="AL106" s="88"/>
      <c r="AM106" s="88"/>
      <c r="AN106" s="88"/>
      <c r="AO106" s="88"/>
      <c r="AP106" s="88"/>
      <c r="AQ106" s="88"/>
      <c r="AR106" s="88"/>
      <c r="AS106" s="88"/>
    </row>
    <row r="107" spans="2:45">
      <c r="B107" s="100">
        <f t="shared" si="20"/>
        <v>41455</v>
      </c>
      <c r="C107" s="108">
        <f>[21]Sheet1!C53</f>
        <v>8279408</v>
      </c>
      <c r="D107" s="111"/>
      <c r="E107" s="108">
        <f>[21]Sheet1!D53</f>
        <v>8173</v>
      </c>
      <c r="F107" s="111"/>
      <c r="G107" s="112"/>
      <c r="H107" s="110">
        <f t="shared" si="21"/>
        <v>8287581</v>
      </c>
      <c r="I107" s="369"/>
      <c r="J107" s="214">
        <f>'HDD &amp; CDD'!T11</f>
        <v>58.1</v>
      </c>
      <c r="K107" s="214">
        <f>'HDD &amp; CDD'!T29</f>
        <v>39.400000000000006</v>
      </c>
      <c r="L107" s="485">
        <f t="shared" si="18"/>
        <v>30</v>
      </c>
      <c r="M107" s="214">
        <v>0</v>
      </c>
      <c r="N107" s="485">
        <f>[22]Sheet1!C105</f>
        <v>0</v>
      </c>
      <c r="O107" s="164">
        <f>'CDM Activity'!C155</f>
        <v>287914.30801662634</v>
      </c>
      <c r="P107" s="105"/>
      <c r="Q107" s="105"/>
      <c r="R107" s="105"/>
      <c r="S107" s="106"/>
      <c r="T107" s="88"/>
      <c r="U107" s="104">
        <f t="shared" si="22"/>
        <v>8612484.481601933</v>
      </c>
      <c r="V107" s="272">
        <f t="shared" si="23"/>
        <v>324903.48160193302</v>
      </c>
      <c r="W107" s="273">
        <f t="shared" si="24"/>
        <v>3.9203656845336776E-2</v>
      </c>
      <c r="X107" s="273">
        <f t="shared" si="19"/>
        <v>3.9203656845336776E-2</v>
      </c>
      <c r="Y107" s="222"/>
      <c r="Z107" s="375"/>
      <c r="AA107" s="132" t="str">
        <f t="shared" si="25"/>
        <v>CDM Activity</v>
      </c>
      <c r="AB107" s="135">
        <f>SUM(O150:O161)</f>
        <v>4893529.5555118676</v>
      </c>
      <c r="AC107" s="135">
        <f>SUM(O126:O137)</f>
        <v>5027447.4263592204</v>
      </c>
      <c r="AD107" s="231">
        <f t="shared" si="26"/>
        <v>-133917.87084735278</v>
      </c>
      <c r="AE107" s="233">
        <f t="shared" si="27"/>
        <v>-2.8918758847663404</v>
      </c>
      <c r="AF107" s="133">
        <f t="shared" si="28"/>
        <v>387273.86124271282</v>
      </c>
      <c r="AG107" s="234">
        <f t="shared" si="29"/>
        <v>7.8367325895924882</v>
      </c>
      <c r="AJ107" s="88"/>
      <c r="AK107" s="88"/>
      <c r="AL107" s="88"/>
      <c r="AM107" s="88"/>
      <c r="AN107" s="88"/>
      <c r="AO107" s="88"/>
      <c r="AP107" s="88"/>
      <c r="AQ107" s="88"/>
      <c r="AR107" s="88"/>
      <c r="AS107" s="88"/>
    </row>
    <row r="108" spans="2:45">
      <c r="B108" s="100">
        <f t="shared" si="20"/>
        <v>41486</v>
      </c>
      <c r="C108" s="108">
        <f>[21]Sheet1!C54</f>
        <v>9591758</v>
      </c>
      <c r="D108" s="111"/>
      <c r="E108" s="108">
        <f>[21]Sheet1!D54</f>
        <v>6943</v>
      </c>
      <c r="F108" s="111"/>
      <c r="G108" s="112"/>
      <c r="H108" s="110">
        <f t="shared" si="21"/>
        <v>9598701</v>
      </c>
      <c r="I108" s="369"/>
      <c r="J108" s="214">
        <f>'HDD &amp; CDD'!T12</f>
        <v>7.7</v>
      </c>
      <c r="K108" s="214">
        <f>'HDD &amp; CDD'!T30</f>
        <v>114.89999999999999</v>
      </c>
      <c r="L108" s="485">
        <f t="shared" si="18"/>
        <v>31</v>
      </c>
      <c r="M108" s="214">
        <v>0</v>
      </c>
      <c r="N108" s="485">
        <f>[22]Sheet1!C106</f>
        <v>1</v>
      </c>
      <c r="O108" s="164">
        <f>'CDM Activity'!C156</f>
        <v>289482.76034013694</v>
      </c>
      <c r="P108" s="105"/>
      <c r="Q108" s="105"/>
      <c r="R108" s="105"/>
      <c r="S108" s="106"/>
      <c r="T108" s="88"/>
      <c r="U108" s="104">
        <f t="shared" si="22"/>
        <v>9583120.0362608526</v>
      </c>
      <c r="V108" s="272">
        <f t="shared" si="23"/>
        <v>-15580.96373914741</v>
      </c>
      <c r="W108" s="273">
        <f t="shared" si="24"/>
        <v>-1.6232367003772084E-3</v>
      </c>
      <c r="X108" s="273">
        <f t="shared" si="19"/>
        <v>1.6232367003772084E-3</v>
      </c>
      <c r="Y108" s="222"/>
      <c r="Z108" s="375"/>
      <c r="AA108" s="132"/>
      <c r="AB108" s="132"/>
      <c r="AC108" s="132"/>
      <c r="AD108" s="132"/>
      <c r="AE108" s="132"/>
      <c r="AF108" s="132"/>
      <c r="AG108" s="132"/>
      <c r="AJ108" s="88"/>
      <c r="AK108" s="88"/>
      <c r="AL108" s="88"/>
      <c r="AM108" s="88"/>
      <c r="AN108" s="88"/>
      <c r="AO108" s="88"/>
      <c r="AP108" s="88"/>
      <c r="AQ108" s="88"/>
      <c r="AR108" s="88"/>
      <c r="AS108" s="88"/>
    </row>
    <row r="109" spans="2:45">
      <c r="B109" s="100">
        <f t="shared" si="20"/>
        <v>41517</v>
      </c>
      <c r="C109" s="108">
        <f>[21]Sheet1!C55</f>
        <v>9610958</v>
      </c>
      <c r="D109" s="111"/>
      <c r="E109" s="108">
        <f>[21]Sheet1!D55</f>
        <v>8290</v>
      </c>
      <c r="F109" s="111"/>
      <c r="G109" s="112"/>
      <c r="H109" s="110">
        <f t="shared" si="21"/>
        <v>9619248</v>
      </c>
      <c r="I109" s="369"/>
      <c r="J109" s="214">
        <f>'HDD &amp; CDD'!T13</f>
        <v>13.400000000000004</v>
      </c>
      <c r="K109" s="214">
        <f>'HDD &amp; CDD'!T31</f>
        <v>57.199999999999996</v>
      </c>
      <c r="L109" s="485">
        <f t="shared" si="18"/>
        <v>31</v>
      </c>
      <c r="M109" s="214">
        <v>0</v>
      </c>
      <c r="N109" s="485">
        <f>[22]Sheet1!C107</f>
        <v>1</v>
      </c>
      <c r="O109" s="164">
        <f>'CDM Activity'!C157</f>
        <v>291051.21266364754</v>
      </c>
      <c r="P109" s="105"/>
      <c r="Q109" s="105"/>
      <c r="R109" s="105"/>
      <c r="S109" s="106"/>
      <c r="T109" s="88"/>
      <c r="U109" s="104">
        <f t="shared" si="22"/>
        <v>8777130.4878027737</v>
      </c>
      <c r="V109" s="272">
        <f t="shared" si="23"/>
        <v>-842117.51219722629</v>
      </c>
      <c r="W109" s="273">
        <f t="shared" si="24"/>
        <v>-8.754504636924075E-2</v>
      </c>
      <c r="X109" s="273">
        <f t="shared" si="19"/>
        <v>8.754504636924075E-2</v>
      </c>
      <c r="Y109" s="222"/>
      <c r="Z109" s="375"/>
      <c r="AA109" s="132"/>
      <c r="AB109" s="132"/>
      <c r="AC109" s="132"/>
      <c r="AD109" s="132"/>
      <c r="AE109" s="132"/>
      <c r="AF109" s="132"/>
      <c r="AG109" s="132"/>
      <c r="AJ109" s="88"/>
      <c r="AK109" s="88"/>
      <c r="AL109" s="88"/>
      <c r="AM109" s="88"/>
      <c r="AN109" s="88"/>
      <c r="AO109" s="88"/>
      <c r="AP109" s="88"/>
      <c r="AQ109" s="88"/>
      <c r="AR109" s="88"/>
      <c r="AS109" s="88"/>
    </row>
    <row r="110" spans="2:45">
      <c r="B110" s="100">
        <f t="shared" si="20"/>
        <v>41547</v>
      </c>
      <c r="C110" s="108">
        <f>[21]Sheet1!C56</f>
        <v>8187217</v>
      </c>
      <c r="D110" s="111"/>
      <c r="E110" s="108">
        <f>[21]Sheet1!D56</f>
        <v>7556</v>
      </c>
      <c r="F110" s="111"/>
      <c r="G110" s="112"/>
      <c r="H110" s="110">
        <f t="shared" si="21"/>
        <v>8194773</v>
      </c>
      <c r="I110" s="369"/>
      <c r="J110" s="214">
        <f>'HDD &amp; CDD'!T14</f>
        <v>133.20000000000005</v>
      </c>
      <c r="K110" s="214">
        <f>'HDD &amp; CDD'!T32</f>
        <v>10.1</v>
      </c>
      <c r="L110" s="485">
        <f t="shared" si="18"/>
        <v>30</v>
      </c>
      <c r="M110" s="214">
        <v>1</v>
      </c>
      <c r="N110" s="485">
        <f>[22]Sheet1!C108</f>
        <v>1</v>
      </c>
      <c r="O110" s="164">
        <f>'CDM Activity'!C158</f>
        <v>292619.66498715815</v>
      </c>
      <c r="P110" s="105"/>
      <c r="Q110" s="105"/>
      <c r="R110" s="105"/>
      <c r="S110" s="106"/>
      <c r="T110" s="88"/>
      <c r="U110" s="104">
        <f t="shared" si="22"/>
        <v>8073759.4544258192</v>
      </c>
      <c r="V110" s="272">
        <f t="shared" si="23"/>
        <v>-121013.54557418078</v>
      </c>
      <c r="W110" s="273">
        <f t="shared" si="24"/>
        <v>-1.4767162626003281E-2</v>
      </c>
      <c r="X110" s="273">
        <f t="shared" si="19"/>
        <v>1.4767162626003281E-2</v>
      </c>
      <c r="Y110" s="222"/>
      <c r="Z110" s="375"/>
      <c r="AA110" s="132" t="s">
        <v>5</v>
      </c>
      <c r="AB110" s="132"/>
      <c r="AC110" s="132"/>
      <c r="AD110" s="132"/>
      <c r="AE110" s="132"/>
      <c r="AF110" s="133">
        <f>SUM(AF102:AF109)</f>
        <v>49417.771605098387</v>
      </c>
      <c r="AG110" s="134">
        <f>AF110/$AF$110</f>
        <v>1</v>
      </c>
      <c r="AJ110" s="88"/>
      <c r="AK110" s="88"/>
      <c r="AL110" s="88"/>
      <c r="AM110" s="88"/>
      <c r="AN110" s="88"/>
      <c r="AO110" s="88"/>
      <c r="AP110" s="88"/>
      <c r="AQ110" s="88"/>
      <c r="AR110" s="88"/>
      <c r="AS110" s="88"/>
    </row>
    <row r="111" spans="2:45">
      <c r="B111" s="100">
        <f t="shared" si="20"/>
        <v>41578</v>
      </c>
      <c r="C111" s="108">
        <f>[21]Sheet1!C57</f>
        <v>8725825</v>
      </c>
      <c r="D111" s="111"/>
      <c r="E111" s="108">
        <f>[21]Sheet1!D57</f>
        <v>6244</v>
      </c>
      <c r="F111" s="111"/>
      <c r="G111" s="112"/>
      <c r="H111" s="110">
        <f t="shared" si="21"/>
        <v>8732069</v>
      </c>
      <c r="I111" s="369"/>
      <c r="J111" s="214">
        <f>'HDD &amp; CDD'!T15</f>
        <v>265.2</v>
      </c>
      <c r="K111" s="214">
        <f>'HDD &amp; CDD'!T33</f>
        <v>0.7</v>
      </c>
      <c r="L111" s="485">
        <f t="shared" si="18"/>
        <v>31</v>
      </c>
      <c r="M111" s="214">
        <v>1</v>
      </c>
      <c r="N111" s="485">
        <f>[22]Sheet1!C109</f>
        <v>1</v>
      </c>
      <c r="O111" s="164">
        <f>'CDM Activity'!C159</f>
        <v>294188.11731066875</v>
      </c>
      <c r="P111" s="105"/>
      <c r="Q111" s="105"/>
      <c r="R111" s="105"/>
      <c r="S111" s="106"/>
      <c r="T111" s="88"/>
      <c r="U111" s="104">
        <f t="shared" si="22"/>
        <v>8788822.0208861977</v>
      </c>
      <c r="V111" s="272">
        <f t="shared" si="23"/>
        <v>56753.020886197686</v>
      </c>
      <c r="W111" s="273">
        <f t="shared" si="24"/>
        <v>6.4993784275178866E-3</v>
      </c>
      <c r="X111" s="273">
        <f t="shared" si="19"/>
        <v>6.4993784275178866E-3</v>
      </c>
      <c r="Y111" s="222"/>
      <c r="Z111" s="375"/>
      <c r="AA111" s="82" t="s">
        <v>160</v>
      </c>
      <c r="AB111" s="137">
        <f>AC61</f>
        <v>111387474.08147961</v>
      </c>
      <c r="AC111" s="137">
        <f>AB44</f>
        <v>111338056.3098745</v>
      </c>
      <c r="AF111" s="138">
        <f>AB111-AC111</f>
        <v>49417.771605104208</v>
      </c>
      <c r="AJ111" s="88"/>
      <c r="AK111" s="88"/>
      <c r="AL111" s="88"/>
      <c r="AM111" s="88"/>
      <c r="AN111" s="88"/>
      <c r="AO111" s="88"/>
      <c r="AP111" s="88"/>
      <c r="AQ111" s="88"/>
      <c r="AR111" s="88"/>
      <c r="AS111" s="88"/>
    </row>
    <row r="112" spans="2:45">
      <c r="B112" s="100">
        <f t="shared" si="20"/>
        <v>41608</v>
      </c>
      <c r="C112" s="108">
        <f>[21]Sheet1!C58</f>
        <v>9926917</v>
      </c>
      <c r="D112" s="111"/>
      <c r="E112" s="108">
        <f>[21]Sheet1!D58</f>
        <v>4461</v>
      </c>
      <c r="F112" s="111"/>
      <c r="G112" s="112"/>
      <c r="H112" s="110">
        <f t="shared" si="21"/>
        <v>9931378</v>
      </c>
      <c r="I112" s="369"/>
      <c r="J112" s="214">
        <f>'HDD &amp; CDD'!T16</f>
        <v>560.79999999999995</v>
      </c>
      <c r="K112" s="214">
        <f>'HDD &amp; CDD'!T34</f>
        <v>0</v>
      </c>
      <c r="L112" s="485">
        <f t="shared" si="18"/>
        <v>30</v>
      </c>
      <c r="M112" s="214">
        <v>1</v>
      </c>
      <c r="N112" s="485">
        <f>[22]Sheet1!C110</f>
        <v>0</v>
      </c>
      <c r="O112" s="164">
        <f>'CDM Activity'!C160</f>
        <v>295756.56963417935</v>
      </c>
      <c r="P112" s="105"/>
      <c r="Q112" s="105"/>
      <c r="R112" s="105"/>
      <c r="S112" s="106"/>
      <c r="T112" s="88"/>
      <c r="U112" s="104">
        <f t="shared" si="22"/>
        <v>10027651.66652422</v>
      </c>
      <c r="V112" s="272">
        <f t="shared" si="23"/>
        <v>96273.666524220258</v>
      </c>
      <c r="W112" s="273">
        <f t="shared" si="24"/>
        <v>9.6938880510056367E-3</v>
      </c>
      <c r="X112" s="273">
        <f t="shared" si="19"/>
        <v>9.6938880510056367E-3</v>
      </c>
      <c r="Y112" s="222"/>
      <c r="Z112" s="375"/>
      <c r="AB112" s="137">
        <f>AB111</f>
        <v>111387474.08147961</v>
      </c>
      <c r="AC112" s="137">
        <f>AC44</f>
        <v>112684777.95</v>
      </c>
      <c r="AF112" s="138">
        <f>AB112-AC112</f>
        <v>-1297303.868520394</v>
      </c>
      <c r="AJ112" s="88"/>
      <c r="AK112" s="88"/>
      <c r="AL112" s="88"/>
      <c r="AM112" s="88"/>
      <c r="AN112" s="88"/>
      <c r="AO112" s="88"/>
      <c r="AP112" s="88"/>
      <c r="AQ112" s="88"/>
      <c r="AR112" s="88"/>
      <c r="AS112" s="88"/>
    </row>
    <row r="113" spans="2:45">
      <c r="B113" s="217">
        <f t="shared" si="20"/>
        <v>41639</v>
      </c>
      <c r="C113" s="124">
        <f>[21]Sheet1!C59</f>
        <v>11614675</v>
      </c>
      <c r="D113" s="125"/>
      <c r="E113" s="117">
        <f>[21]Sheet1!D59</f>
        <v>2266</v>
      </c>
      <c r="F113" s="125"/>
      <c r="G113" s="126"/>
      <c r="H113" s="117">
        <f t="shared" si="21"/>
        <v>11616941</v>
      </c>
      <c r="I113" s="370"/>
      <c r="J113" s="165">
        <f>'HDD &amp; CDD'!T17</f>
        <v>858.20000000000016</v>
      </c>
      <c r="K113" s="165">
        <f>'HDD &amp; CDD'!T35</f>
        <v>0</v>
      </c>
      <c r="L113" s="486">
        <f t="shared" si="18"/>
        <v>31</v>
      </c>
      <c r="M113" s="165">
        <v>0</v>
      </c>
      <c r="N113" s="486">
        <f>[22]Sheet1!C111</f>
        <v>2</v>
      </c>
      <c r="O113" s="167">
        <f>'CDM Activity'!C161</f>
        <v>297325.02195768995</v>
      </c>
      <c r="P113" s="118"/>
      <c r="Q113" s="118"/>
      <c r="R113" s="118"/>
      <c r="S113" s="119"/>
      <c r="T113" s="120"/>
      <c r="U113" s="121">
        <f t="shared" si="22"/>
        <v>11772145.175139844</v>
      </c>
      <c r="V113" s="284">
        <f t="shared" si="23"/>
        <v>155204.17513984442</v>
      </c>
      <c r="W113" s="274">
        <f t="shared" si="24"/>
        <v>1.3360158680313898E-2</v>
      </c>
      <c r="X113" s="274">
        <f t="shared" si="19"/>
        <v>1.3360158680313898E-2</v>
      </c>
      <c r="Y113" s="222"/>
      <c r="Z113" s="375"/>
      <c r="AB113" s="79" t="s">
        <v>160</v>
      </c>
      <c r="AC113" s="79" t="s">
        <v>161</v>
      </c>
      <c r="AF113" s="79" t="s">
        <v>162</v>
      </c>
      <c r="AJ113" s="88"/>
      <c r="AK113" s="88"/>
      <c r="AL113" s="88"/>
      <c r="AM113" s="88"/>
      <c r="AN113" s="88"/>
      <c r="AO113" s="88"/>
      <c r="AP113" s="88"/>
      <c r="AQ113" s="88"/>
      <c r="AR113" s="88"/>
      <c r="AS113" s="88"/>
    </row>
    <row r="114" spans="2:45">
      <c r="B114" s="100">
        <f t="shared" si="20"/>
        <v>41670</v>
      </c>
      <c r="C114" s="108">
        <f>[21]Sheet1!C60</f>
        <v>12521267</v>
      </c>
      <c r="D114" s="111"/>
      <c r="E114" s="108">
        <f>[21]Sheet1!D60</f>
        <v>864</v>
      </c>
      <c r="F114" s="111"/>
      <c r="G114" s="112"/>
      <c r="H114" s="110">
        <f t="shared" si="21"/>
        <v>12522131</v>
      </c>
      <c r="I114" s="369"/>
      <c r="J114" s="214">
        <f>'HDD &amp; CDD'!U6</f>
        <v>918.30000000000007</v>
      </c>
      <c r="K114" s="214">
        <f>'HDD &amp; CDD'!U24</f>
        <v>0</v>
      </c>
      <c r="L114" s="485">
        <f t="shared" si="18"/>
        <v>31</v>
      </c>
      <c r="M114" s="214">
        <v>0</v>
      </c>
      <c r="N114" s="485">
        <f>[22]Sheet1!C112</f>
        <v>1</v>
      </c>
      <c r="O114" s="164">
        <f>'CDM Activity'!C162</f>
        <v>303357.20281439635</v>
      </c>
      <c r="P114" s="105"/>
      <c r="Q114" s="105"/>
      <c r="R114" s="105"/>
      <c r="S114" s="106"/>
      <c r="T114" s="88"/>
      <c r="U114" s="104">
        <f t="shared" si="22"/>
        <v>12146428.981173655</v>
      </c>
      <c r="V114" s="272">
        <f t="shared" si="23"/>
        <v>-375702.01882634498</v>
      </c>
      <c r="W114" s="273">
        <f t="shared" si="24"/>
        <v>-3.0003041720801753E-2</v>
      </c>
      <c r="X114" s="273">
        <f t="shared" si="19"/>
        <v>3.0003041720801753E-2</v>
      </c>
      <c r="Y114" s="222"/>
      <c r="Z114" s="375"/>
      <c r="AJ114" s="88"/>
      <c r="AK114" s="88"/>
      <c r="AL114" s="88"/>
      <c r="AM114" s="88"/>
      <c r="AN114" s="88"/>
      <c r="AO114" s="88"/>
      <c r="AP114" s="88"/>
      <c r="AQ114" s="88"/>
      <c r="AR114" s="88"/>
      <c r="AS114" s="88"/>
    </row>
    <row r="115" spans="2:45">
      <c r="B115" s="100">
        <f t="shared" si="20"/>
        <v>41698</v>
      </c>
      <c r="C115" s="108">
        <f>[21]Sheet1!C61</f>
        <v>10693642</v>
      </c>
      <c r="D115" s="111"/>
      <c r="E115" s="108">
        <f>[21]Sheet1!D61</f>
        <v>1826</v>
      </c>
      <c r="F115" s="111"/>
      <c r="G115" s="112"/>
      <c r="H115" s="110">
        <f t="shared" si="21"/>
        <v>10695468</v>
      </c>
      <c r="I115" s="369"/>
      <c r="J115" s="214">
        <f>'HDD &amp; CDD'!U7</f>
        <v>793.2</v>
      </c>
      <c r="K115" s="214">
        <f>'HDD &amp; CDD'!U25</f>
        <v>0</v>
      </c>
      <c r="L115" s="485">
        <f t="shared" si="18"/>
        <v>28</v>
      </c>
      <c r="M115" s="214">
        <v>0</v>
      </c>
      <c r="N115" s="485">
        <f>[22]Sheet1!C113</f>
        <v>1</v>
      </c>
      <c r="O115" s="164">
        <f>'CDM Activity'!C163</f>
        <v>309389.38367110275</v>
      </c>
      <c r="P115" s="105"/>
      <c r="Q115" s="105"/>
      <c r="R115" s="105"/>
      <c r="S115" s="106"/>
      <c r="T115" s="88"/>
      <c r="U115" s="104">
        <f t="shared" si="22"/>
        <v>10830554.824815309</v>
      </c>
      <c r="V115" s="272">
        <f t="shared" si="23"/>
        <v>135086.82481530868</v>
      </c>
      <c r="W115" s="273">
        <f t="shared" si="24"/>
        <v>1.2630286474169122E-2</v>
      </c>
      <c r="X115" s="273">
        <f t="shared" si="19"/>
        <v>1.2630286474169122E-2</v>
      </c>
      <c r="Y115" s="222"/>
      <c r="Z115" s="375"/>
      <c r="AJ115" s="88"/>
      <c r="AK115" s="88"/>
      <c r="AL115" s="88"/>
      <c r="AM115" s="88"/>
      <c r="AN115" s="88"/>
      <c r="AO115" s="88"/>
      <c r="AP115" s="88"/>
      <c r="AQ115" s="88"/>
      <c r="AR115" s="88"/>
      <c r="AS115" s="88"/>
    </row>
    <row r="116" spans="2:45">
      <c r="B116" s="100">
        <f t="shared" si="20"/>
        <v>41729</v>
      </c>
      <c r="C116" s="108">
        <f>[21]Sheet1!C62</f>
        <v>11270883</v>
      </c>
      <c r="D116" s="111"/>
      <c r="E116" s="108">
        <f>[21]Sheet1!D62</f>
        <v>2647</v>
      </c>
      <c r="F116" s="111"/>
      <c r="G116" s="112"/>
      <c r="H116" s="110">
        <f t="shared" si="21"/>
        <v>11273530</v>
      </c>
      <c r="I116" s="369"/>
      <c r="J116" s="214">
        <f>'HDD &amp; CDD'!U8</f>
        <v>783.6</v>
      </c>
      <c r="K116" s="214">
        <f>'HDD &amp; CDD'!U26</f>
        <v>0</v>
      </c>
      <c r="L116" s="485">
        <f t="shared" si="18"/>
        <v>31</v>
      </c>
      <c r="M116" s="214">
        <v>1</v>
      </c>
      <c r="N116" s="485">
        <f>[22]Sheet1!C114</f>
        <v>0</v>
      </c>
      <c r="O116" s="164">
        <f>'CDM Activity'!C164</f>
        <v>315421.56452780915</v>
      </c>
      <c r="P116" s="105"/>
      <c r="Q116" s="105"/>
      <c r="R116" s="105"/>
      <c r="S116" s="106"/>
      <c r="T116" s="88"/>
      <c r="U116" s="104">
        <f t="shared" si="22"/>
        <v>11249309.747901164</v>
      </c>
      <c r="V116" s="272">
        <f t="shared" si="23"/>
        <v>-24220.252098836005</v>
      </c>
      <c r="W116" s="273">
        <f t="shared" si="24"/>
        <v>-2.1484177625673596E-3</v>
      </c>
      <c r="X116" s="273">
        <f t="shared" si="19"/>
        <v>2.1484177625673596E-3</v>
      </c>
      <c r="Y116" s="222"/>
      <c r="Z116" s="375"/>
      <c r="AJ116" s="88"/>
      <c r="AK116" s="88"/>
      <c r="AL116" s="88"/>
      <c r="AM116" s="88"/>
      <c r="AN116" s="88"/>
      <c r="AO116" s="88"/>
      <c r="AP116" s="88"/>
      <c r="AQ116" s="88"/>
      <c r="AR116" s="88"/>
      <c r="AS116" s="88"/>
    </row>
    <row r="117" spans="2:45">
      <c r="B117" s="100">
        <f t="shared" si="20"/>
        <v>41759</v>
      </c>
      <c r="C117" s="108">
        <f>[21]Sheet1!C63</f>
        <v>9026483</v>
      </c>
      <c r="D117" s="111"/>
      <c r="E117" s="108">
        <f>[21]Sheet1!D63</f>
        <v>5510</v>
      </c>
      <c r="F117" s="111"/>
      <c r="G117" s="112"/>
      <c r="H117" s="110">
        <f t="shared" si="21"/>
        <v>9031993</v>
      </c>
      <c r="I117" s="369"/>
      <c r="J117" s="214">
        <f>'HDD &amp; CDD'!U9</f>
        <v>384.20000000000005</v>
      </c>
      <c r="K117" s="214">
        <f>'HDD &amp; CDD'!U27</f>
        <v>0</v>
      </c>
      <c r="L117" s="485">
        <f t="shared" si="18"/>
        <v>30</v>
      </c>
      <c r="M117" s="214">
        <v>1</v>
      </c>
      <c r="N117" s="485">
        <f>[22]Sheet1!C115</f>
        <v>2</v>
      </c>
      <c r="O117" s="164">
        <f>'CDM Activity'!C165</f>
        <v>321453.74538451555</v>
      </c>
      <c r="P117" s="105"/>
      <c r="Q117" s="105"/>
      <c r="R117" s="105"/>
      <c r="S117" s="106"/>
      <c r="T117" s="88"/>
      <c r="U117" s="104">
        <f t="shared" si="22"/>
        <v>8906500.6471334994</v>
      </c>
      <c r="V117" s="272">
        <f t="shared" si="23"/>
        <v>-125492.35286650062</v>
      </c>
      <c r="W117" s="273">
        <f t="shared" si="24"/>
        <v>-1.3894203955483648E-2</v>
      </c>
      <c r="X117" s="273">
        <f t="shared" si="19"/>
        <v>1.3894203955483648E-2</v>
      </c>
      <c r="Y117" s="222"/>
      <c r="Z117" s="375"/>
      <c r="AJ117" s="88"/>
      <c r="AK117" s="88"/>
      <c r="AL117" s="88"/>
      <c r="AM117" s="88"/>
      <c r="AN117" s="88"/>
      <c r="AO117" s="88"/>
      <c r="AP117" s="88"/>
      <c r="AQ117" s="88"/>
      <c r="AR117" s="88"/>
      <c r="AS117" s="88"/>
    </row>
    <row r="118" spans="2:45">
      <c r="B118" s="100">
        <f t="shared" si="20"/>
        <v>41790</v>
      </c>
      <c r="C118" s="108">
        <f>[21]Sheet1!C64</f>
        <v>8278885</v>
      </c>
      <c r="D118" s="111"/>
      <c r="E118" s="108">
        <f>[21]Sheet1!D64</f>
        <v>8035</v>
      </c>
      <c r="F118" s="111"/>
      <c r="G118" s="112"/>
      <c r="H118" s="110">
        <f t="shared" si="21"/>
        <v>8286920</v>
      </c>
      <c r="I118" s="369"/>
      <c r="J118" s="214">
        <f>'HDD &amp; CDD'!U10</f>
        <v>127.3</v>
      </c>
      <c r="K118" s="214">
        <f>'HDD &amp; CDD'!U28</f>
        <v>8.8000000000000007</v>
      </c>
      <c r="L118" s="485">
        <f t="shared" si="18"/>
        <v>31</v>
      </c>
      <c r="M118" s="214">
        <v>1</v>
      </c>
      <c r="N118" s="485">
        <f>[22]Sheet1!C116</f>
        <v>1</v>
      </c>
      <c r="O118" s="164">
        <f>'CDM Activity'!C166</f>
        <v>327485.92624122195</v>
      </c>
      <c r="P118" s="105"/>
      <c r="Q118" s="105"/>
      <c r="R118" s="105"/>
      <c r="S118" s="106"/>
      <c r="T118" s="88"/>
      <c r="U118" s="104">
        <f t="shared" si="22"/>
        <v>8164797.055803217</v>
      </c>
      <c r="V118" s="272">
        <f t="shared" si="23"/>
        <v>-122122.94419678301</v>
      </c>
      <c r="W118" s="273">
        <f t="shared" si="24"/>
        <v>-1.4736831560674292E-2</v>
      </c>
      <c r="X118" s="273">
        <f t="shared" si="19"/>
        <v>1.4736831560674292E-2</v>
      </c>
      <c r="Y118" s="222"/>
      <c r="Z118" s="375"/>
      <c r="AJ118" s="88"/>
      <c r="AK118" s="88"/>
      <c r="AL118" s="88"/>
      <c r="AM118" s="88"/>
      <c r="AN118" s="88"/>
      <c r="AO118" s="88"/>
      <c r="AP118" s="88"/>
      <c r="AQ118" s="88"/>
      <c r="AR118" s="88"/>
      <c r="AS118" s="88"/>
    </row>
    <row r="119" spans="2:45">
      <c r="B119" s="100">
        <f t="shared" si="20"/>
        <v>41820</v>
      </c>
      <c r="C119" s="108">
        <f>[21]Sheet1!C65</f>
        <v>8570154</v>
      </c>
      <c r="D119" s="111"/>
      <c r="E119" s="108">
        <f>[21]Sheet1!D65</f>
        <v>9577</v>
      </c>
      <c r="F119" s="111"/>
      <c r="G119" s="112"/>
      <c r="H119" s="110">
        <f t="shared" si="21"/>
        <v>8579731</v>
      </c>
      <c r="I119" s="369"/>
      <c r="J119" s="214">
        <f>'HDD &amp; CDD'!U11</f>
        <v>20.299999999999997</v>
      </c>
      <c r="K119" s="214">
        <f>'HDD &amp; CDD'!U29</f>
        <v>54.9</v>
      </c>
      <c r="L119" s="485">
        <f t="shared" si="18"/>
        <v>30</v>
      </c>
      <c r="M119" s="214">
        <v>0</v>
      </c>
      <c r="N119" s="485">
        <f>[22]Sheet1!C117</f>
        <v>0</v>
      </c>
      <c r="O119" s="164">
        <f>'CDM Activity'!C167</f>
        <v>333518.10709792835</v>
      </c>
      <c r="P119" s="105"/>
      <c r="Q119" s="105"/>
      <c r="R119" s="105"/>
      <c r="S119" s="106"/>
      <c r="T119" s="88"/>
      <c r="U119" s="104">
        <f t="shared" si="22"/>
        <v>8526527.8820769209</v>
      </c>
      <c r="V119" s="272">
        <f t="shared" si="23"/>
        <v>-53203.117923079059</v>
      </c>
      <c r="W119" s="273">
        <f t="shared" si="24"/>
        <v>-6.2010240091535575E-3</v>
      </c>
      <c r="X119" s="273">
        <f t="shared" si="19"/>
        <v>6.2010240091535575E-3</v>
      </c>
      <c r="Y119" s="222"/>
      <c r="Z119" s="375"/>
      <c r="AJ119" s="88"/>
      <c r="AK119" s="88"/>
      <c r="AL119" s="88"/>
      <c r="AM119" s="88"/>
      <c r="AN119" s="88"/>
      <c r="AO119" s="88"/>
      <c r="AP119" s="88"/>
      <c r="AQ119" s="88"/>
      <c r="AR119" s="88"/>
      <c r="AS119" s="88"/>
    </row>
    <row r="120" spans="2:45">
      <c r="B120" s="100">
        <f t="shared" si="20"/>
        <v>41851</v>
      </c>
      <c r="C120" s="139">
        <f>[21]Sheet1!C66</f>
        <v>9070654</v>
      </c>
      <c r="D120" s="111"/>
      <c r="E120" s="108">
        <f>[21]Sheet1!D66</f>
        <v>9467</v>
      </c>
      <c r="F120" s="111"/>
      <c r="G120" s="112"/>
      <c r="H120" s="110">
        <f t="shared" si="21"/>
        <v>9080121</v>
      </c>
      <c r="I120" s="369"/>
      <c r="J120" s="214">
        <f>'HDD &amp; CDD'!U12</f>
        <v>8.8000000000000007</v>
      </c>
      <c r="K120" s="214">
        <f>'HDD &amp; CDD'!U30</f>
        <v>62.800000000000011</v>
      </c>
      <c r="L120" s="485">
        <f t="shared" si="18"/>
        <v>31</v>
      </c>
      <c r="M120" s="214">
        <v>0</v>
      </c>
      <c r="N120" s="485">
        <f>[22]Sheet1!C118</f>
        <v>1</v>
      </c>
      <c r="O120" s="164">
        <f>'CDM Activity'!C168</f>
        <v>339550.28795463475</v>
      </c>
      <c r="P120" s="105"/>
      <c r="Q120" s="105"/>
      <c r="R120" s="105"/>
      <c r="S120" s="106"/>
      <c r="T120" s="88"/>
      <c r="U120" s="104">
        <f t="shared" si="22"/>
        <v>8695763.1803214271</v>
      </c>
      <c r="V120" s="272">
        <f t="shared" si="23"/>
        <v>-384357.81967857294</v>
      </c>
      <c r="W120" s="273">
        <f t="shared" si="24"/>
        <v>-4.2329592268492117E-2</v>
      </c>
      <c r="X120" s="273">
        <f t="shared" si="19"/>
        <v>4.2329592268492117E-2</v>
      </c>
      <c r="Y120" s="222"/>
      <c r="Z120" s="375"/>
      <c r="AJ120" s="88"/>
      <c r="AK120" s="88"/>
      <c r="AL120" s="88"/>
      <c r="AM120" s="88"/>
      <c r="AN120" s="88"/>
      <c r="AO120" s="88"/>
      <c r="AP120" s="88"/>
      <c r="AQ120" s="88"/>
      <c r="AR120" s="88"/>
      <c r="AS120" s="88"/>
    </row>
    <row r="121" spans="2:45">
      <c r="B121" s="100">
        <f t="shared" si="20"/>
        <v>41882</v>
      </c>
      <c r="C121" s="139">
        <f>[21]Sheet1!C67</f>
        <v>8980123</v>
      </c>
      <c r="D121" s="111"/>
      <c r="E121" s="108">
        <f>[21]Sheet1!D67</f>
        <v>9127</v>
      </c>
      <c r="F121" s="111"/>
      <c r="G121" s="112"/>
      <c r="H121" s="110">
        <f t="shared" si="21"/>
        <v>8989250</v>
      </c>
      <c r="I121" s="369"/>
      <c r="J121" s="214">
        <f>'HDD &amp; CDD'!U13</f>
        <v>21.400000000000002</v>
      </c>
      <c r="K121" s="214">
        <f>'HDD &amp; CDD'!U31</f>
        <v>55.800000000000004</v>
      </c>
      <c r="L121" s="485">
        <f t="shared" si="18"/>
        <v>31</v>
      </c>
      <c r="M121" s="214">
        <v>0</v>
      </c>
      <c r="N121" s="485">
        <f>[22]Sheet1!C119</f>
        <v>1</v>
      </c>
      <c r="O121" s="164">
        <f>'CDM Activity'!C169</f>
        <v>345582.46881134115</v>
      </c>
      <c r="P121" s="105"/>
      <c r="Q121" s="105"/>
      <c r="R121" s="105"/>
      <c r="S121" s="106"/>
      <c r="T121" s="88"/>
      <c r="U121" s="104">
        <f t="shared" si="22"/>
        <v>8636700.1016986948</v>
      </c>
      <c r="V121" s="272">
        <f t="shared" si="23"/>
        <v>-352549.89830130525</v>
      </c>
      <c r="W121" s="273">
        <f t="shared" si="24"/>
        <v>-3.9219055905810304E-2</v>
      </c>
      <c r="X121" s="273">
        <f t="shared" si="19"/>
        <v>3.9219055905810304E-2</v>
      </c>
      <c r="Y121" s="222"/>
      <c r="Z121" s="375"/>
      <c r="AJ121" s="88"/>
      <c r="AK121" s="88"/>
      <c r="AL121" s="88"/>
      <c r="AM121" s="88"/>
      <c r="AN121" s="88"/>
      <c r="AO121" s="88"/>
      <c r="AP121" s="88"/>
      <c r="AQ121" s="88"/>
      <c r="AR121" s="88"/>
      <c r="AS121" s="88"/>
    </row>
    <row r="122" spans="2:45">
      <c r="B122" s="100">
        <f t="shared" si="20"/>
        <v>41912</v>
      </c>
      <c r="C122" s="139">
        <f>[21]Sheet1!C68</f>
        <v>8455877</v>
      </c>
      <c r="D122" s="111"/>
      <c r="E122" s="108">
        <f>[21]Sheet1!D68</f>
        <v>8673</v>
      </c>
      <c r="F122" s="111"/>
      <c r="G122" s="112"/>
      <c r="H122" s="110">
        <f t="shared" si="21"/>
        <v>8464550</v>
      </c>
      <c r="I122" s="369"/>
      <c r="J122" s="214">
        <f>'HDD &amp; CDD'!U14</f>
        <v>110.3</v>
      </c>
      <c r="K122" s="214">
        <f>'HDD &amp; CDD'!U32</f>
        <v>21.600000000000005</v>
      </c>
      <c r="L122" s="485">
        <f t="shared" si="18"/>
        <v>30</v>
      </c>
      <c r="M122" s="214">
        <v>1</v>
      </c>
      <c r="N122" s="485">
        <f>[22]Sheet1!C120</f>
        <v>1</v>
      </c>
      <c r="O122" s="164">
        <f>'CDM Activity'!C170</f>
        <v>351614.64966804755</v>
      </c>
      <c r="P122" s="105"/>
      <c r="Q122" s="105"/>
      <c r="R122" s="105"/>
      <c r="S122" s="106"/>
      <c r="T122" s="88"/>
      <c r="U122" s="104">
        <f t="shared" si="22"/>
        <v>7961253.2031543748</v>
      </c>
      <c r="V122" s="272">
        <f t="shared" si="23"/>
        <v>-503296.79684562515</v>
      </c>
      <c r="W122" s="273">
        <f t="shared" si="24"/>
        <v>-5.9459368406545553E-2</v>
      </c>
      <c r="X122" s="273">
        <f t="shared" si="19"/>
        <v>5.9459368406545553E-2</v>
      </c>
      <c r="Y122" s="222"/>
      <c r="Z122" s="375"/>
      <c r="AJ122" s="88"/>
      <c r="AK122" s="88"/>
      <c r="AL122" s="88"/>
      <c r="AM122" s="88"/>
      <c r="AN122" s="88"/>
      <c r="AO122" s="88"/>
      <c r="AP122" s="88"/>
      <c r="AQ122" s="88"/>
      <c r="AR122" s="88"/>
      <c r="AS122" s="88"/>
    </row>
    <row r="123" spans="2:45">
      <c r="B123" s="100">
        <f t="shared" si="20"/>
        <v>41943</v>
      </c>
      <c r="C123" s="139">
        <f>[21]Sheet1!C69</f>
        <v>8663323</v>
      </c>
      <c r="D123" s="111"/>
      <c r="E123" s="108">
        <f>[21]Sheet1!D69</f>
        <v>7439</v>
      </c>
      <c r="F123" s="111"/>
      <c r="G123" s="112"/>
      <c r="H123" s="110">
        <f t="shared" si="21"/>
        <v>8670762</v>
      </c>
      <c r="I123" s="369"/>
      <c r="J123" s="214">
        <f>'HDD &amp; CDD'!U15</f>
        <v>257.90000000000003</v>
      </c>
      <c r="K123" s="214">
        <f>'HDD &amp; CDD'!U33</f>
        <v>3.1</v>
      </c>
      <c r="L123" s="485">
        <f t="shared" si="18"/>
        <v>31</v>
      </c>
      <c r="M123" s="214">
        <v>1</v>
      </c>
      <c r="N123" s="485">
        <f>[22]Sheet1!C121</f>
        <v>1</v>
      </c>
      <c r="O123" s="164">
        <f>'CDM Activity'!C171</f>
        <v>357646.83052475395</v>
      </c>
      <c r="P123" s="105"/>
      <c r="Q123" s="105"/>
      <c r="R123" s="105"/>
      <c r="S123" s="106"/>
      <c r="T123" s="88"/>
      <c r="U123" s="104">
        <f t="shared" si="22"/>
        <v>8605660.319105329</v>
      </c>
      <c r="V123" s="272">
        <f t="shared" si="23"/>
        <v>-65101.680894671008</v>
      </c>
      <c r="W123" s="273">
        <f t="shared" si="24"/>
        <v>-7.508184504968653E-3</v>
      </c>
      <c r="X123" s="273">
        <f t="shared" si="19"/>
        <v>7.508184504968653E-3</v>
      </c>
      <c r="Y123" s="222"/>
      <c r="Z123" s="375"/>
      <c r="AJ123" s="88"/>
      <c r="AK123" s="88"/>
      <c r="AL123" s="88"/>
      <c r="AM123" s="88"/>
      <c r="AN123" s="88"/>
      <c r="AO123" s="88"/>
      <c r="AP123" s="88"/>
      <c r="AQ123" s="88"/>
      <c r="AR123" s="88"/>
      <c r="AS123" s="88"/>
    </row>
    <row r="124" spans="2:45">
      <c r="B124" s="100">
        <f t="shared" si="20"/>
        <v>41973</v>
      </c>
      <c r="C124" s="139">
        <f>[21]Sheet1!C70</f>
        <v>9594308</v>
      </c>
      <c r="D124" s="111"/>
      <c r="E124" s="108">
        <f>[21]Sheet1!D70</f>
        <v>4365</v>
      </c>
      <c r="F124" s="111"/>
      <c r="G124" s="112"/>
      <c r="H124" s="110">
        <f t="shared" si="21"/>
        <v>9598673</v>
      </c>
      <c r="I124" s="369"/>
      <c r="J124" s="214">
        <f>'HDD &amp; CDD'!U16</f>
        <v>510.6</v>
      </c>
      <c r="K124" s="214">
        <f>'HDD &amp; CDD'!U34</f>
        <v>0</v>
      </c>
      <c r="L124" s="485">
        <f t="shared" si="18"/>
        <v>30</v>
      </c>
      <c r="M124" s="214">
        <v>1</v>
      </c>
      <c r="N124" s="485">
        <f>[22]Sheet1!C122</f>
        <v>0</v>
      </c>
      <c r="O124" s="164">
        <f>'CDM Activity'!C172</f>
        <v>363679.01138146035</v>
      </c>
      <c r="P124" s="105"/>
      <c r="Q124" s="105"/>
      <c r="R124" s="105"/>
      <c r="S124" s="106"/>
      <c r="T124" s="88"/>
      <c r="U124" s="104">
        <f t="shared" si="22"/>
        <v>9596799.9779392667</v>
      </c>
      <c r="V124" s="272">
        <f t="shared" si="23"/>
        <v>-1873.0220607332885</v>
      </c>
      <c r="W124" s="273">
        <f t="shared" si="24"/>
        <v>-1.9513343779221237E-4</v>
      </c>
      <c r="X124" s="273">
        <f t="shared" si="19"/>
        <v>1.9513343779221237E-4</v>
      </c>
      <c r="Y124" s="222"/>
      <c r="Z124" s="375"/>
      <c r="AJ124" s="88"/>
      <c r="AK124" s="88"/>
      <c r="AL124" s="88"/>
      <c r="AM124" s="88"/>
      <c r="AN124" s="88"/>
      <c r="AO124" s="88"/>
      <c r="AP124" s="88"/>
      <c r="AQ124" s="88"/>
      <c r="AR124" s="88"/>
      <c r="AS124" s="88"/>
    </row>
    <row r="125" spans="2:45">
      <c r="B125" s="217">
        <f t="shared" si="20"/>
        <v>42004</v>
      </c>
      <c r="C125" s="124">
        <f>[21]Sheet1!C71</f>
        <v>10753031</v>
      </c>
      <c r="D125" s="125"/>
      <c r="E125" s="117">
        <f>[21]Sheet1!D71</f>
        <v>2388</v>
      </c>
      <c r="F125" s="125"/>
      <c r="G125" s="126"/>
      <c r="H125" s="117">
        <f t="shared" si="21"/>
        <v>10755419</v>
      </c>
      <c r="I125" s="370"/>
      <c r="J125" s="165">
        <f>'HDD &amp; CDD'!U17</f>
        <v>696.39999999999986</v>
      </c>
      <c r="K125" s="165">
        <f>'HDD &amp; CDD'!U35</f>
        <v>0</v>
      </c>
      <c r="L125" s="486">
        <f t="shared" si="18"/>
        <v>31</v>
      </c>
      <c r="M125" s="165">
        <v>0</v>
      </c>
      <c r="N125" s="486">
        <f>[22]Sheet1!C123</f>
        <v>2</v>
      </c>
      <c r="O125" s="167">
        <f>'CDM Activity'!C173</f>
        <v>369711.19223816675</v>
      </c>
      <c r="P125" s="118"/>
      <c r="Q125" s="118"/>
      <c r="R125" s="118"/>
      <c r="S125" s="119"/>
      <c r="T125" s="120"/>
      <c r="U125" s="121">
        <f t="shared" si="22"/>
        <v>10807225.348681718</v>
      </c>
      <c r="V125" s="284">
        <f t="shared" si="23"/>
        <v>51806.348681718111</v>
      </c>
      <c r="W125" s="274">
        <f t="shared" si="24"/>
        <v>4.8167671275027137E-3</v>
      </c>
      <c r="X125" s="274">
        <f t="shared" si="19"/>
        <v>4.8167671275027137E-3</v>
      </c>
      <c r="Y125" s="222"/>
      <c r="Z125" s="375"/>
      <c r="AB125" s="79"/>
      <c r="AC125" s="79"/>
      <c r="AF125" s="79"/>
      <c r="AJ125" s="88"/>
      <c r="AK125" s="88"/>
      <c r="AL125" s="88"/>
      <c r="AM125" s="88"/>
      <c r="AN125" s="88"/>
      <c r="AO125" s="88"/>
      <c r="AP125" s="88"/>
      <c r="AQ125" s="88"/>
      <c r="AR125" s="88"/>
      <c r="AS125" s="88"/>
    </row>
    <row r="126" spans="2:45">
      <c r="B126" s="100">
        <f t="shared" si="20"/>
        <v>42035</v>
      </c>
      <c r="C126" s="108">
        <f>[21]Sheet1!C72</f>
        <v>12178875.15</v>
      </c>
      <c r="D126" s="111"/>
      <c r="E126" s="108">
        <f>[21]Sheet1!D72</f>
        <v>2052</v>
      </c>
      <c r="F126" s="483"/>
      <c r="G126" s="484"/>
      <c r="H126" s="110">
        <f t="shared" si="21"/>
        <v>12180927.15</v>
      </c>
      <c r="J126" s="520">
        <f>'HDD &amp; CDD'!V6</f>
        <v>968.19999999999982</v>
      </c>
      <c r="K126" s="520">
        <f>'HDD &amp; CDD'!V24</f>
        <v>0</v>
      </c>
      <c r="L126" s="485">
        <f t="shared" si="18"/>
        <v>31</v>
      </c>
      <c r="M126" s="214">
        <v>0</v>
      </c>
      <c r="N126" s="485">
        <f>[22]Sheet1!C124</f>
        <v>1</v>
      </c>
      <c r="O126" s="164">
        <f>'CDM Activity'!C174</f>
        <v>377287.00146254135</v>
      </c>
      <c r="P126" s="141"/>
      <c r="Q126" s="163"/>
      <c r="R126" s="163"/>
      <c r="S126" s="145"/>
      <c r="T126" s="88"/>
      <c r="U126" s="104">
        <f t="shared" si="22"/>
        <v>12165660.629921976</v>
      </c>
      <c r="V126" s="272">
        <f t="shared" ref="V126:V137" si="30">U126-H126</f>
        <v>-15266.520078023896</v>
      </c>
      <c r="W126" s="273">
        <f t="shared" ref="W126:W137" si="31">V126/H126</f>
        <v>-1.253313470315262E-3</v>
      </c>
      <c r="X126" s="273">
        <f t="shared" ref="X126:X137" si="32">ABS(W126)</f>
        <v>1.253313470315262E-3</v>
      </c>
      <c r="Y126" s="222"/>
      <c r="Z126" s="375"/>
      <c r="AJ126" s="88"/>
      <c r="AK126" s="88"/>
      <c r="AL126" s="88"/>
      <c r="AM126" s="88"/>
      <c r="AN126" s="88"/>
      <c r="AO126" s="88"/>
      <c r="AP126" s="88"/>
      <c r="AQ126" s="88"/>
      <c r="AR126" s="88"/>
      <c r="AS126" s="88"/>
    </row>
    <row r="127" spans="2:45">
      <c r="B127" s="100">
        <f t="shared" si="20"/>
        <v>42063</v>
      </c>
      <c r="C127" s="108">
        <f>[21]Sheet1!C73</f>
        <v>11445612.18</v>
      </c>
      <c r="D127" s="111"/>
      <c r="E127" s="108">
        <f>[21]Sheet1!D73</f>
        <v>2693</v>
      </c>
      <c r="F127" s="140"/>
      <c r="G127" s="140"/>
      <c r="H127" s="110">
        <f t="shared" si="21"/>
        <v>11448305.18</v>
      </c>
      <c r="I127" s="367"/>
      <c r="J127" s="520">
        <f>'HDD &amp; CDD'!V7</f>
        <v>957.8000000000003</v>
      </c>
      <c r="K127" s="520">
        <f>'HDD &amp; CDD'!V25</f>
        <v>0</v>
      </c>
      <c r="L127" s="485">
        <f t="shared" si="18"/>
        <v>28</v>
      </c>
      <c r="M127" s="214">
        <v>0</v>
      </c>
      <c r="N127" s="485">
        <f>[22]Sheet1!C125</f>
        <v>1</v>
      </c>
      <c r="O127" s="164">
        <f>'CDM Activity'!C175</f>
        <v>384862.81068691594</v>
      </c>
      <c r="P127" s="142"/>
      <c r="Q127" s="169"/>
      <c r="R127" s="169"/>
      <c r="S127" s="145"/>
      <c r="T127" s="88"/>
      <c r="U127" s="104">
        <f t="shared" si="22"/>
        <v>11380958.736133229</v>
      </c>
      <c r="V127" s="272">
        <f t="shared" si="30"/>
        <v>-67346.443866770715</v>
      </c>
      <c r="W127" s="273">
        <f t="shared" si="31"/>
        <v>-5.8826562366998949E-3</v>
      </c>
      <c r="X127" s="273">
        <f t="shared" si="32"/>
        <v>5.8826562366998949E-3</v>
      </c>
      <c r="Y127" s="222"/>
      <c r="Z127" s="375"/>
      <c r="AJ127" s="88"/>
      <c r="AK127" s="88"/>
      <c r="AL127" s="88"/>
      <c r="AM127" s="88"/>
      <c r="AN127" s="88"/>
      <c r="AO127" s="88"/>
      <c r="AP127" s="88"/>
      <c r="AQ127" s="88"/>
      <c r="AR127" s="88"/>
      <c r="AS127" s="88"/>
    </row>
    <row r="128" spans="2:45">
      <c r="B128" s="100">
        <f t="shared" si="20"/>
        <v>42094</v>
      </c>
      <c r="C128" s="108">
        <f>[21]Sheet1!C74</f>
        <v>10922675.359999999</v>
      </c>
      <c r="D128" s="111"/>
      <c r="E128" s="108">
        <f>[21]Sheet1!D74</f>
        <v>2302</v>
      </c>
      <c r="F128" s="140"/>
      <c r="G128" s="140"/>
      <c r="H128" s="110">
        <f t="shared" si="21"/>
        <v>10924977.359999999</v>
      </c>
      <c r="I128" s="367"/>
      <c r="J128" s="520">
        <f>'HDD &amp; CDD'!V8</f>
        <v>718.59999999999991</v>
      </c>
      <c r="K128" s="520">
        <f>'HDD &amp; CDD'!V26</f>
        <v>0</v>
      </c>
      <c r="L128" s="485">
        <f t="shared" si="18"/>
        <v>31</v>
      </c>
      <c r="M128" s="214">
        <v>1</v>
      </c>
      <c r="N128" s="485">
        <f>[22]Sheet1!C126</f>
        <v>0</v>
      </c>
      <c r="O128" s="164">
        <f>'CDM Activity'!C176</f>
        <v>392438.61991129053</v>
      </c>
      <c r="P128" s="142"/>
      <c r="Q128" s="169"/>
      <c r="R128" s="169"/>
      <c r="S128" s="145"/>
      <c r="T128" s="88"/>
      <c r="U128" s="104">
        <f t="shared" si="22"/>
        <v>10723043.211367371</v>
      </c>
      <c r="V128" s="272">
        <f t="shared" si="30"/>
        <v>-201934.14863262884</v>
      </c>
      <c r="W128" s="273">
        <f t="shared" si="31"/>
        <v>-1.8483713236054602E-2</v>
      </c>
      <c r="X128" s="273">
        <f t="shared" si="32"/>
        <v>1.8483713236054602E-2</v>
      </c>
      <c r="Y128" s="222"/>
      <c r="Z128" s="375"/>
      <c r="AJ128" s="88"/>
      <c r="AK128" s="88"/>
      <c r="AL128" s="88"/>
      <c r="AM128" s="88"/>
      <c r="AN128" s="88"/>
      <c r="AO128" s="88"/>
      <c r="AP128" s="88"/>
      <c r="AQ128" s="88"/>
      <c r="AR128" s="88"/>
      <c r="AS128" s="88"/>
    </row>
    <row r="129" spans="2:45">
      <c r="B129" s="100">
        <f t="shared" si="20"/>
        <v>42124</v>
      </c>
      <c r="C129" s="108">
        <f>[21]Sheet1!C75</f>
        <v>8724747</v>
      </c>
      <c r="D129" s="111"/>
      <c r="E129" s="108">
        <f>[21]Sheet1!D75</f>
        <v>7189</v>
      </c>
      <c r="F129" s="140"/>
      <c r="G129" s="140"/>
      <c r="H129" s="110">
        <f t="shared" si="21"/>
        <v>8731936</v>
      </c>
      <c r="I129" s="371"/>
      <c r="J129" s="520">
        <f>'HDD &amp; CDD'!V9</f>
        <v>352.59999999999991</v>
      </c>
      <c r="K129" s="520">
        <f>'HDD &amp; CDD'!V27</f>
        <v>0</v>
      </c>
      <c r="L129" s="485">
        <f t="shared" si="18"/>
        <v>30</v>
      </c>
      <c r="M129" s="214">
        <v>1</v>
      </c>
      <c r="N129" s="485">
        <f>[22]Sheet1!C127</f>
        <v>2</v>
      </c>
      <c r="O129" s="164">
        <f>'CDM Activity'!C177</f>
        <v>400014.42913566512</v>
      </c>
      <c r="P129" s="142"/>
      <c r="Q129" s="169"/>
      <c r="R129" s="169"/>
      <c r="S129" s="145"/>
      <c r="T129" s="88"/>
      <c r="U129" s="104">
        <f t="shared" si="22"/>
        <v>8531744.4145365637</v>
      </c>
      <c r="V129" s="272">
        <f t="shared" si="30"/>
        <v>-200191.58546343632</v>
      </c>
      <c r="W129" s="273">
        <f t="shared" si="31"/>
        <v>-2.2926368844599448E-2</v>
      </c>
      <c r="X129" s="273">
        <f t="shared" si="32"/>
        <v>2.2926368844599448E-2</v>
      </c>
      <c r="Y129" s="222"/>
      <c r="Z129" s="375"/>
      <c r="AJ129" s="88"/>
      <c r="AK129" s="88"/>
      <c r="AL129" s="88"/>
      <c r="AM129" s="88"/>
      <c r="AN129" s="88"/>
      <c r="AO129" s="88"/>
      <c r="AP129" s="88"/>
      <c r="AQ129" s="88"/>
      <c r="AR129" s="88"/>
      <c r="AS129" s="88"/>
    </row>
    <row r="130" spans="2:45">
      <c r="B130" s="100">
        <f t="shared" si="20"/>
        <v>42155</v>
      </c>
      <c r="C130" s="108">
        <f>[21]Sheet1!C76</f>
        <v>8214245.5700000003</v>
      </c>
      <c r="D130" s="111"/>
      <c r="E130" s="108">
        <f>[21]Sheet1!D76</f>
        <v>8877</v>
      </c>
      <c r="F130" s="140"/>
      <c r="G130" s="140"/>
      <c r="H130" s="110">
        <f t="shared" si="21"/>
        <v>8223122.5700000003</v>
      </c>
      <c r="I130" s="367"/>
      <c r="J130" s="520">
        <f>'HDD &amp; CDD'!V10</f>
        <v>94.200000000000031</v>
      </c>
      <c r="K130" s="520">
        <f>'HDD &amp; CDD'!V28</f>
        <v>25.299999999999997</v>
      </c>
      <c r="L130" s="485">
        <f t="shared" si="18"/>
        <v>31</v>
      </c>
      <c r="M130" s="214">
        <v>1</v>
      </c>
      <c r="N130" s="485">
        <f>[22]Sheet1!C128</f>
        <v>1</v>
      </c>
      <c r="O130" s="164">
        <f>'CDM Activity'!C178</f>
        <v>407590.23836003972</v>
      </c>
      <c r="P130" s="142"/>
      <c r="Q130" s="169"/>
      <c r="R130" s="169"/>
      <c r="S130" s="145"/>
      <c r="T130" s="88"/>
      <c r="U130" s="104">
        <f t="shared" si="22"/>
        <v>8015369.0689299311</v>
      </c>
      <c r="V130" s="272">
        <f t="shared" si="30"/>
        <v>-207753.50107006915</v>
      </c>
      <c r="W130" s="273">
        <f t="shared" si="31"/>
        <v>-2.5264551184972686E-2</v>
      </c>
      <c r="X130" s="273">
        <f t="shared" si="32"/>
        <v>2.5264551184972686E-2</v>
      </c>
      <c r="Y130" s="222"/>
      <c r="Z130" s="375"/>
      <c r="AJ130" s="88"/>
      <c r="AK130" s="88"/>
      <c r="AL130" s="88"/>
      <c r="AM130" s="88"/>
      <c r="AN130" s="88"/>
      <c r="AO130" s="88"/>
      <c r="AP130" s="88"/>
      <c r="AQ130" s="88"/>
      <c r="AR130" s="88"/>
      <c r="AS130" s="88"/>
    </row>
    <row r="131" spans="2:45">
      <c r="B131" s="100">
        <f t="shared" si="20"/>
        <v>42185</v>
      </c>
      <c r="C131" s="108">
        <f>[21]Sheet1!C77</f>
        <v>8082238.46</v>
      </c>
      <c r="D131" s="111"/>
      <c r="E131" s="108">
        <f>[21]Sheet1!D77</f>
        <v>10420</v>
      </c>
      <c r="F131" s="140"/>
      <c r="G131" s="140"/>
      <c r="H131" s="110">
        <f t="shared" si="21"/>
        <v>8092658.46</v>
      </c>
      <c r="I131" s="367"/>
      <c r="J131" s="520">
        <f>'HDD &amp; CDD'!V11</f>
        <v>45.199999999999996</v>
      </c>
      <c r="K131" s="520">
        <f>'HDD &amp; CDD'!V29</f>
        <v>20.3</v>
      </c>
      <c r="L131" s="485">
        <f t="shared" si="18"/>
        <v>30</v>
      </c>
      <c r="M131" s="214">
        <v>0</v>
      </c>
      <c r="N131" s="485">
        <f>[22]Sheet1!C129</f>
        <v>0</v>
      </c>
      <c r="O131" s="164">
        <f>'CDM Activity'!C179</f>
        <v>415166.04758441431</v>
      </c>
      <c r="P131" s="142"/>
      <c r="Q131" s="169"/>
      <c r="R131" s="169"/>
      <c r="S131" s="145"/>
      <c r="T131" s="88"/>
      <c r="U131" s="104">
        <f t="shared" si="22"/>
        <v>7910136.1424896168</v>
      </c>
      <c r="V131" s="272">
        <f t="shared" si="30"/>
        <v>-182522.3175103832</v>
      </c>
      <c r="W131" s="273">
        <f t="shared" si="31"/>
        <v>-2.2554061611835673E-2</v>
      </c>
      <c r="X131" s="273">
        <f t="shared" si="32"/>
        <v>2.2554061611835673E-2</v>
      </c>
      <c r="Y131" s="222"/>
      <c r="Z131" s="375"/>
      <c r="AJ131" s="88"/>
      <c r="AK131" s="88"/>
      <c r="AL131" s="88"/>
      <c r="AM131" s="88"/>
      <c r="AN131" s="88"/>
      <c r="AO131" s="88"/>
      <c r="AP131" s="88"/>
      <c r="AQ131" s="88"/>
      <c r="AR131" s="88"/>
      <c r="AS131" s="88"/>
    </row>
    <row r="132" spans="2:45">
      <c r="B132" s="100">
        <f t="shared" si="20"/>
        <v>42216</v>
      </c>
      <c r="C132" s="139">
        <f>[21]Sheet1!C78</f>
        <v>8969560.4600000009</v>
      </c>
      <c r="D132" s="111"/>
      <c r="E132" s="108">
        <f>[21]Sheet1!D78</f>
        <v>9244</v>
      </c>
      <c r="F132" s="140"/>
      <c r="G132" s="140"/>
      <c r="H132" s="110">
        <f t="shared" si="21"/>
        <v>8978804.4600000009</v>
      </c>
      <c r="I132" s="367"/>
      <c r="J132" s="520">
        <f>'HDD &amp; CDD'!V12</f>
        <v>9.3000000000000007</v>
      </c>
      <c r="K132" s="520">
        <f>'HDD &amp; CDD'!V30</f>
        <v>99.999999999999986</v>
      </c>
      <c r="L132" s="485">
        <f t="shared" si="18"/>
        <v>31</v>
      </c>
      <c r="M132" s="214">
        <v>0</v>
      </c>
      <c r="N132" s="485">
        <f>[22]Sheet1!C130</f>
        <v>1</v>
      </c>
      <c r="O132" s="164">
        <f>'CDM Activity'!C180</f>
        <v>422741.8568087889</v>
      </c>
      <c r="P132" s="142"/>
      <c r="Q132" s="169"/>
      <c r="R132" s="169"/>
      <c r="S132" s="145"/>
      <c r="T132" s="88"/>
      <c r="U132" s="104">
        <f t="shared" si="22"/>
        <v>8991388.1694671065</v>
      </c>
      <c r="V132" s="272">
        <f t="shared" si="30"/>
        <v>12583.709467105567</v>
      </c>
      <c r="W132" s="273">
        <f t="shared" si="31"/>
        <v>1.4014905350890742E-3</v>
      </c>
      <c r="X132" s="273">
        <f t="shared" si="32"/>
        <v>1.4014905350890742E-3</v>
      </c>
      <c r="Y132" s="222"/>
      <c r="Z132" s="375"/>
      <c r="AJ132" s="88"/>
      <c r="AK132" s="88"/>
      <c r="AL132" s="88"/>
      <c r="AM132" s="88"/>
      <c r="AN132" s="88"/>
      <c r="AO132" s="88"/>
      <c r="AP132" s="88"/>
      <c r="AQ132" s="88"/>
      <c r="AR132" s="88"/>
      <c r="AS132" s="88"/>
    </row>
    <row r="133" spans="2:45">
      <c r="B133" s="100">
        <f t="shared" si="20"/>
        <v>42247</v>
      </c>
      <c r="C133" s="139">
        <f>[21]Sheet1!C79</f>
        <v>8928792.9100000001</v>
      </c>
      <c r="D133" s="111"/>
      <c r="E133" s="108">
        <f>[21]Sheet1!D79</f>
        <v>10629</v>
      </c>
      <c r="F133" s="140"/>
      <c r="G133" s="140"/>
      <c r="H133" s="110">
        <f t="shared" si="21"/>
        <v>8939421.9100000001</v>
      </c>
      <c r="I133" s="367"/>
      <c r="J133" s="520">
        <f>'HDD &amp; CDD'!V13</f>
        <v>5.6</v>
      </c>
      <c r="K133" s="520">
        <f>'HDD &amp; CDD'!V31</f>
        <v>67.399999999999991</v>
      </c>
      <c r="L133" s="485">
        <f t="shared" si="18"/>
        <v>31</v>
      </c>
      <c r="M133" s="214">
        <v>0</v>
      </c>
      <c r="N133" s="485">
        <f>[22]Sheet1!C131</f>
        <v>1</v>
      </c>
      <c r="O133" s="164">
        <f>'CDM Activity'!C181</f>
        <v>430317.66603316349</v>
      </c>
      <c r="P133" s="142"/>
      <c r="Q133" s="169"/>
      <c r="R133" s="169"/>
      <c r="S133" s="145"/>
      <c r="T133" s="88"/>
      <c r="U133" s="104">
        <f t="shared" si="22"/>
        <v>8484347.6946212333</v>
      </c>
      <c r="V133" s="272">
        <f t="shared" si="30"/>
        <v>-455074.21537876688</v>
      </c>
      <c r="W133" s="273">
        <f t="shared" si="31"/>
        <v>-5.0906447862104194E-2</v>
      </c>
      <c r="X133" s="273">
        <f t="shared" si="32"/>
        <v>5.0906447862104194E-2</v>
      </c>
      <c r="Y133" s="222"/>
      <c r="Z133" s="375"/>
      <c r="AJ133" s="88"/>
      <c r="AK133" s="88"/>
      <c r="AL133" s="88"/>
      <c r="AM133" s="88"/>
      <c r="AN133" s="88"/>
      <c r="AO133" s="88"/>
      <c r="AP133" s="88"/>
      <c r="AQ133" s="88"/>
      <c r="AR133" s="88"/>
      <c r="AS133" s="88"/>
    </row>
    <row r="134" spans="2:45">
      <c r="B134" s="100">
        <f t="shared" si="20"/>
        <v>42277</v>
      </c>
      <c r="C134" s="139">
        <f>[21]Sheet1!C80</f>
        <v>8487585.6799999997</v>
      </c>
      <c r="D134" s="111"/>
      <c r="E134" s="108">
        <f>[21]Sheet1!D80</f>
        <v>9115</v>
      </c>
      <c r="F134" s="140"/>
      <c r="G134" s="140"/>
      <c r="H134" s="110">
        <f t="shared" si="21"/>
        <v>8496700.6799999997</v>
      </c>
      <c r="I134" s="367"/>
      <c r="J134" s="520">
        <f>'HDD &amp; CDD'!V14</f>
        <v>48.400000000000006</v>
      </c>
      <c r="K134" s="520">
        <f>'HDD &amp; CDD'!V32</f>
        <v>46.500000000000007</v>
      </c>
      <c r="L134" s="485">
        <f t="shared" si="18"/>
        <v>30</v>
      </c>
      <c r="M134" s="214">
        <v>1</v>
      </c>
      <c r="N134" s="485">
        <f>[22]Sheet1!C132</f>
        <v>1</v>
      </c>
      <c r="O134" s="164">
        <f>'CDM Activity'!C182</f>
        <v>437893.47525753808</v>
      </c>
      <c r="P134" s="142"/>
      <c r="Q134" s="169"/>
      <c r="R134" s="169"/>
      <c r="S134" s="145"/>
      <c r="T134" s="88"/>
      <c r="U134" s="104">
        <f t="shared" si="22"/>
        <v>7780027.7233517282</v>
      </c>
      <c r="V134" s="272">
        <f t="shared" si="30"/>
        <v>-716672.95664827153</v>
      </c>
      <c r="W134" s="273">
        <f t="shared" si="31"/>
        <v>-8.4347205302314071E-2</v>
      </c>
      <c r="X134" s="273">
        <f t="shared" si="32"/>
        <v>8.4347205302314071E-2</v>
      </c>
      <c r="Y134" s="222"/>
      <c r="Z134" s="375"/>
      <c r="AJ134" s="88"/>
      <c r="AK134" s="88"/>
      <c r="AL134" s="88"/>
      <c r="AM134" s="88"/>
      <c r="AN134" s="88"/>
      <c r="AO134" s="88"/>
      <c r="AP134" s="88"/>
      <c r="AQ134" s="88"/>
      <c r="AR134" s="88"/>
      <c r="AS134" s="88"/>
    </row>
    <row r="135" spans="2:45">
      <c r="B135" s="100">
        <f t="shared" si="20"/>
        <v>42308</v>
      </c>
      <c r="C135" s="139">
        <f>[21]Sheet1!C81</f>
        <v>8442807.8100000005</v>
      </c>
      <c r="D135" s="111"/>
      <c r="E135" s="108">
        <f>[21]Sheet1!D81</f>
        <v>7694</v>
      </c>
      <c r="F135" s="140"/>
      <c r="G135" s="140"/>
      <c r="H135" s="110">
        <f t="shared" si="21"/>
        <v>8450501.8100000005</v>
      </c>
      <c r="I135" s="367"/>
      <c r="J135" s="520">
        <f>'HDD &amp; CDD'!V15</f>
        <v>337.30000000000007</v>
      </c>
      <c r="K135" s="520">
        <f>'HDD &amp; CDD'!V33</f>
        <v>0</v>
      </c>
      <c r="L135" s="485">
        <f t="shared" ref="L135:L149" si="33">DAY(EOMONTH(B135,0))</f>
        <v>31</v>
      </c>
      <c r="M135" s="214">
        <v>1</v>
      </c>
      <c r="N135" s="485">
        <f>[22]Sheet1!C133</f>
        <v>1</v>
      </c>
      <c r="O135" s="164">
        <f>'CDM Activity'!C183</f>
        <v>445469.28448191268</v>
      </c>
      <c r="P135" s="142"/>
      <c r="Q135" s="169"/>
      <c r="R135" s="169"/>
      <c r="S135" s="145"/>
      <c r="T135" s="88"/>
      <c r="U135" s="104">
        <f t="shared" ref="U135:U161" si="34">$AB$21+J135*$AB$22+K135*$AB$23+L135*$AB$24+M135*$AB$25+N135*$AB$26+O135*$AB$27</f>
        <v>8677988.7075859066</v>
      </c>
      <c r="V135" s="272">
        <f t="shared" si="30"/>
        <v>227486.89758590609</v>
      </c>
      <c r="W135" s="273">
        <f t="shared" si="31"/>
        <v>2.6919927680117979E-2</v>
      </c>
      <c r="X135" s="273">
        <f t="shared" si="32"/>
        <v>2.6919927680117979E-2</v>
      </c>
      <c r="Y135" s="222"/>
      <c r="Z135" s="375"/>
      <c r="AJ135" s="88"/>
      <c r="AK135" s="88"/>
      <c r="AL135" s="88"/>
      <c r="AM135" s="88"/>
      <c r="AN135" s="88"/>
      <c r="AO135" s="88"/>
      <c r="AP135" s="88"/>
      <c r="AQ135" s="88"/>
      <c r="AR135" s="88"/>
      <c r="AS135" s="88"/>
    </row>
    <row r="136" spans="2:45">
      <c r="B136" s="100">
        <f t="shared" ref="B136:B161" si="35">EOMONTH(B135,1)</f>
        <v>42338</v>
      </c>
      <c r="C136" s="139">
        <f>[21]Sheet1!C82</f>
        <v>8788398.0199999996</v>
      </c>
      <c r="D136" s="111"/>
      <c r="E136" s="108">
        <f>[21]Sheet1!D82</f>
        <v>5620</v>
      </c>
      <c r="F136" s="140"/>
      <c r="G136" s="140"/>
      <c r="H136" s="110">
        <f t="shared" si="21"/>
        <v>8794018.0199999996</v>
      </c>
      <c r="I136" s="367"/>
      <c r="J136" s="520">
        <f>'HDD &amp; CDD'!V16</f>
        <v>429.00000000000006</v>
      </c>
      <c r="K136" s="520">
        <f>'HDD &amp; CDD'!V34</f>
        <v>0</v>
      </c>
      <c r="L136" s="485">
        <f t="shared" si="33"/>
        <v>30</v>
      </c>
      <c r="M136" s="214">
        <v>1</v>
      </c>
      <c r="N136" s="485">
        <f>[22]Sheet1!C134</f>
        <v>0</v>
      </c>
      <c r="O136" s="164">
        <f>'CDM Activity'!C184</f>
        <v>453045.09370628727</v>
      </c>
      <c r="P136" s="142"/>
      <c r="Q136" s="169"/>
      <c r="R136" s="169"/>
      <c r="S136" s="145"/>
      <c r="T136" s="88"/>
      <c r="U136" s="104">
        <f t="shared" si="34"/>
        <v>8957301.4342782963</v>
      </c>
      <c r="V136" s="272">
        <f t="shared" si="30"/>
        <v>163283.41427829675</v>
      </c>
      <c r="W136" s="273">
        <f t="shared" si="31"/>
        <v>1.8567555116096607E-2</v>
      </c>
      <c r="X136" s="273">
        <f t="shared" si="32"/>
        <v>1.8567555116096607E-2</v>
      </c>
      <c r="Y136" s="222"/>
      <c r="Z136" s="375"/>
      <c r="AJ136" s="88"/>
      <c r="AK136" s="88"/>
      <c r="AL136" s="88"/>
      <c r="AM136" s="88"/>
      <c r="AN136" s="88"/>
      <c r="AO136" s="88"/>
      <c r="AP136" s="88"/>
      <c r="AQ136" s="88"/>
      <c r="AR136" s="88"/>
      <c r="AS136" s="88"/>
    </row>
    <row r="137" spans="2:45">
      <c r="B137" s="1171">
        <f t="shared" si="35"/>
        <v>42369</v>
      </c>
      <c r="C137" s="1172">
        <f>[21]Sheet1!C83</f>
        <v>9419775.3499999996</v>
      </c>
      <c r="D137" s="1173"/>
      <c r="E137" s="1172">
        <f>[21]Sheet1!D83</f>
        <v>3629</v>
      </c>
      <c r="F137" s="1174"/>
      <c r="G137" s="1174"/>
      <c r="H137" s="1172">
        <f t="shared" si="21"/>
        <v>9423404.3499999996</v>
      </c>
      <c r="I137" s="1175"/>
      <c r="J137" s="1176">
        <f>'HDD &amp; CDD'!V17</f>
        <v>519.90000000000009</v>
      </c>
      <c r="K137" s="1176">
        <f>'HDD &amp; CDD'!V35</f>
        <v>0</v>
      </c>
      <c r="L137" s="1177">
        <f t="shared" si="33"/>
        <v>31</v>
      </c>
      <c r="M137" s="1178">
        <v>0</v>
      </c>
      <c r="N137" s="1177">
        <f>[22]Sheet1!C135</f>
        <v>2</v>
      </c>
      <c r="O137" s="1179">
        <f>'CDM Activity'!C185</f>
        <v>460620.90293066186</v>
      </c>
      <c r="P137" s="1180"/>
      <c r="Q137" s="1178"/>
      <c r="R137" s="1178"/>
      <c r="S137" s="1181"/>
      <c r="T137" s="1182"/>
      <c r="U137" s="1183">
        <f t="shared" si="34"/>
        <v>9720090.3771915454</v>
      </c>
      <c r="V137" s="1183">
        <f t="shared" si="30"/>
        <v>296686.02719154581</v>
      </c>
      <c r="W137" s="1184">
        <f t="shared" si="31"/>
        <v>3.1483953799726933E-2</v>
      </c>
      <c r="X137" s="1184">
        <f t="shared" si="32"/>
        <v>3.1483953799726933E-2</v>
      </c>
      <c r="Y137" s="222"/>
      <c r="Z137" s="375"/>
      <c r="AJ137" s="88"/>
      <c r="AK137" s="88"/>
      <c r="AL137" s="88"/>
      <c r="AM137" s="88"/>
      <c r="AN137" s="88"/>
      <c r="AO137" s="88"/>
      <c r="AP137" s="88"/>
      <c r="AQ137" s="88"/>
      <c r="AR137" s="88"/>
      <c r="AS137" s="88"/>
    </row>
    <row r="138" spans="2:45">
      <c r="B138" s="100">
        <f t="shared" si="35"/>
        <v>42400</v>
      </c>
      <c r="C138" s="139">
        <f>[21]Sheet1!C84</f>
        <v>10989034.470000001</v>
      </c>
      <c r="D138" s="110"/>
      <c r="E138" s="108">
        <f>[21]Sheet1!D84</f>
        <v>1660</v>
      </c>
      <c r="F138" s="140"/>
      <c r="G138" s="140"/>
      <c r="H138" s="110">
        <f t="shared" si="21"/>
        <v>10990694.470000001</v>
      </c>
      <c r="I138" s="367"/>
      <c r="J138" s="520">
        <f>'HDD &amp; CDD'!W6</f>
        <v>804.80000000000018</v>
      </c>
      <c r="K138" s="520">
        <f>'HDD &amp; CDD'!W24</f>
        <v>0</v>
      </c>
      <c r="L138" s="485">
        <f t="shared" si="33"/>
        <v>31</v>
      </c>
      <c r="M138" s="214">
        <v>0</v>
      </c>
      <c r="N138" s="485">
        <f>[22]Sheet1!C136</f>
        <v>1</v>
      </c>
      <c r="O138" s="164">
        <f>'CDM Activity'!C186</f>
        <v>459284.91118247033</v>
      </c>
      <c r="P138" s="141"/>
      <c r="Q138" s="163"/>
      <c r="R138" s="163"/>
      <c r="S138" s="145"/>
      <c r="T138" s="88"/>
      <c r="U138" s="104">
        <f t="shared" si="34"/>
        <v>11165473.02390413</v>
      </c>
      <c r="V138" s="272">
        <f t="shared" ref="V138:V149" si="36">U138-H138</f>
        <v>174778.55390412919</v>
      </c>
      <c r="W138" s="273">
        <f t="shared" ref="W138:W149" si="37">V138/H138</f>
        <v>1.5902412207090422E-2</v>
      </c>
      <c r="X138" s="273">
        <f t="shared" ref="X138:X149" si="38">ABS(W138)</f>
        <v>1.5902412207090422E-2</v>
      </c>
      <c r="Y138" s="222"/>
      <c r="Z138" s="375"/>
      <c r="AJ138" s="88"/>
      <c r="AK138" s="88"/>
      <c r="AL138" s="88"/>
      <c r="AM138" s="88"/>
      <c r="AN138" s="88"/>
      <c r="AO138" s="88"/>
      <c r="AP138" s="88"/>
      <c r="AQ138" s="88"/>
      <c r="AR138" s="88"/>
      <c r="AS138" s="88"/>
    </row>
    <row r="139" spans="2:45">
      <c r="B139" s="100">
        <f t="shared" si="35"/>
        <v>42429</v>
      </c>
      <c r="C139" s="139">
        <f>[21]Sheet1!C85</f>
        <v>10461168.439999999</v>
      </c>
      <c r="D139" s="110"/>
      <c r="E139" s="108">
        <f>[21]Sheet1!D85</f>
        <v>2253</v>
      </c>
      <c r="F139" s="140"/>
      <c r="G139" s="140"/>
      <c r="H139" s="110">
        <f t="shared" si="21"/>
        <v>10463421.439999999</v>
      </c>
      <c r="I139" s="367"/>
      <c r="J139" s="520">
        <f>'HDD &amp; CDD'!W7</f>
        <v>756.3</v>
      </c>
      <c r="K139" s="520">
        <f>'HDD &amp; CDD'!W25</f>
        <v>0</v>
      </c>
      <c r="L139" s="485">
        <f t="shared" si="33"/>
        <v>29</v>
      </c>
      <c r="M139" s="214">
        <v>0</v>
      </c>
      <c r="N139" s="485">
        <f>[22]Sheet1!C137</f>
        <v>1</v>
      </c>
      <c r="O139" s="164">
        <f>'CDM Activity'!C187</f>
        <v>457948.9194342788</v>
      </c>
      <c r="P139" s="142"/>
      <c r="Q139" s="169"/>
      <c r="R139" s="169"/>
      <c r="S139" s="145"/>
      <c r="T139" s="88"/>
      <c r="U139" s="104">
        <f t="shared" si="34"/>
        <v>10466695.772992244</v>
      </c>
      <c r="V139" s="272">
        <f t="shared" si="36"/>
        <v>3274.3329922445118</v>
      </c>
      <c r="W139" s="273">
        <f t="shared" si="37"/>
        <v>3.1293138778939523E-4</v>
      </c>
      <c r="X139" s="273">
        <f t="shared" si="38"/>
        <v>3.1293138778939523E-4</v>
      </c>
      <c r="Y139" s="222"/>
      <c r="Z139" s="375"/>
      <c r="AJ139" s="88"/>
      <c r="AK139" s="88"/>
      <c r="AL139" s="88"/>
      <c r="AM139" s="88"/>
      <c r="AN139" s="88"/>
      <c r="AO139" s="88"/>
      <c r="AP139" s="88"/>
      <c r="AQ139" s="88"/>
      <c r="AR139" s="88"/>
      <c r="AS139" s="88"/>
    </row>
    <row r="140" spans="2:45">
      <c r="B140" s="100">
        <f t="shared" si="35"/>
        <v>42460</v>
      </c>
      <c r="C140" s="139">
        <f>[21]Sheet1!C86</f>
        <v>9905017</v>
      </c>
      <c r="D140" s="110"/>
      <c r="E140" s="108">
        <f>[21]Sheet1!D86</f>
        <v>2428</v>
      </c>
      <c r="F140" s="140"/>
      <c r="G140" s="140"/>
      <c r="H140" s="110">
        <f t="shared" si="21"/>
        <v>9907445</v>
      </c>
      <c r="I140" s="367"/>
      <c r="J140" s="520">
        <f>'HDD &amp; CDD'!W8</f>
        <v>591.39999999999975</v>
      </c>
      <c r="K140" s="520">
        <f>'HDD &amp; CDD'!W26</f>
        <v>0</v>
      </c>
      <c r="L140" s="485">
        <f t="shared" si="33"/>
        <v>31</v>
      </c>
      <c r="M140" s="214">
        <v>1</v>
      </c>
      <c r="N140" s="485">
        <f>[22]Sheet1!C138</f>
        <v>2</v>
      </c>
      <c r="O140" s="164">
        <f>'CDM Activity'!C188</f>
        <v>456612.92768608726</v>
      </c>
      <c r="P140" s="142"/>
      <c r="Q140" s="169"/>
      <c r="R140" s="169"/>
      <c r="S140" s="145"/>
      <c r="T140" s="88"/>
      <c r="U140" s="104">
        <f t="shared" si="34"/>
        <v>9721313.6079896279</v>
      </c>
      <c r="V140" s="272">
        <f t="shared" si="36"/>
        <v>-186131.39201037213</v>
      </c>
      <c r="W140" s="273">
        <f t="shared" si="37"/>
        <v>-1.8787022487671862E-2</v>
      </c>
      <c r="X140" s="273">
        <f t="shared" si="38"/>
        <v>1.8787022487671862E-2</v>
      </c>
      <c r="Y140" s="222"/>
      <c r="Z140" s="375"/>
      <c r="AJ140" s="88"/>
      <c r="AK140" s="88"/>
      <c r="AL140" s="88"/>
      <c r="AM140" s="88"/>
      <c r="AN140" s="88"/>
      <c r="AO140" s="88"/>
      <c r="AP140" s="88"/>
      <c r="AQ140" s="88"/>
      <c r="AR140" s="88"/>
      <c r="AS140" s="88"/>
    </row>
    <row r="141" spans="2:45">
      <c r="B141" s="100">
        <f t="shared" si="35"/>
        <v>42490</v>
      </c>
      <c r="C141" s="139">
        <f>[21]Sheet1!C87</f>
        <v>8448753</v>
      </c>
      <c r="D141" s="110"/>
      <c r="E141" s="108">
        <f>[21]Sheet1!D87</f>
        <v>6599</v>
      </c>
      <c r="F141" s="140"/>
      <c r="G141" s="140"/>
      <c r="H141" s="110">
        <f t="shared" si="21"/>
        <v>8455352</v>
      </c>
      <c r="I141" s="367"/>
      <c r="J141" s="520">
        <f>'HDD &amp; CDD'!W9</f>
        <v>433.7999999999999</v>
      </c>
      <c r="K141" s="520">
        <f>'HDD &amp; CDD'!W27</f>
        <v>0</v>
      </c>
      <c r="L141" s="485">
        <f t="shared" si="33"/>
        <v>30</v>
      </c>
      <c r="M141" s="214">
        <v>1</v>
      </c>
      <c r="N141" s="485">
        <f>[22]Sheet1!C139</f>
        <v>0</v>
      </c>
      <c r="O141" s="164">
        <f>'CDM Activity'!C189</f>
        <v>455276.93593789573</v>
      </c>
      <c r="P141" s="142"/>
      <c r="Q141" s="169"/>
      <c r="R141" s="169"/>
      <c r="S141" s="145"/>
      <c r="T141" s="88"/>
      <c r="U141" s="104">
        <f t="shared" si="34"/>
        <v>8973262.6897424422</v>
      </c>
      <c r="V141" s="272">
        <f t="shared" si="36"/>
        <v>517910.68974244222</v>
      </c>
      <c r="W141" s="273">
        <f t="shared" si="37"/>
        <v>6.1252410277235318E-2</v>
      </c>
      <c r="X141" s="273">
        <f t="shared" si="38"/>
        <v>6.1252410277235318E-2</v>
      </c>
      <c r="Y141" s="222"/>
      <c r="Z141" s="375"/>
      <c r="AJ141" s="88"/>
      <c r="AK141" s="88"/>
      <c r="AL141" s="88"/>
      <c r="AM141" s="88"/>
      <c r="AN141" s="88"/>
      <c r="AO141" s="88"/>
      <c r="AP141" s="88"/>
      <c r="AQ141" s="88"/>
      <c r="AR141" s="88"/>
      <c r="AS141" s="88"/>
    </row>
    <row r="142" spans="2:45">
      <c r="B142" s="100">
        <f t="shared" si="35"/>
        <v>42521</v>
      </c>
      <c r="C142" s="139">
        <f>[21]Sheet1!C88</f>
        <v>7971052</v>
      </c>
      <c r="D142" s="110"/>
      <c r="E142" s="108">
        <f>[21]Sheet1!D88</f>
        <v>9898</v>
      </c>
      <c r="F142" s="140"/>
      <c r="G142" s="140"/>
      <c r="H142" s="110">
        <f t="shared" si="21"/>
        <v>7980950</v>
      </c>
      <c r="I142" s="367"/>
      <c r="J142" s="520">
        <f>'HDD &amp; CDD'!W10</f>
        <v>145.39999999999998</v>
      </c>
      <c r="K142" s="520">
        <f>'HDD &amp; CDD'!W28</f>
        <v>28.7</v>
      </c>
      <c r="L142" s="485">
        <f t="shared" si="33"/>
        <v>31</v>
      </c>
      <c r="M142" s="214">
        <v>1</v>
      </c>
      <c r="N142" s="485">
        <f>[22]Sheet1!C140</f>
        <v>1</v>
      </c>
      <c r="O142" s="164">
        <f>'CDM Activity'!C190</f>
        <v>453940.9441897042</v>
      </c>
      <c r="P142" s="142"/>
      <c r="Q142" s="169"/>
      <c r="R142" s="169"/>
      <c r="S142" s="145"/>
      <c r="T142" s="88"/>
      <c r="U142" s="104">
        <f t="shared" si="34"/>
        <v>8169221.4323632568</v>
      </c>
      <c r="V142" s="272">
        <f t="shared" si="36"/>
        <v>188271.43236325681</v>
      </c>
      <c r="W142" s="273">
        <f t="shared" si="37"/>
        <v>2.3590102978123757E-2</v>
      </c>
      <c r="X142" s="273">
        <f t="shared" si="38"/>
        <v>2.3590102978123757E-2</v>
      </c>
      <c r="Y142" s="222"/>
      <c r="Z142" s="375"/>
      <c r="AJ142" s="88"/>
      <c r="AK142" s="88"/>
      <c r="AL142" s="88"/>
      <c r="AM142" s="88"/>
      <c r="AN142" s="88"/>
      <c r="AO142" s="88"/>
      <c r="AP142" s="88"/>
      <c r="AQ142" s="88"/>
      <c r="AR142" s="88"/>
      <c r="AS142" s="88"/>
    </row>
    <row r="143" spans="2:45">
      <c r="B143" s="100">
        <f t="shared" si="35"/>
        <v>42551</v>
      </c>
      <c r="C143" s="139">
        <f>[21]Sheet1!C89</f>
        <v>8152771</v>
      </c>
      <c r="D143" s="110"/>
      <c r="E143" s="108">
        <f>[21]Sheet1!D89</f>
        <v>10642</v>
      </c>
      <c r="F143" s="140"/>
      <c r="G143" s="140"/>
      <c r="H143" s="110">
        <f t="shared" si="21"/>
        <v>8163413</v>
      </c>
      <c r="I143" s="367"/>
      <c r="J143" s="520">
        <f>'HDD &amp; CDD'!W11</f>
        <v>36.300000000000004</v>
      </c>
      <c r="K143" s="520">
        <f>'HDD &amp; CDD'!W29</f>
        <v>51.999999999999993</v>
      </c>
      <c r="L143" s="485">
        <f t="shared" si="33"/>
        <v>30</v>
      </c>
      <c r="M143" s="214">
        <v>0</v>
      </c>
      <c r="N143" s="485">
        <f>[22]Sheet1!C141</f>
        <v>0</v>
      </c>
      <c r="O143" s="164">
        <f>'CDM Activity'!C191</f>
        <v>452604.95244151267</v>
      </c>
      <c r="P143" s="142"/>
      <c r="Q143" s="169"/>
      <c r="R143" s="169"/>
      <c r="S143" s="145"/>
      <c r="T143" s="88"/>
      <c r="U143" s="104">
        <f t="shared" si="34"/>
        <v>8215242.8491654508</v>
      </c>
      <c r="V143" s="272">
        <f t="shared" si="36"/>
        <v>51829.849165450782</v>
      </c>
      <c r="W143" s="273">
        <f t="shared" si="37"/>
        <v>6.3490416527316185E-3</v>
      </c>
      <c r="X143" s="273">
        <f t="shared" si="38"/>
        <v>6.3490416527316185E-3</v>
      </c>
      <c r="Y143" s="222"/>
      <c r="Z143" s="375"/>
      <c r="AJ143" s="88"/>
      <c r="AK143" s="88"/>
      <c r="AL143" s="88"/>
      <c r="AM143" s="88"/>
      <c r="AN143" s="88"/>
      <c r="AO143" s="88"/>
      <c r="AP143" s="88"/>
      <c r="AQ143" s="88"/>
      <c r="AR143" s="88"/>
      <c r="AS143" s="88"/>
    </row>
    <row r="144" spans="2:45">
      <c r="B144" s="100">
        <f t="shared" si="35"/>
        <v>42582</v>
      </c>
      <c r="C144" s="139">
        <f>[21]Sheet1!C90</f>
        <v>9080665</v>
      </c>
      <c r="D144" s="110"/>
      <c r="E144" s="108">
        <f>[21]Sheet1!D90</f>
        <v>10263</v>
      </c>
      <c r="F144" s="140"/>
      <c r="G144" s="140"/>
      <c r="H144" s="110">
        <f t="shared" si="21"/>
        <v>9090928</v>
      </c>
      <c r="I144" s="367"/>
      <c r="J144" s="520">
        <f>'HDD &amp; CDD'!W12</f>
        <v>3.4</v>
      </c>
      <c r="K144" s="520">
        <f>'HDD &amp; CDD'!W30</f>
        <v>112.6</v>
      </c>
      <c r="L144" s="485">
        <f t="shared" si="33"/>
        <v>31</v>
      </c>
      <c r="M144" s="214">
        <v>0</v>
      </c>
      <c r="N144" s="485">
        <f>[22]Sheet1!C142</f>
        <v>1</v>
      </c>
      <c r="O144" s="164">
        <f>'CDM Activity'!C192</f>
        <v>451268.96069332113</v>
      </c>
      <c r="P144" s="142"/>
      <c r="Q144" s="169"/>
      <c r="R144" s="169"/>
      <c r="S144" s="145"/>
      <c r="T144" s="88"/>
      <c r="U144" s="104">
        <f t="shared" si="34"/>
        <v>9062165.8280658014</v>
      </c>
      <c r="V144" s="272">
        <f t="shared" si="36"/>
        <v>-28762.171934198588</v>
      </c>
      <c r="W144" s="273">
        <f t="shared" si="37"/>
        <v>-3.163832331990594E-3</v>
      </c>
      <c r="X144" s="273">
        <f t="shared" si="38"/>
        <v>3.163832331990594E-3</v>
      </c>
      <c r="Y144" s="222"/>
      <c r="Z144" s="375"/>
      <c r="AJ144" s="88"/>
      <c r="AK144" s="88"/>
      <c r="AL144" s="88"/>
      <c r="AM144" s="88"/>
      <c r="AN144" s="88"/>
      <c r="AO144" s="88"/>
      <c r="AP144" s="88"/>
      <c r="AQ144" s="88"/>
      <c r="AR144" s="88"/>
      <c r="AS144" s="88"/>
    </row>
    <row r="145" spans="2:45">
      <c r="B145" s="100">
        <f t="shared" si="35"/>
        <v>42613</v>
      </c>
      <c r="C145" s="139">
        <f>[21]Sheet1!C91</f>
        <v>9517733</v>
      </c>
      <c r="D145" s="110"/>
      <c r="E145" s="108">
        <f>[21]Sheet1!D91</f>
        <v>10379</v>
      </c>
      <c r="F145" s="140"/>
      <c r="G145" s="140"/>
      <c r="H145" s="110">
        <f t="shared" si="21"/>
        <v>9528112</v>
      </c>
      <c r="I145" s="367"/>
      <c r="J145" s="520">
        <f>'HDD &amp; CDD'!W13</f>
        <v>1.4</v>
      </c>
      <c r="K145" s="520">
        <f>'HDD &amp; CDD'!W31</f>
        <v>124.60000000000001</v>
      </c>
      <c r="L145" s="485">
        <f t="shared" si="33"/>
        <v>31</v>
      </c>
      <c r="M145" s="214">
        <v>0</v>
      </c>
      <c r="N145" s="485">
        <f>[22]Sheet1!C143</f>
        <v>1</v>
      </c>
      <c r="O145" s="164">
        <f>'CDM Activity'!C193</f>
        <v>449932.9689451296</v>
      </c>
      <c r="P145" s="142"/>
      <c r="Q145" s="169"/>
      <c r="R145" s="169"/>
      <c r="S145" s="145"/>
      <c r="T145" s="88"/>
      <c r="U145" s="104">
        <f t="shared" si="34"/>
        <v>9228905.6168483254</v>
      </c>
      <c r="V145" s="272">
        <f t="shared" si="36"/>
        <v>-299206.38315167464</v>
      </c>
      <c r="W145" s="273">
        <f t="shared" si="37"/>
        <v>-3.1402483844824101E-2</v>
      </c>
      <c r="X145" s="273">
        <f t="shared" si="38"/>
        <v>3.1402483844824101E-2</v>
      </c>
      <c r="Y145" s="222"/>
      <c r="Z145" s="375"/>
      <c r="AJ145" s="88"/>
      <c r="AK145" s="88"/>
      <c r="AL145" s="88"/>
      <c r="AM145" s="88"/>
      <c r="AN145" s="88"/>
      <c r="AO145" s="88"/>
      <c r="AP145" s="88"/>
      <c r="AQ145" s="88"/>
      <c r="AR145" s="88"/>
      <c r="AS145" s="88"/>
    </row>
    <row r="146" spans="2:45">
      <c r="B146" s="100">
        <f t="shared" si="35"/>
        <v>42643</v>
      </c>
      <c r="C146" s="139">
        <f>[21]Sheet1!C92</f>
        <v>8054076.4400000004</v>
      </c>
      <c r="D146" s="110"/>
      <c r="E146" s="108">
        <f>[21]Sheet1!D92</f>
        <v>9442</v>
      </c>
      <c r="F146" s="140"/>
      <c r="G146" s="140"/>
      <c r="H146" s="110">
        <f t="shared" si="21"/>
        <v>8063518.4400000004</v>
      </c>
      <c r="I146" s="367"/>
      <c r="J146" s="520">
        <f>'HDD &amp; CDD'!W14</f>
        <v>75.100000000000009</v>
      </c>
      <c r="K146" s="520">
        <f>'HDD &amp; CDD'!W32</f>
        <v>24.900000000000006</v>
      </c>
      <c r="L146" s="485">
        <f t="shared" si="33"/>
        <v>30</v>
      </c>
      <c r="M146" s="214">
        <v>1</v>
      </c>
      <c r="N146" s="485">
        <f>[22]Sheet1!C144</f>
        <v>1</v>
      </c>
      <c r="O146" s="164">
        <f>'CDM Activity'!C194</f>
        <v>448596.97719693807</v>
      </c>
      <c r="P146" s="142"/>
      <c r="Q146" s="169"/>
      <c r="R146" s="169"/>
      <c r="S146" s="145"/>
      <c r="T146" s="88"/>
      <c r="U146" s="104">
        <f t="shared" si="34"/>
        <v>7563771.6756266318</v>
      </c>
      <c r="V146" s="272">
        <f t="shared" si="36"/>
        <v>-499746.76437336858</v>
      </c>
      <c r="W146" s="273">
        <f t="shared" si="37"/>
        <v>-6.1976266079372733E-2</v>
      </c>
      <c r="X146" s="273">
        <f t="shared" si="38"/>
        <v>6.1976266079372733E-2</v>
      </c>
      <c r="Y146" s="222"/>
      <c r="Z146" s="375"/>
      <c r="AJ146" s="88"/>
      <c r="AK146" s="88"/>
      <c r="AL146" s="88"/>
      <c r="AM146" s="88"/>
      <c r="AN146" s="88"/>
      <c r="AO146" s="88"/>
      <c r="AP146" s="88"/>
      <c r="AQ146" s="88"/>
      <c r="AR146" s="88"/>
      <c r="AS146" s="88"/>
    </row>
    <row r="147" spans="2:45">
      <c r="B147" s="100">
        <f t="shared" si="35"/>
        <v>42674</v>
      </c>
      <c r="C147" s="139">
        <f>[21]Sheet1!C93</f>
        <v>8074621</v>
      </c>
      <c r="D147" s="110"/>
      <c r="E147" s="108">
        <f>[21]Sheet1!D93</f>
        <v>8262</v>
      </c>
      <c r="F147" s="140"/>
      <c r="G147" s="140"/>
      <c r="H147" s="110">
        <f t="shared" si="21"/>
        <v>8082883</v>
      </c>
      <c r="I147" s="367"/>
      <c r="J147" s="520">
        <f>'HDD &amp; CDD'!W15</f>
        <v>291.09999999999997</v>
      </c>
      <c r="K147" s="520">
        <f>'HDD &amp; CDD'!W33</f>
        <v>0</v>
      </c>
      <c r="L147" s="485">
        <f t="shared" si="33"/>
        <v>31</v>
      </c>
      <c r="M147" s="214">
        <v>1</v>
      </c>
      <c r="N147" s="485">
        <f>[22]Sheet1!C145</f>
        <v>1</v>
      </c>
      <c r="O147" s="164">
        <f>'CDM Activity'!C195</f>
        <v>447260.98544874653</v>
      </c>
      <c r="P147" s="142"/>
      <c r="Q147" s="169"/>
      <c r="R147" s="169"/>
      <c r="S147" s="145"/>
      <c r="T147" s="88"/>
      <c r="U147" s="104">
        <f t="shared" si="34"/>
        <v>8457058.4686659444</v>
      </c>
      <c r="V147" s="272">
        <f t="shared" si="36"/>
        <v>374175.46866594441</v>
      </c>
      <c r="W147" s="273">
        <f t="shared" si="37"/>
        <v>4.6292327708559483E-2</v>
      </c>
      <c r="X147" s="273">
        <f t="shared" si="38"/>
        <v>4.6292327708559483E-2</v>
      </c>
      <c r="Y147" s="222"/>
      <c r="Z147" s="375"/>
      <c r="AJ147" s="88"/>
      <c r="AK147" s="88"/>
      <c r="AL147" s="88"/>
      <c r="AM147" s="88"/>
      <c r="AN147" s="88"/>
      <c r="AO147" s="88"/>
      <c r="AP147" s="88"/>
      <c r="AQ147" s="88"/>
      <c r="AR147" s="88"/>
      <c r="AS147" s="88"/>
    </row>
    <row r="148" spans="2:45">
      <c r="B148" s="100">
        <f t="shared" si="35"/>
        <v>42704</v>
      </c>
      <c r="C148" s="139">
        <f>[21]Sheet1!C94</f>
        <v>8792790</v>
      </c>
      <c r="D148" s="110"/>
      <c r="E148" s="108">
        <f>[21]Sheet1!D94</f>
        <v>4981</v>
      </c>
      <c r="F148" s="147"/>
      <c r="G148" s="147"/>
      <c r="H148" s="110">
        <f t="shared" si="21"/>
        <v>8797771</v>
      </c>
      <c r="J148" s="520">
        <f>'HDD &amp; CDD'!W16</f>
        <v>449.50000000000006</v>
      </c>
      <c r="K148" s="520">
        <f>'HDD &amp; CDD'!W34</f>
        <v>0</v>
      </c>
      <c r="L148" s="485">
        <f t="shared" si="33"/>
        <v>30</v>
      </c>
      <c r="M148" s="214">
        <v>1</v>
      </c>
      <c r="N148" s="485">
        <f>[22]Sheet1!C146</f>
        <v>0</v>
      </c>
      <c r="O148" s="164">
        <f>'CDM Activity'!C196</f>
        <v>445924.993700555</v>
      </c>
      <c r="P148" s="142"/>
      <c r="Q148" s="169"/>
      <c r="R148" s="169"/>
      <c r="S148" s="145"/>
      <c r="U148" s="104">
        <f t="shared" si="34"/>
        <v>9073624.5999784451</v>
      </c>
      <c r="V148" s="272">
        <f t="shared" si="36"/>
        <v>275853.5999784451</v>
      </c>
      <c r="W148" s="273">
        <f t="shared" si="37"/>
        <v>3.1354942061852381E-2</v>
      </c>
      <c r="X148" s="273">
        <f t="shared" si="38"/>
        <v>3.1354942061852381E-2</v>
      </c>
      <c r="Y148" s="223"/>
      <c r="Z148" s="375"/>
      <c r="AJ148" s="88"/>
      <c r="AK148" s="88"/>
      <c r="AL148" s="88"/>
      <c r="AM148" s="88"/>
      <c r="AN148" s="88"/>
      <c r="AO148" s="88"/>
      <c r="AP148" s="88"/>
      <c r="AQ148" s="88"/>
      <c r="AR148" s="88"/>
      <c r="AS148" s="88"/>
    </row>
    <row r="149" spans="2:45">
      <c r="B149" s="217">
        <f t="shared" si="35"/>
        <v>42735</v>
      </c>
      <c r="C149" s="117">
        <f>[21]Sheet1!C95</f>
        <v>10206407</v>
      </c>
      <c r="D149" s="110"/>
      <c r="E149" s="117">
        <f>[21]Sheet1!D95</f>
        <v>3468</v>
      </c>
      <c r="F149" s="117"/>
      <c r="G149" s="117"/>
      <c r="H149" s="117">
        <f t="shared" si="21"/>
        <v>10209875</v>
      </c>
      <c r="J149" s="445">
        <f>'HDD &amp; CDD'!W17</f>
        <v>733.40000000000009</v>
      </c>
      <c r="K149" s="445">
        <f>'HDD &amp; CDD'!W35</f>
        <v>0</v>
      </c>
      <c r="L149" s="486">
        <f t="shared" si="33"/>
        <v>31</v>
      </c>
      <c r="M149" s="165">
        <v>0</v>
      </c>
      <c r="N149" s="486">
        <f>[22]Sheet1!C147</f>
        <v>2</v>
      </c>
      <c r="O149" s="167">
        <f>'CDM Activity'!C197</f>
        <v>444589.00195236347</v>
      </c>
      <c r="P149" s="143"/>
      <c r="Q149" s="165"/>
      <c r="R149" s="165"/>
      <c r="S149" s="144"/>
      <c r="T149" s="215"/>
      <c r="U149" s="121">
        <f t="shared" si="34"/>
        <v>10763473.901697723</v>
      </c>
      <c r="V149" s="121">
        <f t="shared" si="36"/>
        <v>553598.90169772319</v>
      </c>
      <c r="W149" s="274">
        <f t="shared" si="37"/>
        <v>5.4221907878179036E-2</v>
      </c>
      <c r="X149" s="274">
        <f t="shared" si="38"/>
        <v>5.4221907878179036E-2</v>
      </c>
      <c r="Y149" s="223"/>
      <c r="Z149" s="1153"/>
      <c r="AJ149" s="88"/>
      <c r="AK149" s="88"/>
      <c r="AL149" s="88"/>
      <c r="AM149" s="88"/>
      <c r="AN149" s="88"/>
      <c r="AO149" s="88"/>
      <c r="AP149" s="88"/>
      <c r="AQ149" s="88"/>
      <c r="AR149" s="88"/>
      <c r="AS149" s="88"/>
    </row>
    <row r="150" spans="2:45">
      <c r="B150" s="100">
        <f t="shared" si="35"/>
        <v>42766</v>
      </c>
      <c r="C150" s="146"/>
      <c r="D150" s="147"/>
      <c r="E150" s="147"/>
      <c r="F150" s="147"/>
      <c r="G150" s="147"/>
      <c r="J150" s="520">
        <f>'HDD &amp; CDD'!X6</f>
        <v>857.09000000000015</v>
      </c>
      <c r="K150" s="520">
        <f>'HDD &amp; CDD'!X24</f>
        <v>0</v>
      </c>
      <c r="L150" s="485">
        <f t="shared" ref="L150:L161" si="39">DAY(EOMONTH(B150,0))</f>
        <v>31</v>
      </c>
      <c r="M150" s="214">
        <v>0</v>
      </c>
      <c r="N150" s="485">
        <f>[22]Sheet1!C148</f>
        <v>1</v>
      </c>
      <c r="O150" s="164">
        <f>'CDM Activity'!C198</f>
        <v>438928.25236369047</v>
      </c>
      <c r="P150" s="141"/>
      <c r="Q150" s="163"/>
      <c r="R150" s="163"/>
      <c r="S150" s="145"/>
      <c r="T150" s="88"/>
      <c r="U150" s="104">
        <f t="shared" si="34"/>
        <v>11468530.439469369</v>
      </c>
      <c r="V150" s="122"/>
      <c r="W150" s="122"/>
      <c r="X150" s="122"/>
      <c r="AJ150" s="88"/>
      <c r="AK150" s="88"/>
      <c r="AL150" s="88"/>
      <c r="AM150" s="88"/>
      <c r="AN150" s="88"/>
      <c r="AO150" s="88"/>
      <c r="AP150" s="88"/>
      <c r="AQ150" s="88"/>
      <c r="AR150" s="88"/>
      <c r="AS150" s="88"/>
    </row>
    <row r="151" spans="2:45">
      <c r="B151" s="100">
        <f t="shared" si="35"/>
        <v>42794</v>
      </c>
      <c r="C151" s="1185" t="s">
        <v>571</v>
      </c>
      <c r="H151" s="137">
        <f>SUM(H6:H150)</f>
        <v>1425413135.3000002</v>
      </c>
      <c r="I151" s="372"/>
      <c r="J151" s="520">
        <f>'HDD &amp; CDD'!X7</f>
        <v>760.04000000000008</v>
      </c>
      <c r="K151" s="520">
        <f>'HDD &amp; CDD'!X25</f>
        <v>0</v>
      </c>
      <c r="L151" s="485">
        <f t="shared" si="39"/>
        <v>28</v>
      </c>
      <c r="M151" s="214">
        <v>0</v>
      </c>
      <c r="N151" s="485">
        <f>[22]Sheet1!C149</f>
        <v>1</v>
      </c>
      <c r="O151" s="164">
        <f>'CDM Activity'!C199</f>
        <v>433267.50277501746</v>
      </c>
      <c r="P151" s="142"/>
      <c r="Q151" s="169"/>
      <c r="R151" s="169"/>
      <c r="S151" s="145"/>
      <c r="T151" s="88"/>
      <c r="U151" s="104">
        <f t="shared" si="34"/>
        <v>10317461.167249743</v>
      </c>
      <c r="V151" s="122"/>
      <c r="W151" s="122"/>
      <c r="X151" s="122"/>
      <c r="AJ151" s="88"/>
      <c r="AK151" s="88"/>
      <c r="AL151" s="88"/>
      <c r="AM151" s="88"/>
      <c r="AN151" s="88"/>
      <c r="AO151" s="88"/>
      <c r="AP151" s="88"/>
      <c r="AQ151" s="88"/>
      <c r="AR151" s="88"/>
      <c r="AS151" s="88"/>
    </row>
    <row r="152" spans="2:45" ht="15" customHeight="1">
      <c r="B152" s="100">
        <f t="shared" si="35"/>
        <v>42825</v>
      </c>
      <c r="H152" s="137"/>
      <c r="I152" s="372"/>
      <c r="J152" s="520">
        <f>'HDD &amp; CDD'!X8</f>
        <v>622.45000000000005</v>
      </c>
      <c r="K152" s="520">
        <f>'HDD &amp; CDD'!X26</f>
        <v>0</v>
      </c>
      <c r="L152" s="485">
        <f t="shared" si="39"/>
        <v>31</v>
      </c>
      <c r="M152" s="214">
        <v>1</v>
      </c>
      <c r="N152" s="485">
        <f>[22]Sheet1!C150</f>
        <v>0</v>
      </c>
      <c r="O152" s="164">
        <f>'CDM Activity'!C200</f>
        <v>427606.75318634446</v>
      </c>
      <c r="P152" s="142"/>
      <c r="Q152" s="169"/>
      <c r="R152" s="169"/>
      <c r="S152" s="145"/>
      <c r="T152" s="88"/>
      <c r="U152" s="104">
        <f t="shared" si="34"/>
        <v>10172331.527671704</v>
      </c>
      <c r="V152" s="122"/>
      <c r="W152" s="122"/>
      <c r="X152" s="122"/>
      <c r="AJ152" s="88"/>
      <c r="AK152" s="88"/>
      <c r="AL152" s="88"/>
      <c r="AM152" s="88"/>
      <c r="AN152" s="88"/>
      <c r="AO152" s="88"/>
      <c r="AP152" s="88"/>
      <c r="AQ152" s="88"/>
      <c r="AR152" s="88"/>
      <c r="AS152" s="88"/>
    </row>
    <row r="153" spans="2:45">
      <c r="B153" s="100">
        <f t="shared" si="35"/>
        <v>42855</v>
      </c>
      <c r="H153" s="137"/>
      <c r="I153" s="372"/>
      <c r="J153" s="520">
        <f>'HDD &amp; CDD'!X9</f>
        <v>351.55</v>
      </c>
      <c r="K153" s="520">
        <f>'HDD &amp; CDD'!X27</f>
        <v>0.73</v>
      </c>
      <c r="L153" s="485">
        <f t="shared" si="39"/>
        <v>30</v>
      </c>
      <c r="M153" s="214">
        <v>1</v>
      </c>
      <c r="N153" s="485">
        <f>[22]Sheet1!C151</f>
        <v>2</v>
      </c>
      <c r="O153" s="164">
        <f>'CDM Activity'!C201</f>
        <v>421946.00359767146</v>
      </c>
      <c r="P153" s="142"/>
      <c r="Q153" s="169"/>
      <c r="R153" s="169"/>
      <c r="S153" s="145"/>
      <c r="T153" s="88"/>
      <c r="U153" s="104">
        <f t="shared" si="34"/>
        <v>8473894.1160180215</v>
      </c>
      <c r="V153" s="122"/>
      <c r="W153" s="122"/>
      <c r="X153" s="122"/>
      <c r="AJ153" s="88"/>
      <c r="AK153" s="88"/>
      <c r="AL153" s="88"/>
      <c r="AM153" s="88"/>
      <c r="AN153" s="88"/>
      <c r="AO153" s="88"/>
      <c r="AP153" s="88"/>
      <c r="AQ153" s="88"/>
      <c r="AR153" s="88"/>
      <c r="AS153" s="88"/>
    </row>
    <row r="154" spans="2:45">
      <c r="B154" s="100">
        <f t="shared" si="35"/>
        <v>42886</v>
      </c>
      <c r="H154" s="137"/>
      <c r="I154" s="372"/>
      <c r="J154" s="520">
        <f>'HDD &amp; CDD'!X10</f>
        <v>136.99</v>
      </c>
      <c r="K154" s="520">
        <f>'HDD &amp; CDD'!X28</f>
        <v>17.449999999999996</v>
      </c>
      <c r="L154" s="485">
        <f t="shared" si="39"/>
        <v>31</v>
      </c>
      <c r="M154" s="214">
        <v>1</v>
      </c>
      <c r="N154" s="485">
        <f>[22]Sheet1!C152</f>
        <v>1</v>
      </c>
      <c r="O154" s="164">
        <f>'CDM Activity'!C202</f>
        <v>416285.25400899845</v>
      </c>
      <c r="P154" s="142"/>
      <c r="Q154" s="169"/>
      <c r="R154" s="169"/>
      <c r="S154" s="145"/>
      <c r="T154" s="88"/>
      <c r="U154" s="104">
        <f t="shared" si="34"/>
        <v>8077390.7087054951</v>
      </c>
      <c r="V154" s="122"/>
      <c r="W154" s="122"/>
      <c r="X154" s="122"/>
      <c r="AJ154" s="88"/>
      <c r="AK154" s="88"/>
      <c r="AL154" s="88"/>
      <c r="AM154" s="88"/>
      <c r="AN154" s="88"/>
      <c r="AO154" s="88"/>
      <c r="AP154" s="88"/>
      <c r="AQ154" s="88"/>
      <c r="AR154" s="88"/>
      <c r="AS154" s="88"/>
    </row>
    <row r="155" spans="2:45">
      <c r="B155" s="100">
        <f t="shared" si="35"/>
        <v>42916</v>
      </c>
      <c r="H155" s="137"/>
      <c r="I155" s="372"/>
      <c r="J155" s="520">
        <f>'HDD &amp; CDD'!X11</f>
        <v>35.440000000000005</v>
      </c>
      <c r="K155" s="520">
        <f>'HDD &amp; CDD'!X29</f>
        <v>50.18</v>
      </c>
      <c r="L155" s="485">
        <f t="shared" si="39"/>
        <v>30</v>
      </c>
      <c r="M155" s="214">
        <v>0</v>
      </c>
      <c r="N155" s="485">
        <f>[22]Sheet1!C153</f>
        <v>0</v>
      </c>
      <c r="O155" s="164">
        <f>'CDM Activity'!C203</f>
        <v>410624.50442032545</v>
      </c>
      <c r="P155" s="142"/>
      <c r="Q155" s="169"/>
      <c r="R155" s="169"/>
      <c r="S155" s="145"/>
      <c r="T155" s="88"/>
      <c r="U155" s="104">
        <f t="shared" si="34"/>
        <v>8306509.5567235015</v>
      </c>
      <c r="V155" s="122"/>
      <c r="W155" s="122"/>
      <c r="X155" s="122"/>
      <c r="AJ155" s="88"/>
      <c r="AK155" s="88"/>
      <c r="AL155" s="88"/>
      <c r="AM155" s="88"/>
      <c r="AN155" s="88"/>
      <c r="AO155" s="88"/>
      <c r="AP155" s="88"/>
      <c r="AQ155" s="88"/>
      <c r="AR155" s="88"/>
      <c r="AS155" s="88"/>
    </row>
    <row r="156" spans="2:45">
      <c r="B156" s="100">
        <f t="shared" si="35"/>
        <v>42947</v>
      </c>
      <c r="H156" s="137"/>
      <c r="I156" s="372"/>
      <c r="J156" s="520">
        <f>'HDD &amp; CDD'!X12</f>
        <v>5.89</v>
      </c>
      <c r="K156" s="520">
        <f>'HDD &amp; CDD'!X30</f>
        <v>100.77</v>
      </c>
      <c r="L156" s="485">
        <f t="shared" si="39"/>
        <v>31</v>
      </c>
      <c r="M156" s="214">
        <v>0</v>
      </c>
      <c r="N156" s="485">
        <f>[22]Sheet1!C154</f>
        <v>1</v>
      </c>
      <c r="O156" s="164">
        <f>'CDM Activity'!C204</f>
        <v>404963.75483165245</v>
      </c>
      <c r="P156" s="142"/>
      <c r="Q156" s="169"/>
      <c r="R156" s="169"/>
      <c r="S156" s="145"/>
      <c r="T156" s="88"/>
      <c r="U156" s="104">
        <f t="shared" si="34"/>
        <v>9037926.4425703753</v>
      </c>
      <c r="V156" s="122"/>
      <c r="W156" s="122"/>
      <c r="X156" s="122"/>
      <c r="AJ156" s="88"/>
      <c r="AK156" s="88"/>
      <c r="AL156" s="88"/>
      <c r="AM156" s="88"/>
      <c r="AN156" s="88"/>
      <c r="AO156" s="88"/>
      <c r="AP156" s="88"/>
      <c r="AQ156" s="88"/>
      <c r="AR156" s="88"/>
      <c r="AS156" s="88"/>
    </row>
    <row r="157" spans="2:45">
      <c r="B157" s="100">
        <f t="shared" si="35"/>
        <v>42978</v>
      </c>
      <c r="H157" s="137"/>
      <c r="I157" s="372"/>
      <c r="J157" s="520">
        <f>'HDD &amp; CDD'!X13</f>
        <v>12.780000000000001</v>
      </c>
      <c r="K157" s="520">
        <f>'HDD &amp; CDD'!X31</f>
        <v>78.88000000000001</v>
      </c>
      <c r="L157" s="485">
        <f t="shared" si="39"/>
        <v>31</v>
      </c>
      <c r="M157" s="214">
        <v>0</v>
      </c>
      <c r="N157" s="485">
        <f>[22]Sheet1!C155</f>
        <v>1</v>
      </c>
      <c r="O157" s="164">
        <f>'CDM Activity'!C205</f>
        <v>399303.00524297945</v>
      </c>
      <c r="P157" s="142"/>
      <c r="Q157" s="169"/>
      <c r="R157" s="169"/>
      <c r="S157" s="145"/>
      <c r="T157" s="88"/>
      <c r="U157" s="104">
        <f t="shared" si="34"/>
        <v>8772321.3945492078</v>
      </c>
      <c r="V157" s="122"/>
      <c r="W157" s="122"/>
      <c r="X157" s="122"/>
      <c r="AJ157" s="88"/>
      <c r="AK157" s="88"/>
      <c r="AL157" s="88"/>
      <c r="AM157" s="88"/>
      <c r="AN157" s="88"/>
      <c r="AO157" s="88"/>
      <c r="AP157" s="88"/>
      <c r="AQ157" s="88"/>
      <c r="AR157" s="88"/>
      <c r="AS157" s="88"/>
    </row>
    <row r="158" spans="2:45">
      <c r="B158" s="100">
        <f t="shared" si="35"/>
        <v>43008</v>
      </c>
      <c r="H158" s="137"/>
      <c r="I158" s="372"/>
      <c r="J158" s="520">
        <f>'HDD &amp; CDD'!X14</f>
        <v>93.96</v>
      </c>
      <c r="K158" s="520">
        <f>'HDD &amp; CDD'!X32</f>
        <v>23.85</v>
      </c>
      <c r="L158" s="485">
        <f t="shared" si="39"/>
        <v>30</v>
      </c>
      <c r="M158" s="214">
        <v>1</v>
      </c>
      <c r="N158" s="485">
        <f>[22]Sheet1!C156</f>
        <v>1</v>
      </c>
      <c r="O158" s="164">
        <f>'CDM Activity'!C206</f>
        <v>393642.25565430644</v>
      </c>
      <c r="P158" s="142"/>
      <c r="Q158" s="169"/>
      <c r="R158" s="169"/>
      <c r="S158" s="145"/>
      <c r="T158" s="88"/>
      <c r="U158" s="104">
        <f t="shared" si="34"/>
        <v>7795699.1083367132</v>
      </c>
      <c r="V158" s="122"/>
      <c r="W158" s="122"/>
      <c r="X158" s="122"/>
      <c r="AJ158" s="88"/>
      <c r="AK158" s="88"/>
      <c r="AL158" s="88"/>
      <c r="AM158" s="88"/>
      <c r="AN158" s="88"/>
      <c r="AO158" s="88"/>
      <c r="AP158" s="88"/>
      <c r="AQ158" s="88"/>
      <c r="AR158" s="88"/>
      <c r="AS158" s="88"/>
    </row>
    <row r="159" spans="2:45">
      <c r="B159" s="100">
        <f t="shared" si="35"/>
        <v>43039</v>
      </c>
      <c r="H159" s="137"/>
      <c r="I159" s="372"/>
      <c r="J159" s="520">
        <f>'HDD &amp; CDD'!X15</f>
        <v>288.62595782569019</v>
      </c>
      <c r="K159" s="520">
        <f>'HDD &amp; CDD'!X33</f>
        <v>0.71</v>
      </c>
      <c r="L159" s="485">
        <f t="shared" si="39"/>
        <v>31</v>
      </c>
      <c r="M159" s="214">
        <v>1</v>
      </c>
      <c r="N159" s="485">
        <f>[22]Sheet1!C157</f>
        <v>1</v>
      </c>
      <c r="O159" s="164">
        <f>'CDM Activity'!C207</f>
        <v>387981.50606563344</v>
      </c>
      <c r="P159" s="142"/>
      <c r="Q159" s="169"/>
      <c r="R159" s="169"/>
      <c r="S159" s="145"/>
      <c r="T159" s="88"/>
      <c r="U159" s="104">
        <f t="shared" si="34"/>
        <v>8627123.3130120952</v>
      </c>
      <c r="V159" s="122"/>
      <c r="W159" s="122"/>
      <c r="X159" s="122"/>
      <c r="AJ159" s="88"/>
      <c r="AK159" s="88"/>
      <c r="AL159" s="88"/>
      <c r="AM159" s="88"/>
      <c r="AN159" s="88"/>
      <c r="AO159" s="88"/>
      <c r="AP159" s="88"/>
      <c r="AQ159" s="88"/>
      <c r="AR159" s="88"/>
      <c r="AS159" s="88"/>
    </row>
    <row r="160" spans="2:45">
      <c r="B160" s="100">
        <f t="shared" si="35"/>
        <v>43069</v>
      </c>
      <c r="H160" s="137"/>
      <c r="I160" s="372"/>
      <c r="J160" s="520">
        <f>'HDD &amp; CDD'!X16</f>
        <v>481.33000000000004</v>
      </c>
      <c r="K160" s="520">
        <f>'HDD &amp; CDD'!X34</f>
        <v>0</v>
      </c>
      <c r="L160" s="485">
        <f t="shared" si="39"/>
        <v>30</v>
      </c>
      <c r="M160" s="214">
        <v>1</v>
      </c>
      <c r="N160" s="485">
        <f>[22]Sheet1!C158</f>
        <v>0</v>
      </c>
      <c r="O160" s="164">
        <f>'CDM Activity'!C208</f>
        <v>382320.75647696044</v>
      </c>
      <c r="P160" s="142"/>
      <c r="Q160" s="169"/>
      <c r="R160" s="169"/>
      <c r="S160" s="145"/>
      <c r="U160" s="104">
        <f t="shared" si="34"/>
        <v>9406202.7199622635</v>
      </c>
      <c r="V160" s="148"/>
      <c r="W160" s="148"/>
      <c r="X160" s="148"/>
      <c r="AJ160" s="88"/>
      <c r="AK160" s="88"/>
      <c r="AL160" s="88"/>
      <c r="AM160" s="88"/>
      <c r="AN160" s="88"/>
      <c r="AO160" s="88"/>
      <c r="AP160" s="88"/>
      <c r="AQ160" s="88"/>
      <c r="AR160" s="88"/>
      <c r="AS160" s="88"/>
    </row>
    <row r="161" spans="2:45">
      <c r="B161" s="100">
        <f t="shared" si="35"/>
        <v>43100</v>
      </c>
      <c r="H161" s="137"/>
      <c r="I161" s="372"/>
      <c r="J161" s="445">
        <f>'HDD &amp; CDD'!X17</f>
        <v>727.43999999999994</v>
      </c>
      <c r="K161" s="166">
        <f>'HDD &amp; CDD'!X35</f>
        <v>0</v>
      </c>
      <c r="L161" s="486">
        <f t="shared" si="39"/>
        <v>31</v>
      </c>
      <c r="M161" s="165">
        <v>0</v>
      </c>
      <c r="N161" s="486">
        <f>[22]Sheet1!C159</f>
        <v>2</v>
      </c>
      <c r="O161" s="167">
        <f>'CDM Activity'!C209</f>
        <v>376660.00688828743</v>
      </c>
      <c r="P161" s="143"/>
      <c r="Q161" s="165"/>
      <c r="R161" s="165"/>
      <c r="S161" s="144"/>
      <c r="T161" s="215"/>
      <c r="U161" s="121">
        <f t="shared" si="34"/>
        <v>10932083.587211115</v>
      </c>
      <c r="V161" s="216"/>
      <c r="W161" s="216"/>
      <c r="X161" s="216"/>
      <c r="AJ161" s="88"/>
      <c r="AK161" s="88"/>
      <c r="AL161" s="88"/>
      <c r="AM161" s="88"/>
      <c r="AN161" s="88"/>
      <c r="AO161" s="88"/>
      <c r="AP161" s="88"/>
      <c r="AQ161" s="88"/>
      <c r="AR161" s="88"/>
      <c r="AS161" s="88"/>
    </row>
    <row r="162" spans="2:45">
      <c r="H162" s="137"/>
      <c r="I162" s="372"/>
      <c r="V162" s="137">
        <f>SUM(V6:V149)</f>
        <v>1125846.1170399617</v>
      </c>
      <c r="X162" s="275">
        <f>AVERAGE(X6:X125)</f>
        <v>2.1005019507586493E-2</v>
      </c>
      <c r="AJ162" s="88"/>
      <c r="AK162" s="88"/>
      <c r="AL162" s="88"/>
      <c r="AM162" s="88"/>
      <c r="AN162" s="88"/>
      <c r="AO162" s="88"/>
      <c r="AP162" s="88"/>
      <c r="AQ162" s="88"/>
      <c r="AR162" s="88"/>
      <c r="AS162" s="88"/>
    </row>
    <row r="163" spans="2:45">
      <c r="H163" s="137"/>
      <c r="I163" s="372"/>
      <c r="J163" s="137"/>
      <c r="K163" s="137"/>
      <c r="L163" s="137"/>
      <c r="M163" s="137"/>
      <c r="N163" s="137"/>
      <c r="O163" s="137"/>
      <c r="P163" s="137"/>
      <c r="Q163" s="137"/>
      <c r="R163" s="137"/>
      <c r="S163" s="137"/>
      <c r="T163" s="137"/>
      <c r="U163" s="137">
        <f>SUM(U6:U162)</f>
        <v>1537926455.4985194</v>
      </c>
      <c r="V163" s="137"/>
      <c r="W163" s="137"/>
      <c r="X163" s="137"/>
      <c r="AJ163" s="88"/>
      <c r="AK163" s="88"/>
      <c r="AL163" s="88"/>
      <c r="AM163" s="88"/>
      <c r="AN163" s="88"/>
      <c r="AO163" s="88"/>
      <c r="AP163" s="88"/>
      <c r="AQ163" s="88"/>
      <c r="AR163" s="88"/>
      <c r="AS163" s="88"/>
    </row>
    <row r="164" spans="2:45">
      <c r="H164" s="137"/>
      <c r="I164" s="372"/>
      <c r="J164" s="137"/>
      <c r="K164" s="137"/>
      <c r="L164" s="137"/>
      <c r="M164" s="137"/>
      <c r="N164" s="137"/>
      <c r="O164" s="137"/>
      <c r="P164" s="137"/>
      <c r="Q164" s="137"/>
      <c r="R164" s="137"/>
      <c r="S164" s="137"/>
      <c r="T164" s="137"/>
      <c r="U164" s="137"/>
      <c r="V164" s="137"/>
      <c r="W164" s="137"/>
      <c r="X164" s="137"/>
      <c r="AJ164" s="88"/>
      <c r="AK164" s="88"/>
      <c r="AL164" s="88"/>
      <c r="AM164" s="88"/>
      <c r="AN164" s="88"/>
      <c r="AO164" s="88"/>
      <c r="AP164" s="88"/>
      <c r="AQ164" s="88"/>
      <c r="AR164" s="88"/>
      <c r="AS164" s="88"/>
    </row>
    <row r="165" spans="2:45">
      <c r="H165" s="137"/>
      <c r="I165" s="372"/>
      <c r="J165" s="137"/>
      <c r="K165" s="137"/>
      <c r="L165" s="137"/>
      <c r="M165" s="137"/>
      <c r="N165" s="137"/>
      <c r="O165" s="137"/>
      <c r="P165" s="137"/>
      <c r="Q165" s="137"/>
      <c r="R165" s="137"/>
      <c r="S165" s="137"/>
      <c r="T165" s="137"/>
      <c r="U165" s="137"/>
      <c r="V165" s="137"/>
      <c r="W165" s="137"/>
      <c r="X165" s="137"/>
      <c r="AJ165" s="88"/>
      <c r="AK165" s="88"/>
      <c r="AL165" s="88"/>
      <c r="AM165" s="88"/>
      <c r="AN165" s="88"/>
      <c r="AO165" s="88"/>
      <c r="AP165" s="88"/>
      <c r="AQ165" s="88"/>
      <c r="AR165" s="88"/>
      <c r="AS165" s="88"/>
    </row>
    <row r="166" spans="2:45">
      <c r="H166" s="137"/>
      <c r="I166" s="372"/>
      <c r="M166" s="448" t="s">
        <v>269</v>
      </c>
      <c r="V166" s="137"/>
      <c r="W166" s="137"/>
      <c r="X166" s="137"/>
      <c r="AJ166" s="88"/>
      <c r="AK166" s="88"/>
      <c r="AL166" s="88"/>
      <c r="AM166" s="88"/>
      <c r="AN166" s="88"/>
      <c r="AO166" s="88"/>
      <c r="AP166" s="88"/>
      <c r="AQ166" s="88"/>
      <c r="AR166" s="88"/>
      <c r="AS166" s="88"/>
    </row>
    <row r="167" spans="2:45">
      <c r="B167" s="100">
        <f t="shared" ref="B167:B178" si="40">B138</f>
        <v>42400</v>
      </c>
      <c r="H167" s="137"/>
      <c r="I167" s="372"/>
      <c r="J167" s="450">
        <f>'HDD &amp; CDD'!Y6</f>
        <v>864.91894736842119</v>
      </c>
      <c r="K167" s="450">
        <f>'HDD &amp; CDD'!Y24</f>
        <v>0</v>
      </c>
      <c r="L167" s="589">
        <f>L150</f>
        <v>31</v>
      </c>
      <c r="M167" s="446">
        <f>M150</f>
        <v>0</v>
      </c>
      <c r="N167" s="446">
        <f>N150</f>
        <v>1</v>
      </c>
      <c r="O167" s="447">
        <f>O150</f>
        <v>438928.25236369047</v>
      </c>
      <c r="U167" s="104">
        <f>$AB$21+J167*$AB$22+K167*$AB$23+L167*$AB$24+M167*$AB$25+N167*$AB$26+O167*$AB$27</f>
        <v>11505090.753023209</v>
      </c>
      <c r="V167" s="137"/>
      <c r="W167" s="137"/>
      <c r="X167" s="137"/>
      <c r="AJ167" s="88"/>
      <c r="AK167" s="88"/>
      <c r="AL167" s="88"/>
      <c r="AM167" s="88"/>
      <c r="AN167" s="88"/>
      <c r="AO167" s="88"/>
      <c r="AP167" s="88"/>
      <c r="AQ167" s="88"/>
      <c r="AR167" s="88"/>
      <c r="AS167" s="88"/>
    </row>
    <row r="168" spans="2:45">
      <c r="B168" s="100">
        <f t="shared" si="40"/>
        <v>42429</v>
      </c>
      <c r="J168" s="450">
        <f>'HDD &amp; CDD'!Y7</f>
        <v>791.57894736842172</v>
      </c>
      <c r="K168" s="450">
        <f>'HDD &amp; CDD'!Y25</f>
        <v>0</v>
      </c>
      <c r="L168" s="589">
        <f t="shared" ref="L168:O178" si="41">L151</f>
        <v>28</v>
      </c>
      <c r="M168" s="446">
        <f t="shared" si="41"/>
        <v>0</v>
      </c>
      <c r="N168" s="446">
        <f t="shared" si="41"/>
        <v>1</v>
      </c>
      <c r="O168" s="447">
        <f t="shared" si="41"/>
        <v>433267.50277501746</v>
      </c>
      <c r="S168" s="81">
        <v>1</v>
      </c>
      <c r="U168" s="104">
        <f t="shared" ref="U168:U178" si="42">$AB$21+J168*$AB$22+K168*$AB$23+L168*$AB$24+M168*$AB$25+N168*$AB$26+O168*$AB$27</f>
        <v>10464744.544016162</v>
      </c>
      <c r="V168" s="137"/>
      <c r="W168" s="137"/>
      <c r="X168" s="137"/>
    </row>
    <row r="169" spans="2:45">
      <c r="B169" s="100">
        <f t="shared" si="40"/>
        <v>42460</v>
      </c>
      <c r="E169" s="149"/>
      <c r="J169" s="450">
        <f>'HDD &amp; CDD'!Y8</f>
        <v>626.33842105263147</v>
      </c>
      <c r="K169" s="450">
        <f>'HDD &amp; CDD'!Y26</f>
        <v>0</v>
      </c>
      <c r="L169" s="589">
        <f t="shared" si="41"/>
        <v>31</v>
      </c>
      <c r="M169" s="446">
        <f t="shared" si="41"/>
        <v>1</v>
      </c>
      <c r="N169" s="446">
        <f t="shared" si="41"/>
        <v>0</v>
      </c>
      <c r="O169" s="447">
        <f t="shared" si="41"/>
        <v>427606.75318634446</v>
      </c>
      <c r="S169" s="81">
        <v>0</v>
      </c>
      <c r="U169" s="104">
        <f t="shared" si="42"/>
        <v>10190490.021556463</v>
      </c>
      <c r="V169" s="137"/>
      <c r="W169" s="137"/>
      <c r="X169" s="137"/>
    </row>
    <row r="170" spans="2:45">
      <c r="B170" s="100">
        <f t="shared" si="40"/>
        <v>42490</v>
      </c>
      <c r="E170" s="149"/>
      <c r="J170" s="450">
        <f>'HDD &amp; CDD'!Y9</f>
        <v>364.67894736842163</v>
      </c>
      <c r="K170" s="450">
        <f>'HDD &amp; CDD'!Y27</f>
        <v>0.63315789473683992</v>
      </c>
      <c r="L170" s="589">
        <f t="shared" si="41"/>
        <v>30</v>
      </c>
      <c r="M170" s="446">
        <f t="shared" si="41"/>
        <v>1</v>
      </c>
      <c r="N170" s="446">
        <f t="shared" si="41"/>
        <v>2</v>
      </c>
      <c r="O170" s="447">
        <f t="shared" si="41"/>
        <v>421946.00359767146</v>
      </c>
      <c r="S170" s="81">
        <v>1</v>
      </c>
      <c r="U170" s="104">
        <f t="shared" si="42"/>
        <v>8533815.0264704674</v>
      </c>
      <c r="V170" s="137"/>
      <c r="W170" s="137"/>
      <c r="X170" s="137"/>
    </row>
    <row r="171" spans="2:45">
      <c r="B171" s="100">
        <f t="shared" si="40"/>
        <v>42521</v>
      </c>
      <c r="E171" s="149"/>
      <c r="J171" s="450">
        <f>'HDD &amp; CDD'!Y10</f>
        <v>129.98842105263157</v>
      </c>
      <c r="K171" s="450">
        <f>'HDD &amp; CDD'!Y28</f>
        <v>19.886315789473656</v>
      </c>
      <c r="L171" s="589">
        <f t="shared" si="41"/>
        <v>31</v>
      </c>
      <c r="M171" s="446">
        <f t="shared" si="41"/>
        <v>1</v>
      </c>
      <c r="N171" s="446">
        <f t="shared" si="41"/>
        <v>1</v>
      </c>
      <c r="O171" s="447">
        <f t="shared" si="41"/>
        <v>416285.25400899845</v>
      </c>
      <c r="S171" s="81">
        <v>1</v>
      </c>
      <c r="U171" s="104">
        <f t="shared" si="42"/>
        <v>8079658.5026084399</v>
      </c>
      <c r="V171" s="137"/>
      <c r="W171" s="137"/>
      <c r="X171" s="137"/>
    </row>
    <row r="172" spans="2:45">
      <c r="B172" s="100">
        <f t="shared" si="40"/>
        <v>42551</v>
      </c>
      <c r="E172" s="149"/>
      <c r="J172" s="450">
        <f>'HDD &amp; CDD'!Y11</f>
        <v>36.678421052631592</v>
      </c>
      <c r="K172" s="450">
        <f>'HDD &amp; CDD'!Y29</f>
        <v>40.526315789473301</v>
      </c>
      <c r="L172" s="589">
        <f t="shared" si="41"/>
        <v>30</v>
      </c>
      <c r="M172" s="446">
        <f t="shared" si="41"/>
        <v>0</v>
      </c>
      <c r="N172" s="446">
        <f t="shared" si="41"/>
        <v>0</v>
      </c>
      <c r="O172" s="447">
        <f t="shared" si="41"/>
        <v>410624.50442032545</v>
      </c>
      <c r="S172" s="81">
        <v>1</v>
      </c>
      <c r="U172" s="104">
        <f t="shared" si="42"/>
        <v>8173749.5698824711</v>
      </c>
      <c r="V172" s="137"/>
      <c r="W172" s="137"/>
      <c r="X172" s="137"/>
    </row>
    <row r="173" spans="2:45">
      <c r="B173" s="100">
        <f t="shared" si="40"/>
        <v>42582</v>
      </c>
      <c r="E173" s="149"/>
      <c r="J173" s="450">
        <f>'HDD &amp; CDD'!Y12</f>
        <v>4.353157894736853</v>
      </c>
      <c r="K173" s="450">
        <f>'HDD &amp; CDD'!Y30</f>
        <v>108.46631578947381</v>
      </c>
      <c r="L173" s="589">
        <f t="shared" si="41"/>
        <v>31</v>
      </c>
      <c r="M173" s="446">
        <f t="shared" si="41"/>
        <v>0</v>
      </c>
      <c r="N173" s="446">
        <f t="shared" si="41"/>
        <v>1</v>
      </c>
      <c r="O173" s="447">
        <f t="shared" si="41"/>
        <v>404963.75483165245</v>
      </c>
      <c r="S173" s="81">
        <v>1</v>
      </c>
      <c r="U173" s="104">
        <f t="shared" si="42"/>
        <v>9141201.9824321661</v>
      </c>
      <c r="V173" s="137"/>
      <c r="W173" s="137"/>
      <c r="X173" s="137"/>
    </row>
    <row r="174" spans="2:45">
      <c r="B174" s="100">
        <f t="shared" si="40"/>
        <v>42613</v>
      </c>
      <c r="E174" s="149"/>
      <c r="J174" s="450">
        <f>'HDD &amp; CDD'!Y13</f>
        <v>11.356842105263127</v>
      </c>
      <c r="K174" s="450">
        <f>'HDD &amp; CDD'!Y31</f>
        <v>84.577368421052597</v>
      </c>
      <c r="L174" s="589">
        <f t="shared" si="41"/>
        <v>31</v>
      </c>
      <c r="M174" s="446">
        <f t="shared" si="41"/>
        <v>0</v>
      </c>
      <c r="N174" s="446">
        <f t="shared" si="41"/>
        <v>1</v>
      </c>
      <c r="O174" s="447">
        <f t="shared" si="41"/>
        <v>399303.00524297945</v>
      </c>
      <c r="S174" s="81">
        <v>0</v>
      </c>
      <c r="U174" s="104">
        <f t="shared" si="42"/>
        <v>8847440.2596945651</v>
      </c>
      <c r="V174" s="137"/>
      <c r="W174" s="137"/>
      <c r="X174" s="137"/>
    </row>
    <row r="175" spans="2:45">
      <c r="B175" s="100">
        <f t="shared" si="40"/>
        <v>42643</v>
      </c>
      <c r="E175" s="149"/>
      <c r="J175" s="450">
        <f>'HDD &amp; CDD'!Y14</f>
        <v>91.517894736842095</v>
      </c>
      <c r="K175" s="450">
        <f>'HDD &amp; CDD'!Y32</f>
        <v>25.529999999999973</v>
      </c>
      <c r="L175" s="589">
        <f t="shared" si="41"/>
        <v>30</v>
      </c>
      <c r="M175" s="446">
        <f t="shared" si="41"/>
        <v>1</v>
      </c>
      <c r="N175" s="446">
        <f t="shared" si="41"/>
        <v>1</v>
      </c>
      <c r="O175" s="447">
        <f t="shared" si="41"/>
        <v>393642.25565430644</v>
      </c>
      <c r="S175" s="81">
        <v>2</v>
      </c>
      <c r="U175" s="104">
        <f t="shared" si="42"/>
        <v>7808404.9945102558</v>
      </c>
      <c r="V175" s="137"/>
      <c r="W175" s="137"/>
      <c r="X175" s="137"/>
    </row>
    <row r="176" spans="2:45">
      <c r="B176" s="100">
        <f t="shared" si="40"/>
        <v>42674</v>
      </c>
      <c r="E176" s="149"/>
      <c r="J176" s="450">
        <f>'HDD &amp; CDD'!Y15</f>
        <v>283.99341597199736</v>
      </c>
      <c r="K176" s="450">
        <f>'HDD &amp; CDD'!Y33</f>
        <v>0.99052631578947015</v>
      </c>
      <c r="L176" s="589">
        <f t="shared" si="41"/>
        <v>31</v>
      </c>
      <c r="M176" s="446">
        <f t="shared" si="41"/>
        <v>1</v>
      </c>
      <c r="N176" s="446">
        <f t="shared" si="41"/>
        <v>1</v>
      </c>
      <c r="O176" s="447">
        <f t="shared" si="41"/>
        <v>387981.50606563344</v>
      </c>
      <c r="U176" s="104">
        <f t="shared" si="42"/>
        <v>8609515.7854362894</v>
      </c>
      <c r="V176" s="137"/>
      <c r="W176" s="137"/>
      <c r="X176" s="137"/>
    </row>
    <row r="177" spans="2:63">
      <c r="B177" s="100">
        <f t="shared" si="40"/>
        <v>42704</v>
      </c>
      <c r="E177" s="149"/>
      <c r="J177" s="450">
        <f>'HDD &amp; CDD'!Y16</f>
        <v>477.87052631578945</v>
      </c>
      <c r="K177" s="450">
        <f>'HDD &amp; CDD'!Y34</f>
        <v>0</v>
      </c>
      <c r="L177" s="589">
        <f t="shared" si="41"/>
        <v>30</v>
      </c>
      <c r="M177" s="446">
        <f t="shared" si="41"/>
        <v>1</v>
      </c>
      <c r="N177" s="446">
        <f t="shared" si="41"/>
        <v>0</v>
      </c>
      <c r="O177" s="447">
        <f t="shared" si="41"/>
        <v>382320.75647696044</v>
      </c>
      <c r="U177" s="104">
        <f t="shared" si="42"/>
        <v>9390047.3625848256</v>
      </c>
      <c r="V177" s="137"/>
      <c r="W177" s="137"/>
      <c r="X177" s="137"/>
    </row>
    <row r="178" spans="2:63">
      <c r="B178" s="100">
        <f t="shared" si="40"/>
        <v>42735</v>
      </c>
      <c r="E178" s="149"/>
      <c r="J178" s="450">
        <f>'HDD &amp; CDD'!Y17</f>
        <v>708.86263157894746</v>
      </c>
      <c r="K178" s="450">
        <f>'HDD &amp; CDD'!Y35</f>
        <v>0</v>
      </c>
      <c r="L178" s="589">
        <f t="shared" si="41"/>
        <v>31</v>
      </c>
      <c r="M178" s="446">
        <f t="shared" si="41"/>
        <v>0</v>
      </c>
      <c r="N178" s="446">
        <f t="shared" si="41"/>
        <v>2</v>
      </c>
      <c r="O178" s="447">
        <f t="shared" si="41"/>
        <v>376660.00688828743</v>
      </c>
      <c r="U178" s="104">
        <f t="shared" si="42"/>
        <v>10845329.342672629</v>
      </c>
      <c r="V178" s="137"/>
      <c r="W178" s="137"/>
      <c r="X178" s="137"/>
      <c r="AZ178" s="79"/>
    </row>
    <row r="179" spans="2:63">
      <c r="B179" s="82"/>
      <c r="E179" s="149"/>
      <c r="V179" s="137"/>
      <c r="W179" s="137"/>
      <c r="X179" s="137"/>
      <c r="AY179" s="79"/>
      <c r="AZ179" s="79"/>
      <c r="BA179" s="79"/>
      <c r="BB179" s="79"/>
      <c r="BC179" s="79"/>
      <c r="BD179" s="79"/>
      <c r="BE179" s="79"/>
      <c r="BF179" s="79"/>
      <c r="BG179" s="79"/>
      <c r="BH179" s="79"/>
      <c r="BI179" s="79"/>
      <c r="BJ179" s="79"/>
      <c r="BK179" s="79"/>
    </row>
    <row r="180" spans="2:63" s="79" customFormat="1">
      <c r="C180" s="80"/>
      <c r="E180" s="149"/>
      <c r="I180" s="149"/>
      <c r="J180" s="590"/>
      <c r="K180" s="81"/>
      <c r="L180" s="81"/>
      <c r="M180" s="81"/>
      <c r="N180" s="81"/>
      <c r="P180" s="81"/>
      <c r="Q180" s="81"/>
      <c r="R180" s="81"/>
      <c r="S180" s="81"/>
      <c r="T180" s="82"/>
      <c r="U180" s="449">
        <f>SUM(U167:U179)</f>
        <v>111589488.14488795</v>
      </c>
      <c r="V180" s="82"/>
      <c r="W180" s="82"/>
      <c r="X180" s="82"/>
      <c r="Y180" s="224"/>
      <c r="Z180" s="82"/>
      <c r="AA180" s="82"/>
      <c r="AB180" s="82"/>
      <c r="AC180" s="82"/>
      <c r="AD180" s="82"/>
      <c r="AE180" s="82"/>
      <c r="AF180" s="82"/>
      <c r="AG180" s="82"/>
      <c r="AH180" s="82"/>
      <c r="AI180" s="82"/>
      <c r="AJ180" s="82"/>
      <c r="AK180" s="82"/>
      <c r="AL180" s="82"/>
      <c r="AM180" s="82"/>
      <c r="AN180" s="82"/>
      <c r="AO180" s="82"/>
      <c r="AP180" s="82"/>
      <c r="AQ180" s="82"/>
      <c r="AR180" s="82"/>
      <c r="AS180" s="82"/>
      <c r="AT180" s="82"/>
      <c r="AU180" s="82"/>
      <c r="AV180" s="82"/>
      <c r="AW180" s="82"/>
      <c r="AX180" s="82"/>
    </row>
    <row r="181" spans="2:63" s="79" customFormat="1" ht="14.25">
      <c r="B181" s="152"/>
      <c r="C181" s="153"/>
      <c r="D181" s="154"/>
      <c r="E181" s="149"/>
      <c r="I181" s="149"/>
      <c r="V181" s="82"/>
      <c r="W181" s="82"/>
      <c r="X181" s="82"/>
      <c r="Y181" s="224"/>
      <c r="Z181" s="82"/>
      <c r="AA181" s="82"/>
      <c r="AB181" s="82"/>
      <c r="AC181" s="82"/>
      <c r="AD181" s="82"/>
      <c r="AE181" s="82"/>
      <c r="AF181" s="82"/>
      <c r="AG181" s="82"/>
      <c r="AH181" s="82"/>
      <c r="AI181" s="82"/>
      <c r="AJ181" s="82"/>
      <c r="AK181" s="82"/>
      <c r="AL181" s="82"/>
      <c r="AM181" s="82"/>
      <c r="AN181" s="82"/>
      <c r="AO181" s="82"/>
      <c r="AP181" s="82"/>
      <c r="AQ181" s="82"/>
      <c r="AR181" s="82"/>
      <c r="AS181" s="82"/>
      <c r="AT181" s="82"/>
      <c r="AU181" s="82"/>
      <c r="AV181" s="82"/>
      <c r="AW181" s="82"/>
      <c r="AX181" s="82"/>
    </row>
    <row r="182" spans="2:63" s="79" customFormat="1" ht="14.25">
      <c r="B182" s="152"/>
      <c r="C182" s="153"/>
      <c r="D182" s="154"/>
      <c r="E182" s="149"/>
      <c r="I182" s="149"/>
      <c r="V182" s="82"/>
      <c r="W182" s="82"/>
      <c r="X182" s="82"/>
      <c r="Y182" s="224"/>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row>
    <row r="183" spans="2:63" s="79" customFormat="1" ht="14.25">
      <c r="B183" s="152"/>
      <c r="C183" s="1193">
        <f>SUM(C90:C101)</f>
        <v>115215976</v>
      </c>
      <c r="D183" s="154"/>
      <c r="E183" s="149"/>
      <c r="I183" s="149"/>
      <c r="V183" s="82"/>
      <c r="W183" s="82"/>
      <c r="X183" s="82"/>
      <c r="Y183" s="224"/>
      <c r="Z183" s="82"/>
      <c r="AA183" s="82"/>
      <c r="AB183" s="82"/>
      <c r="AC183" s="82"/>
      <c r="AD183" s="82"/>
      <c r="AE183" s="82"/>
      <c r="AF183" s="82"/>
      <c r="AG183" s="82"/>
      <c r="AH183" s="82"/>
      <c r="AI183" s="82"/>
      <c r="AJ183" s="82"/>
      <c r="AK183" s="82"/>
      <c r="AL183" s="82"/>
      <c r="AM183" s="82"/>
      <c r="AN183" s="82"/>
      <c r="AO183" s="82"/>
      <c r="AP183" s="82"/>
      <c r="AQ183" s="82"/>
      <c r="AR183" s="82"/>
      <c r="AS183" s="82"/>
      <c r="AT183" s="82"/>
      <c r="AU183" s="82"/>
      <c r="AZ183" s="82"/>
    </row>
    <row r="184" spans="2:63" s="79" customFormat="1" ht="14.25">
      <c r="B184" s="151"/>
      <c r="C184" s="1193">
        <f>SUM(C102:C113)</f>
        <v>116534650</v>
      </c>
      <c r="D184" s="151"/>
      <c r="E184" s="149"/>
      <c r="I184" s="149"/>
      <c r="V184" s="82"/>
      <c r="W184" s="82"/>
      <c r="X184" s="82"/>
      <c r="Y184" s="224"/>
      <c r="Z184" s="82"/>
      <c r="AA184" s="82"/>
      <c r="AB184" s="82"/>
      <c r="AC184" s="82"/>
      <c r="AD184" s="82"/>
      <c r="AE184" s="82"/>
      <c r="AF184" s="82"/>
      <c r="AG184" s="82"/>
      <c r="AH184" s="82"/>
      <c r="AI184" s="82"/>
      <c r="AJ184" s="82"/>
      <c r="AK184" s="82"/>
      <c r="AL184" s="82"/>
      <c r="AM184" s="82"/>
      <c r="AN184" s="82"/>
      <c r="AO184" s="82"/>
      <c r="AP184" s="82"/>
      <c r="AQ184" s="82"/>
      <c r="AR184" s="82"/>
      <c r="AS184" s="82"/>
      <c r="AT184" s="82"/>
      <c r="AU184" s="82"/>
      <c r="AY184" s="82"/>
      <c r="AZ184" s="82"/>
      <c r="BA184" s="82"/>
      <c r="BB184" s="82"/>
      <c r="BC184" s="82"/>
      <c r="BD184" s="82"/>
      <c r="BE184" s="82"/>
      <c r="BF184" s="82"/>
      <c r="BG184" s="82"/>
      <c r="BH184" s="82"/>
      <c r="BI184" s="82"/>
      <c r="BJ184" s="82"/>
      <c r="BK184" s="82"/>
    </row>
    <row r="185" spans="2:63" ht="14.25">
      <c r="C185" s="1193">
        <f>SUM(C114:C125)</f>
        <v>115878630</v>
      </c>
      <c r="J185" s="82"/>
      <c r="K185" s="82"/>
      <c r="L185" s="82"/>
      <c r="M185" s="82"/>
      <c r="N185" s="82"/>
      <c r="O185" s="82"/>
      <c r="P185" s="82"/>
      <c r="Q185" s="82"/>
      <c r="R185" s="82"/>
      <c r="S185" s="82"/>
      <c r="U185" s="82"/>
      <c r="AV185" s="79"/>
      <c r="AW185" s="79"/>
      <c r="AX185" s="79"/>
    </row>
    <row r="186" spans="2:63" ht="14.25">
      <c r="C186" s="1193"/>
      <c r="J186" s="82"/>
      <c r="K186" s="82"/>
      <c r="L186" s="82"/>
      <c r="M186" s="82"/>
      <c r="N186" s="82"/>
      <c r="O186" s="82"/>
      <c r="P186" s="82"/>
      <c r="Q186" s="82"/>
      <c r="R186" s="82"/>
      <c r="S186" s="82"/>
      <c r="U186" s="82"/>
      <c r="AV186" s="79"/>
      <c r="AW186" s="79"/>
      <c r="AX186" s="79"/>
    </row>
    <row r="187" spans="2:63" ht="14.25">
      <c r="C187" s="1193"/>
      <c r="J187" s="82"/>
      <c r="K187" s="82"/>
      <c r="L187" s="82"/>
      <c r="M187" s="82"/>
      <c r="N187" s="82"/>
      <c r="O187" s="82"/>
      <c r="P187" s="82"/>
      <c r="Q187" s="82"/>
      <c r="R187" s="82"/>
      <c r="S187" s="82"/>
      <c r="U187" s="82"/>
      <c r="AV187" s="79"/>
      <c r="AW187" s="79"/>
      <c r="AX187" s="79"/>
    </row>
    <row r="188" spans="2:63">
      <c r="J188" s="82"/>
      <c r="K188" s="82"/>
      <c r="L188" s="82"/>
      <c r="M188" s="82"/>
      <c r="N188" s="82"/>
      <c r="O188" s="82"/>
      <c r="P188" s="82"/>
      <c r="Q188" s="82"/>
      <c r="R188" s="82"/>
      <c r="S188" s="82"/>
      <c r="U188" s="82"/>
    </row>
    <row r="189" spans="2:63">
      <c r="J189" s="82"/>
      <c r="K189" s="82"/>
      <c r="L189" s="82"/>
      <c r="M189" s="82"/>
      <c r="N189" s="82"/>
      <c r="O189" s="82"/>
      <c r="P189" s="82"/>
      <c r="Q189" s="82"/>
      <c r="R189" s="82"/>
      <c r="S189" s="82"/>
      <c r="U189" s="82"/>
    </row>
    <row r="190" spans="2:63">
      <c r="J190" s="82"/>
      <c r="K190" s="82"/>
      <c r="L190" s="82"/>
      <c r="M190" s="82"/>
      <c r="N190" s="82"/>
      <c r="O190" s="82"/>
      <c r="P190" s="82"/>
      <c r="Q190" s="82"/>
      <c r="R190" s="82"/>
      <c r="S190" s="82"/>
      <c r="U190" s="82"/>
    </row>
    <row r="191" spans="2:63">
      <c r="J191" s="82"/>
      <c r="K191" s="82"/>
      <c r="L191" s="82"/>
      <c r="M191" s="82"/>
      <c r="N191" s="82"/>
      <c r="O191" s="82"/>
      <c r="P191" s="82"/>
      <c r="Q191" s="82"/>
      <c r="R191" s="82"/>
      <c r="S191" s="82"/>
      <c r="U191" s="82"/>
    </row>
    <row r="192" spans="2:63">
      <c r="J192" s="82"/>
      <c r="K192" s="82"/>
      <c r="L192" s="82"/>
      <c r="M192" s="82"/>
      <c r="N192" s="82"/>
      <c r="O192" s="82"/>
      <c r="P192" s="82"/>
      <c r="Q192" s="82"/>
      <c r="R192" s="82"/>
      <c r="S192" s="82"/>
      <c r="U192" s="82"/>
    </row>
    <row r="193" spans="10:21">
      <c r="J193" s="82"/>
      <c r="K193" s="82"/>
      <c r="L193" s="82"/>
      <c r="M193" s="82"/>
      <c r="N193" s="82"/>
      <c r="O193" s="82"/>
      <c r="P193" s="82"/>
      <c r="Q193" s="82"/>
      <c r="R193" s="82"/>
      <c r="S193" s="82"/>
      <c r="U193" s="82"/>
    </row>
    <row r="194" spans="10:21">
      <c r="J194" s="82"/>
      <c r="K194" s="82"/>
      <c r="L194" s="82"/>
      <c r="M194" s="82"/>
      <c r="N194" s="82"/>
      <c r="O194" s="82"/>
      <c r="P194" s="82"/>
      <c r="Q194" s="82"/>
      <c r="R194" s="82"/>
      <c r="S194" s="82"/>
      <c r="U194" s="82"/>
    </row>
    <row r="195" spans="10:21">
      <c r="J195" s="590"/>
    </row>
  </sheetData>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sheetPr>
    <tabColor theme="9" tint="0.39997558519241921"/>
    <pageSetUpPr fitToPage="1"/>
  </sheetPr>
  <dimension ref="A1:T89"/>
  <sheetViews>
    <sheetView zoomScaleNormal="100" workbookViewId="0">
      <pane xSplit="1" ySplit="2" topLeftCell="B24" activePane="bottomRight" state="frozenSplit"/>
      <selection pane="topRight" activeCell="B1" sqref="B1"/>
      <selection pane="bottomLeft" activeCell="A3" sqref="A3"/>
      <selection pane="bottomRight" activeCell="E35" sqref="E35"/>
    </sheetView>
  </sheetViews>
  <sheetFormatPr defaultRowHeight="12.75"/>
  <cols>
    <col min="1" max="1" width="22.140625" style="235" customWidth="1"/>
    <col min="2" max="2" width="16" style="247" customWidth="1"/>
    <col min="3" max="3" width="11.28515625" style="247" customWidth="1"/>
    <col min="4" max="4" width="14.140625" style="240" customWidth="1"/>
    <col min="5" max="5" width="15" style="240" customWidth="1"/>
    <col min="6" max="6" width="16.7109375" style="240" customWidth="1"/>
    <col min="7" max="7" width="15.42578125" style="240" customWidth="1"/>
    <col min="8" max="8" width="14.140625" style="240" customWidth="1"/>
    <col min="9" max="9" width="14.7109375" style="240" customWidth="1"/>
    <col min="10" max="10" width="16.42578125" style="240" customWidth="1"/>
    <col min="11" max="15" width="12.7109375" style="240" bestFit="1" customWidth="1"/>
    <col min="16" max="16" width="12.7109375" style="235" bestFit="1" customWidth="1"/>
    <col min="17" max="17" width="11.7109375" style="235" bestFit="1" customWidth="1"/>
    <col min="18" max="19" width="10.140625" style="235" bestFit="1" customWidth="1"/>
    <col min="20" max="16384" width="9.140625" style="235"/>
  </cols>
  <sheetData>
    <row r="1" spans="1:19" ht="22.5" customHeight="1" thickBot="1">
      <c r="B1" s="236" t="s">
        <v>216</v>
      </c>
      <c r="C1" s="236" t="s">
        <v>0</v>
      </c>
      <c r="D1" s="237"/>
      <c r="E1" s="238" t="s">
        <v>179</v>
      </c>
      <c r="F1" s="239"/>
      <c r="G1" s="239"/>
      <c r="H1" s="239"/>
      <c r="I1" s="239"/>
      <c r="J1" s="239"/>
    </row>
    <row r="2" spans="1:19" ht="29.25" customHeight="1">
      <c r="B2" s="235"/>
      <c r="C2" s="235"/>
      <c r="D2" s="316" t="s">
        <v>12</v>
      </c>
      <c r="E2" s="316" t="s">
        <v>1</v>
      </c>
      <c r="F2" s="350" t="s">
        <v>116</v>
      </c>
      <c r="G2" s="350" t="s">
        <v>299</v>
      </c>
      <c r="H2" s="316" t="s">
        <v>215</v>
      </c>
      <c r="I2" s="316" t="s">
        <v>181</v>
      </c>
      <c r="J2" s="316" t="s">
        <v>2</v>
      </c>
      <c r="K2" s="235"/>
      <c r="L2" s="235"/>
      <c r="M2" s="235"/>
      <c r="N2" s="235"/>
      <c r="O2" s="235"/>
    </row>
    <row r="3" spans="1:19">
      <c r="A3" s="235">
        <v>2005</v>
      </c>
      <c r="B3" s="292">
        <f>'Purchased Power Model'!AC34</f>
        <v>129569190</v>
      </c>
      <c r="C3" s="242">
        <f t="shared" ref="C3:C14" si="0">B3/D3</f>
        <v>1.0255898252874609</v>
      </c>
      <c r="D3" s="243">
        <f>SUM(E3:J3)</f>
        <v>126336267</v>
      </c>
      <c r="E3" s="288">
        <f>'[20]2005-2014'!I8</f>
        <v>46438361</v>
      </c>
      <c r="F3" s="289">
        <f>'[20]2005-2014'!L8</f>
        <v>23490754</v>
      </c>
      <c r="G3" s="289">
        <f>'[20]2005-2014'!O8</f>
        <v>54683320</v>
      </c>
      <c r="H3" s="289">
        <f>'[20]2005-2014'!U8</f>
        <v>1359556</v>
      </c>
      <c r="I3" s="289">
        <f>'[20]2005-2014'!R8</f>
        <v>94884</v>
      </c>
      <c r="J3" s="290">
        <f>'[20]2005-2014'!X8</f>
        <v>269392</v>
      </c>
      <c r="L3" s="244" t="s">
        <v>182</v>
      </c>
      <c r="M3" s="736">
        <f>SUM(N3:S3)</f>
        <v>1</v>
      </c>
      <c r="N3" s="736">
        <f t="shared" ref="N3:S3" si="1">E3/$D3</f>
        <v>0.36757743522689335</v>
      </c>
      <c r="O3" s="736">
        <f t="shared" si="1"/>
        <v>0.1859383260073689</v>
      </c>
      <c r="P3" s="736">
        <f t="shared" si="1"/>
        <v>0.43283944744069414</v>
      </c>
      <c r="Q3" s="736">
        <f t="shared" si="1"/>
        <v>1.0761407094607283E-2</v>
      </c>
      <c r="R3" s="736">
        <f t="shared" si="1"/>
        <v>7.5104324556304956E-4</v>
      </c>
      <c r="S3" s="736">
        <f t="shared" si="1"/>
        <v>2.13234098487333E-3</v>
      </c>
    </row>
    <row r="4" spans="1:19">
      <c r="A4" s="235">
        <v>2006</v>
      </c>
      <c r="B4" s="292">
        <f>'Purchased Power Model'!AC35</f>
        <v>125693570</v>
      </c>
      <c r="C4" s="242">
        <f t="shared" si="0"/>
        <v>1.0760105974916543</v>
      </c>
      <c r="D4" s="243">
        <f t="shared" ref="D4:D14" si="2">SUM(E4:J4)</f>
        <v>116814435</v>
      </c>
      <c r="E4" s="291">
        <f>'[20]2005-2014'!I9</f>
        <v>44440685</v>
      </c>
      <c r="F4" s="292">
        <f>'[20]2005-2014'!L9</f>
        <v>22220025</v>
      </c>
      <c r="G4" s="292">
        <f>'[20]2005-2014'!O9</f>
        <v>48405425</v>
      </c>
      <c r="H4" s="292">
        <f>'[20]2005-2014'!U9</f>
        <v>1341413</v>
      </c>
      <c r="I4" s="292">
        <f>'[20]2005-2014'!R9</f>
        <v>102394</v>
      </c>
      <c r="J4" s="293">
        <f>'[20]2005-2014'!X9</f>
        <v>304493</v>
      </c>
      <c r="L4" s="246">
        <f t="shared" ref="L4:L14" si="3">D4/D3</f>
        <v>0.92463104834338661</v>
      </c>
      <c r="M4" s="736">
        <f t="shared" ref="M4:M13" si="4">SUM(N4:S4)</f>
        <v>1</v>
      </c>
      <c r="N4" s="736">
        <f t="shared" ref="N4:N13" si="5">E4/D4</f>
        <v>0.38043829942763496</v>
      </c>
      <c r="O4" s="736">
        <f t="shared" ref="O4:O13" si="6">F4/$D4</f>
        <v>0.1902164317278083</v>
      </c>
      <c r="P4" s="736">
        <f t="shared" ref="P4:P13" si="7">G4/$D4</f>
        <v>0.41437879659307514</v>
      </c>
      <c r="Q4" s="736">
        <f t="shared" ref="Q4:Q13" si="8">H4/$D4</f>
        <v>1.1483281154422396E-2</v>
      </c>
      <c r="R4" s="736">
        <f t="shared" ref="R4:R13" si="9">I4/$D4</f>
        <v>8.765526281062781E-4</v>
      </c>
      <c r="S4" s="736">
        <f t="shared" ref="S4:S13" si="10">J4/$D4</f>
        <v>2.6066384689529165E-3</v>
      </c>
    </row>
    <row r="5" spans="1:19">
      <c r="A5" s="235">
        <v>2007</v>
      </c>
      <c r="B5" s="292">
        <f>'Purchased Power Model'!AC36</f>
        <v>125561560</v>
      </c>
      <c r="C5" s="242">
        <f t="shared" si="0"/>
        <v>1.101430100970306</v>
      </c>
      <c r="D5" s="243">
        <f t="shared" si="2"/>
        <v>113998664</v>
      </c>
      <c r="E5" s="291">
        <f>'[20]2005-2014'!I10</f>
        <v>45086486</v>
      </c>
      <c r="F5" s="292">
        <f>'[20]2005-2014'!L10</f>
        <v>22360087</v>
      </c>
      <c r="G5" s="292">
        <f>'[20]2005-2014'!O10</f>
        <v>44734117</v>
      </c>
      <c r="H5" s="292">
        <f>'[20]2005-2014'!U10</f>
        <v>1392325</v>
      </c>
      <c r="I5" s="292">
        <f>'[20]2005-2014'!R10</f>
        <v>102933</v>
      </c>
      <c r="J5" s="293">
        <f>'[20]2005-2014'!X10</f>
        <v>322716</v>
      </c>
      <c r="L5" s="246">
        <f t="shared" si="3"/>
        <v>0.97589535060457211</v>
      </c>
      <c r="M5" s="736">
        <f t="shared" si="4"/>
        <v>1</v>
      </c>
      <c r="N5" s="736">
        <f t="shared" si="5"/>
        <v>0.39550012621200542</v>
      </c>
      <c r="O5" s="736">
        <f t="shared" si="6"/>
        <v>0.19614341269824004</v>
      </c>
      <c r="P5" s="736">
        <f t="shared" si="7"/>
        <v>0.39240913384739318</v>
      </c>
      <c r="Q5" s="736">
        <f t="shared" si="8"/>
        <v>1.2213520326869795E-2</v>
      </c>
      <c r="R5" s="736">
        <f t="shared" si="9"/>
        <v>9.0293163435669743E-4</v>
      </c>
      <c r="S5" s="736">
        <f t="shared" si="10"/>
        <v>2.8308752811348737E-3</v>
      </c>
    </row>
    <row r="6" spans="1:19">
      <c r="A6" s="235">
        <v>2008</v>
      </c>
      <c r="B6" s="292">
        <f>'Purchased Power Model'!AC37</f>
        <v>121334640</v>
      </c>
      <c r="C6" s="242">
        <f t="shared" si="0"/>
        <v>1.0854276060712418</v>
      </c>
      <c r="D6" s="243">
        <f t="shared" si="2"/>
        <v>111785106</v>
      </c>
      <c r="E6" s="291">
        <f>'[20]2005-2014'!I11</f>
        <v>44465236</v>
      </c>
      <c r="F6" s="292">
        <f>'[20]2005-2014'!L11</f>
        <v>21119955</v>
      </c>
      <c r="G6" s="292">
        <f>'[20]2005-2014'!O11</f>
        <v>44381852</v>
      </c>
      <c r="H6" s="292">
        <f>'[20]2005-2014'!U11</f>
        <v>1394217</v>
      </c>
      <c r="I6" s="292">
        <f>'[20]2005-2014'!R11</f>
        <v>100161</v>
      </c>
      <c r="J6" s="293">
        <f>'[20]2005-2014'!X11</f>
        <v>323685</v>
      </c>
      <c r="L6" s="246">
        <f t="shared" si="3"/>
        <v>0.9805825970030666</v>
      </c>
      <c r="M6" s="736">
        <f t="shared" si="4"/>
        <v>1</v>
      </c>
      <c r="N6" s="736">
        <f t="shared" si="5"/>
        <v>0.39777424373511799</v>
      </c>
      <c r="O6" s="736">
        <f t="shared" si="6"/>
        <v>0.18893353288048947</v>
      </c>
      <c r="P6" s="736">
        <f t="shared" si="7"/>
        <v>0.39702831251955872</v>
      </c>
      <c r="Q6" s="736">
        <f t="shared" si="8"/>
        <v>1.2472296622414081E-2</v>
      </c>
      <c r="R6" s="736">
        <f t="shared" si="9"/>
        <v>8.960138213761679E-4</v>
      </c>
      <c r="S6" s="736">
        <f t="shared" si="10"/>
        <v>2.8956004210435693E-3</v>
      </c>
    </row>
    <row r="7" spans="1:19">
      <c r="A7" s="235">
        <v>2009</v>
      </c>
      <c r="B7" s="292">
        <f>'Purchased Power Model'!AC38</f>
        <v>118414830</v>
      </c>
      <c r="C7" s="242">
        <f t="shared" si="0"/>
        <v>1.0796335435033315</v>
      </c>
      <c r="D7" s="243">
        <f t="shared" si="2"/>
        <v>109680577</v>
      </c>
      <c r="E7" s="291">
        <f>'[20]2005-2014'!I12</f>
        <v>44337599</v>
      </c>
      <c r="F7" s="292">
        <f>'[20]2005-2014'!L12</f>
        <v>20399815</v>
      </c>
      <c r="G7" s="292">
        <f>'[20]2005-2014'!O12</f>
        <v>43092665</v>
      </c>
      <c r="H7" s="292">
        <f>'[20]2005-2014'!U12</f>
        <v>1393923</v>
      </c>
      <c r="I7" s="292">
        <f>'[20]2005-2014'!R12</f>
        <v>108556</v>
      </c>
      <c r="J7" s="293">
        <f>'[20]2005-2014'!X12</f>
        <v>348019</v>
      </c>
      <c r="L7" s="246">
        <f t="shared" si="3"/>
        <v>0.98117344004665519</v>
      </c>
      <c r="M7" s="736">
        <f t="shared" si="4"/>
        <v>1</v>
      </c>
      <c r="N7" s="736">
        <f t="shared" si="5"/>
        <v>0.40424294084448514</v>
      </c>
      <c r="O7" s="736">
        <f t="shared" si="6"/>
        <v>0.18599295844331673</v>
      </c>
      <c r="P7" s="736">
        <f t="shared" si="7"/>
        <v>0.39289239880639942</v>
      </c>
      <c r="Q7" s="736">
        <f t="shared" si="8"/>
        <v>1.2708932047284908E-2</v>
      </c>
      <c r="R7" s="736">
        <f t="shared" si="9"/>
        <v>9.8974679901620141E-4</v>
      </c>
      <c r="S7" s="736">
        <f t="shared" si="10"/>
        <v>3.173023059497581E-3</v>
      </c>
    </row>
    <row r="8" spans="1:19">
      <c r="A8" s="235">
        <v>2010</v>
      </c>
      <c r="B8" s="292">
        <f>'Purchased Power Model'!AC39</f>
        <v>116592701</v>
      </c>
      <c r="C8" s="242">
        <f t="shared" si="0"/>
        <v>1.0811683120293523</v>
      </c>
      <c r="D8" s="243">
        <f t="shared" si="2"/>
        <v>107839547</v>
      </c>
      <c r="E8" s="291">
        <f>'[20]2005-2014'!I13</f>
        <v>44191614</v>
      </c>
      <c r="F8" s="292">
        <f>'[20]2005-2014'!L13</f>
        <v>20418777</v>
      </c>
      <c r="G8" s="292">
        <f>'[20]2005-2014'!O13</f>
        <v>41354016</v>
      </c>
      <c r="H8" s="292">
        <f>'[20]2005-2014'!U13</f>
        <v>1429699</v>
      </c>
      <c r="I8" s="292">
        <f>'[20]2005-2014'!R13</f>
        <v>108277</v>
      </c>
      <c r="J8" s="293">
        <f>'[20]2005-2014'!X13</f>
        <v>337164</v>
      </c>
      <c r="L8" s="246">
        <f t="shared" si="3"/>
        <v>0.98321462149127825</v>
      </c>
      <c r="M8" s="736">
        <f t="shared" si="4"/>
        <v>1</v>
      </c>
      <c r="N8" s="736">
        <f t="shared" si="5"/>
        <v>0.4097904268830061</v>
      </c>
      <c r="O8" s="736">
        <f t="shared" si="6"/>
        <v>0.18934405390260031</v>
      </c>
      <c r="P8" s="736">
        <f t="shared" si="7"/>
        <v>0.38347727851638697</v>
      </c>
      <c r="Q8" s="736">
        <f t="shared" si="8"/>
        <v>1.3257650275552438E-2</v>
      </c>
      <c r="R8" s="736">
        <f t="shared" si="9"/>
        <v>1.0040565174110013E-3</v>
      </c>
      <c r="S8" s="736">
        <f t="shared" si="10"/>
        <v>3.1265339050432026E-3</v>
      </c>
    </row>
    <row r="9" spans="1:19">
      <c r="A9" s="235">
        <v>2011</v>
      </c>
      <c r="B9" s="292">
        <f>'Purchased Power Model'!AC40</f>
        <v>118002442</v>
      </c>
      <c r="C9" s="242">
        <f t="shared" si="0"/>
        <v>1.0844748144207903</v>
      </c>
      <c r="D9" s="243">
        <f t="shared" si="2"/>
        <v>108810680</v>
      </c>
      <c r="E9" s="291">
        <f>'[20]2005-2014'!I14</f>
        <v>43287278</v>
      </c>
      <c r="F9" s="292">
        <f>'[20]2005-2014'!L14</f>
        <v>20434679</v>
      </c>
      <c r="G9" s="292">
        <f>'[20]2005-2014'!O14</f>
        <v>43031208</v>
      </c>
      <c r="H9" s="292">
        <f>'[20]2005-2014'!U14</f>
        <v>1453874</v>
      </c>
      <c r="I9" s="292">
        <f>'[20]2005-2014'!R14</f>
        <v>108262</v>
      </c>
      <c r="J9" s="293">
        <f>'[20]2005-2014'!X14</f>
        <v>495379</v>
      </c>
      <c r="L9" s="246">
        <f t="shared" si="3"/>
        <v>1.0090053512557875</v>
      </c>
      <c r="M9" s="736">
        <f t="shared" si="4"/>
        <v>1</v>
      </c>
      <c r="N9" s="736">
        <f t="shared" si="5"/>
        <v>0.39782196012376725</v>
      </c>
      <c r="O9" s="736">
        <f t="shared" si="6"/>
        <v>0.18780030599937433</v>
      </c>
      <c r="P9" s="736">
        <f t="shared" si="7"/>
        <v>0.39546860657428112</v>
      </c>
      <c r="Q9" s="736">
        <f t="shared" si="8"/>
        <v>1.3361500911491409E-2</v>
      </c>
      <c r="R9" s="736">
        <f t="shared" si="9"/>
        <v>9.9495748027675227E-4</v>
      </c>
      <c r="S9" s="736">
        <f t="shared" si="10"/>
        <v>4.5526689108091227E-3</v>
      </c>
    </row>
    <row r="10" spans="1:19">
      <c r="A10" s="235">
        <v>2012</v>
      </c>
      <c r="B10" s="292">
        <f>'Purchased Power Model'!AC41</f>
        <v>115281047</v>
      </c>
      <c r="C10" s="242">
        <f t="shared" si="0"/>
        <v>1.0834939346930714</v>
      </c>
      <c r="D10" s="243">
        <f>SUM(E10:J10)</f>
        <v>106397501</v>
      </c>
      <c r="E10" s="291">
        <f>'[20]2005-2014'!I15</f>
        <v>42116982</v>
      </c>
      <c r="F10" s="292">
        <f>'[20]2005-2014'!L15</f>
        <v>19669183</v>
      </c>
      <c r="G10" s="292">
        <f>'[20]2005-2014'!O15</f>
        <v>42549997</v>
      </c>
      <c r="H10" s="292">
        <f>'[20]2005-2014'!U15</f>
        <v>1453808</v>
      </c>
      <c r="I10" s="292">
        <f>'[20]2005-2014'!R15</f>
        <v>108266</v>
      </c>
      <c r="J10" s="293">
        <f>'[20]2005-2014'!X15</f>
        <v>499265</v>
      </c>
      <c r="L10" s="246">
        <f t="shared" si="3"/>
        <v>0.97782222296561327</v>
      </c>
      <c r="M10" s="736">
        <f t="shared" si="4"/>
        <v>1</v>
      </c>
      <c r="N10" s="736">
        <f t="shared" si="5"/>
        <v>0.39584559415544918</v>
      </c>
      <c r="O10" s="736">
        <f t="shared" si="6"/>
        <v>0.18486508437825058</v>
      </c>
      <c r="P10" s="736">
        <f t="shared" si="7"/>
        <v>0.39991537959148121</v>
      </c>
      <c r="Q10" s="736">
        <f t="shared" si="8"/>
        <v>1.3663929945121549E-2</v>
      </c>
      <c r="R10" s="736">
        <f t="shared" si="9"/>
        <v>1.0175614932910878E-3</v>
      </c>
      <c r="S10" s="736">
        <f t="shared" si="10"/>
        <v>4.6924504364063962E-3</v>
      </c>
    </row>
    <row r="11" spans="1:19">
      <c r="A11" s="235">
        <v>2013</v>
      </c>
      <c r="B11" s="292">
        <f>'Purchased Power Model'!AC42</f>
        <v>116595466</v>
      </c>
      <c r="C11" s="242">
        <f t="shared" si="0"/>
        <v>1.0877151768064881</v>
      </c>
      <c r="D11" s="243">
        <f t="shared" si="2"/>
        <v>107193012</v>
      </c>
      <c r="E11" s="291">
        <f>'[20]2005-2014'!I16</f>
        <v>42764838</v>
      </c>
      <c r="F11" s="292">
        <f>'[20]2005-2014'!L16</f>
        <v>20094189</v>
      </c>
      <c r="G11" s="292">
        <f>'[20]2005-2014'!O16</f>
        <v>42246503</v>
      </c>
      <c r="H11" s="292">
        <f>'[20]2005-2014'!U16</f>
        <v>1447303</v>
      </c>
      <c r="I11" s="292">
        <f>'[20]2005-2014'!R16</f>
        <v>108281</v>
      </c>
      <c r="J11" s="293">
        <f>'[20]2005-2014'!X16</f>
        <v>531898</v>
      </c>
      <c r="L11" s="246">
        <f t="shared" si="3"/>
        <v>1.0074767827488731</v>
      </c>
      <c r="M11" s="736">
        <f t="shared" si="4"/>
        <v>0.99999999999999989</v>
      </c>
      <c r="N11" s="736">
        <f t="shared" si="5"/>
        <v>0.3989517339059378</v>
      </c>
      <c r="O11" s="736">
        <f t="shared" si="6"/>
        <v>0.18745801265478015</v>
      </c>
      <c r="P11" s="736">
        <f t="shared" si="7"/>
        <v>0.39411620414211329</v>
      </c>
      <c r="Q11" s="736">
        <f t="shared" si="8"/>
        <v>1.3501840959558073E-2</v>
      </c>
      <c r="R11" s="736">
        <f t="shared" si="9"/>
        <v>1.0101498034218873E-3</v>
      </c>
      <c r="S11" s="736">
        <f t="shared" si="10"/>
        <v>4.9620585341887775E-3</v>
      </c>
    </row>
    <row r="12" spans="1:19">
      <c r="A12" s="235">
        <v>2014</v>
      </c>
      <c r="B12" s="624">
        <f>'Purchased Power Model'!AC43</f>
        <v>115948548</v>
      </c>
      <c r="C12" s="625">
        <f t="shared" si="0"/>
        <v>1.0776588339607704</v>
      </c>
      <c r="D12" s="626">
        <f t="shared" si="2"/>
        <v>107593001</v>
      </c>
      <c r="E12" s="627">
        <f>'[20]2005-2014'!I17</f>
        <v>42272228</v>
      </c>
      <c r="F12" s="624">
        <f>'[20]2005-2014'!L17</f>
        <v>20739791</v>
      </c>
      <c r="G12" s="624">
        <f>'[20]2005-2014'!O17</f>
        <v>42584416</v>
      </c>
      <c r="H12" s="624">
        <f>'[20]2005-2014'!U17</f>
        <v>1321505</v>
      </c>
      <c r="I12" s="624">
        <f>'[20]2005-2014'!R17</f>
        <v>109302</v>
      </c>
      <c r="J12" s="628">
        <f>'[20]2005-2014'!X17</f>
        <v>565759</v>
      </c>
      <c r="L12" s="246">
        <f t="shared" si="3"/>
        <v>1.0037314839142686</v>
      </c>
      <c r="M12" s="736">
        <f t="shared" si="4"/>
        <v>1</v>
      </c>
      <c r="N12" s="736">
        <f t="shared" si="5"/>
        <v>0.39289012860604194</v>
      </c>
      <c r="O12" s="736">
        <f t="shared" si="6"/>
        <v>0.19276152544532149</v>
      </c>
      <c r="P12" s="736">
        <f t="shared" si="7"/>
        <v>0.39579169280723009</v>
      </c>
      <c r="Q12" s="736">
        <f t="shared" si="8"/>
        <v>1.2282443911012389E-2</v>
      </c>
      <c r="R12" s="736">
        <f t="shared" si="9"/>
        <v>1.0158839235277024E-3</v>
      </c>
      <c r="S12" s="736">
        <f t="shared" si="10"/>
        <v>5.2583253068663825E-3</v>
      </c>
    </row>
    <row r="13" spans="1:19">
      <c r="A13" s="235">
        <v>2015</v>
      </c>
      <c r="B13" s="624">
        <f>'Purchased Power Model'!AC44</f>
        <v>112684777.95</v>
      </c>
      <c r="C13" s="625">
        <f t="shared" si="0"/>
        <v>1.0812693363318981</v>
      </c>
      <c r="D13" s="243">
        <f t="shared" si="2"/>
        <v>104215271.962</v>
      </c>
      <c r="E13" s="621">
        <f>'[20]2005-2014'!$D$109</f>
        <v>40938310.960000001</v>
      </c>
      <c r="F13" s="622">
        <f>'[20]2005-2014'!$D$110</f>
        <v>20653133.002</v>
      </c>
      <c r="G13" s="622">
        <f>'[20]2005-2014'!$D$111</f>
        <v>40918077</v>
      </c>
      <c r="H13" s="622">
        <f>'[20]2005-2014'!$D$112</f>
        <v>1052678</v>
      </c>
      <c r="I13" s="622">
        <f>'[20]2005-2014'!$D$113</f>
        <v>109502</v>
      </c>
      <c r="J13" s="623">
        <f>'[20]2005-2014'!$D$114</f>
        <v>543571</v>
      </c>
      <c r="L13" s="246">
        <f t="shared" si="3"/>
        <v>0.96860642414835141</v>
      </c>
      <c r="M13" s="736">
        <f t="shared" si="4"/>
        <v>1</v>
      </c>
      <c r="N13" s="736">
        <f t="shared" si="5"/>
        <v>0.39282448905307593</v>
      </c>
      <c r="O13" s="736">
        <f t="shared" si="6"/>
        <v>0.19817760500141238</v>
      </c>
      <c r="P13" s="736">
        <f t="shared" si="7"/>
        <v>0.39263033363209909</v>
      </c>
      <c r="Q13" s="736">
        <f t="shared" si="8"/>
        <v>1.0100995566022586E-2</v>
      </c>
      <c r="R13" s="736">
        <f t="shared" si="9"/>
        <v>1.0507289185017691E-3</v>
      </c>
      <c r="S13" s="736">
        <f t="shared" si="10"/>
        <v>5.2158478288882862E-3</v>
      </c>
    </row>
    <row r="14" spans="1:19">
      <c r="A14" s="235">
        <v>2016</v>
      </c>
      <c r="B14" s="624">
        <f>'Purchased Power Model'!AC45</f>
        <v>109734363.34999999</v>
      </c>
      <c r="C14" s="625">
        <f t="shared" si="0"/>
        <v>1.0788837355221144</v>
      </c>
      <c r="D14" s="243">
        <f t="shared" si="2"/>
        <v>101711018.28400001</v>
      </c>
      <c r="E14" s="291">
        <v>40480043.329000004</v>
      </c>
      <c r="F14" s="291">
        <v>20348622.955000002</v>
      </c>
      <c r="G14" s="291">
        <v>39456019</v>
      </c>
      <c r="H14" s="291">
        <v>773158</v>
      </c>
      <c r="I14" s="291">
        <v>106791</v>
      </c>
      <c r="J14" s="291">
        <v>546384</v>
      </c>
      <c r="L14" s="246">
        <f t="shared" si="3"/>
        <v>0.97597037717357671</v>
      </c>
      <c r="M14" s="246"/>
      <c r="N14" s="736"/>
    </row>
    <row r="15" spans="1:19">
      <c r="A15" s="1168" t="s">
        <v>554</v>
      </c>
      <c r="B15" s="1156">
        <f>'Purchased Power Model'!AC61</f>
        <v>111387474.08147961</v>
      </c>
      <c r="C15" s="1157">
        <f>C17</f>
        <v>1.0819000000000001</v>
      </c>
      <c r="D15" s="1156">
        <f>B15/C15</f>
        <v>102955424.79108939</v>
      </c>
      <c r="H15" s="244"/>
      <c r="L15" s="246"/>
      <c r="M15" s="246"/>
      <c r="N15" s="736"/>
    </row>
    <row r="16" spans="1:19">
      <c r="B16" s="240"/>
      <c r="D16" s="249"/>
      <c r="E16" s="545"/>
      <c r="H16" s="244"/>
    </row>
    <row r="17" spans="1:10">
      <c r="A17" s="250" t="s">
        <v>49</v>
      </c>
      <c r="B17" s="240"/>
      <c r="C17" s="286">
        <f>C19</f>
        <v>1.0819000000000001</v>
      </c>
      <c r="D17" s="287" t="str">
        <f>D19</f>
        <v xml:space="preserve">5 year average from Appendix </v>
      </c>
      <c r="F17" s="545"/>
      <c r="H17" s="244"/>
    </row>
    <row r="18" spans="1:10">
      <c r="A18" s="250" t="s">
        <v>8</v>
      </c>
      <c r="C18" s="546">
        <f>ROUND(AVERAGE(C10:C14),4)</f>
        <v>1.0818000000000001</v>
      </c>
      <c r="D18" s="252" t="s">
        <v>183</v>
      </c>
      <c r="E18" s="252"/>
    </row>
    <row r="19" spans="1:10">
      <c r="A19" s="250"/>
      <c r="C19" s="546">
        <f>ROUND('App.2-R_Loss Factors'!$H$27,4)</f>
        <v>1.0819000000000001</v>
      </c>
      <c r="D19" s="252" t="s">
        <v>184</v>
      </c>
      <c r="E19" s="252"/>
    </row>
    <row r="20" spans="1:10">
      <c r="C20" s="546">
        <f>ROUND(AVERAGE(C4:C14),4)</f>
        <v>1.0833999999999999</v>
      </c>
      <c r="D20" s="252" t="s">
        <v>552</v>
      </c>
    </row>
    <row r="22" spans="1:10">
      <c r="A22" s="253" t="s">
        <v>10</v>
      </c>
      <c r="B22" s="254"/>
      <c r="D22" s="246"/>
      <c r="E22" s="249"/>
      <c r="F22" s="249"/>
      <c r="G22" s="249"/>
      <c r="H22" s="249"/>
      <c r="I22" s="249"/>
      <c r="J22" s="249"/>
    </row>
    <row r="23" spans="1:10">
      <c r="A23" s="235">
        <f t="shared" ref="A23:A35" si="11">A3</f>
        <v>2005</v>
      </c>
      <c r="D23" s="246"/>
      <c r="E23" s="794">
        <f>E3/'Rate Class Customer Model'!B4</f>
        <v>9417.6355708781175</v>
      </c>
      <c r="F23" s="794">
        <f>F3/'Rate Class Customer Model'!C4</f>
        <v>30507.472727272729</v>
      </c>
      <c r="G23" s="794">
        <f>G3/'Rate Class Customer Model'!D4</f>
        <v>816168.95522388059</v>
      </c>
      <c r="H23" s="794">
        <f>H3/'Rate Class Customer Model'!E4</f>
        <v>832.55113288426207</v>
      </c>
      <c r="I23" s="794">
        <f>I3/'Rate Class Customer Model'!F4</f>
        <v>1694.3571428571429</v>
      </c>
      <c r="J23" s="794">
        <f>J3/'Rate Class Customer Model'!G4</f>
        <v>5497.7959183673465</v>
      </c>
    </row>
    <row r="24" spans="1:10">
      <c r="A24" s="235">
        <f t="shared" si="11"/>
        <v>2006</v>
      </c>
      <c r="D24" s="246"/>
      <c r="E24" s="794">
        <f>E4/'Rate Class Customer Model'!B5</f>
        <v>8956.204151551794</v>
      </c>
      <c r="F24" s="794">
        <f>F4/'Rate Class Customer Model'!C5</f>
        <v>28819.747081712063</v>
      </c>
      <c r="G24" s="794">
        <f>G4/'Rate Class Customer Model'!D5</f>
        <v>744698.84615384613</v>
      </c>
      <c r="H24" s="794">
        <f>H4/'Rate Class Customer Model'!E5</f>
        <v>817.43631931748939</v>
      </c>
      <c r="I24" s="794">
        <f>I4/'Rate Class Customer Model'!F5</f>
        <v>1528.2686567164178</v>
      </c>
      <c r="J24" s="794">
        <f>J4/'Rate Class Customer Model'!G5</f>
        <v>6089.86</v>
      </c>
    </row>
    <row r="25" spans="1:10">
      <c r="A25" s="235">
        <f t="shared" si="11"/>
        <v>2007</v>
      </c>
      <c r="C25" s="240"/>
      <c r="D25" s="246"/>
      <c r="E25" s="794">
        <f>E5/'Rate Class Customer Model'!B6</f>
        <v>9077.2067646466676</v>
      </c>
      <c r="F25" s="794">
        <f>F5/'Rate Class Customer Model'!C6</f>
        <v>28520.519132653062</v>
      </c>
      <c r="G25" s="794">
        <f>G5/'Rate Class Customer Model'!D6</f>
        <v>688217.18461538467</v>
      </c>
      <c r="H25" s="794">
        <f>H5/'Rate Class Customer Model'!E6</f>
        <v>846.91301703163015</v>
      </c>
      <c r="I25" s="794">
        <f>I5/'Rate Class Customer Model'!F6</f>
        <v>1536.313432835821</v>
      </c>
      <c r="J25" s="794">
        <f>J5/'Rate Class Customer Model'!G6</f>
        <v>6723.25</v>
      </c>
    </row>
    <row r="26" spans="1:10">
      <c r="A26" s="235">
        <f t="shared" si="11"/>
        <v>2008</v>
      </c>
      <c r="D26" s="246"/>
      <c r="E26" s="794">
        <f>E6/'Rate Class Customer Model'!B7</f>
        <v>8953.9339508658886</v>
      </c>
      <c r="F26" s="794">
        <f>F6/'Rate Class Customer Model'!C7</f>
        <v>27146.471722365037</v>
      </c>
      <c r="G26" s="794">
        <f>G6/'Rate Class Customer Model'!D7</f>
        <v>672452.30303030298</v>
      </c>
      <c r="H26" s="794">
        <f>H6/'Rate Class Customer Model'!E7</f>
        <v>851.69028711056808</v>
      </c>
      <c r="I26" s="794">
        <f>I6/'Rate Class Customer Model'!F7</f>
        <v>1494.9402985074628</v>
      </c>
      <c r="J26" s="794">
        <f>J6/'Rate Class Customer Model'!G7</f>
        <v>6605.8163265306121</v>
      </c>
    </row>
    <row r="27" spans="1:10">
      <c r="A27" s="235">
        <f t="shared" si="11"/>
        <v>2009</v>
      </c>
      <c r="D27" s="246"/>
      <c r="E27" s="794">
        <f>E7/'Rate Class Customer Model'!B8</f>
        <v>8913.871934057097</v>
      </c>
      <c r="F27" s="794">
        <f>F7/'Rate Class Customer Model'!C8</f>
        <v>26356.350129198967</v>
      </c>
      <c r="G27" s="794">
        <f>G7/'Rate Class Customer Model'!D8</f>
        <v>652919.16666666663</v>
      </c>
      <c r="H27" s="794">
        <f>H7/'Rate Class Customer Model'!E8</f>
        <v>849.95304878048785</v>
      </c>
      <c r="I27" s="794">
        <f>I7/'Rate Class Customer Model'!F8</f>
        <v>1447.4133333333334</v>
      </c>
      <c r="J27" s="794">
        <f>J7/'Rate Class Customer Model'!G8</f>
        <v>7102.4285714285716</v>
      </c>
    </row>
    <row r="28" spans="1:10">
      <c r="A28" s="235">
        <f t="shared" si="11"/>
        <v>2010</v>
      </c>
      <c r="D28" s="246"/>
      <c r="E28" s="794">
        <f>E8/'Rate Class Customer Model'!B9</f>
        <v>8870.2557205941393</v>
      </c>
      <c r="F28" s="794">
        <f>F8/'Rate Class Customer Model'!C9</f>
        <v>26517.892207792207</v>
      </c>
      <c r="G28" s="794">
        <f>G8/'Rate Class Customer Model'!D9</f>
        <v>626576</v>
      </c>
      <c r="H28" s="794">
        <f>H8/'Rate Class Customer Model'!E9</f>
        <v>840.50499706055257</v>
      </c>
      <c r="I28" s="794">
        <f>I8/'Rate Class Customer Model'!F9</f>
        <v>1443.6933333333334</v>
      </c>
      <c r="J28" s="794">
        <f>J8/'Rate Class Customer Model'!G9</f>
        <v>7024.25</v>
      </c>
    </row>
    <row r="29" spans="1:10">
      <c r="A29" s="235">
        <f t="shared" si="11"/>
        <v>2011</v>
      </c>
      <c r="D29" s="246"/>
      <c r="E29" s="794">
        <f>E9/'Rate Class Customer Model'!B10</f>
        <v>8650.5351718625097</v>
      </c>
      <c r="F29" s="794">
        <f>F9/'Rate Class Customer Model'!C10</f>
        <v>26573.054616384914</v>
      </c>
      <c r="G29" s="794">
        <f>G9/'Rate Class Customer Model'!D10</f>
        <v>651988</v>
      </c>
      <c r="H29" s="794">
        <f>H9/'Rate Class Customer Model'!E10</f>
        <v>853.71344685848499</v>
      </c>
      <c r="I29" s="794">
        <f>I9/'Rate Class Customer Model'!F10</f>
        <v>1443.4933333333333</v>
      </c>
      <c r="J29" s="794">
        <f>J9/'Rate Class Customer Model'!G10</f>
        <v>8396.2542372881362</v>
      </c>
    </row>
    <row r="30" spans="1:10">
      <c r="A30" s="235">
        <f t="shared" si="11"/>
        <v>2012</v>
      </c>
      <c r="D30" s="246"/>
      <c r="E30" s="794">
        <f>E10/'Rate Class Customer Model'!B11</f>
        <v>8381.4889552238801</v>
      </c>
      <c r="F30" s="794">
        <f>F10/'Rate Class Customer Model'!C11</f>
        <v>25544.393506493507</v>
      </c>
      <c r="G30" s="794">
        <f>G10/'Rate Class Customer Model'!D11</f>
        <v>635074.58208955219</v>
      </c>
      <c r="H30" s="794">
        <f>H10/'Rate Class Customer Model'!E11</f>
        <v>853.67469172049323</v>
      </c>
      <c r="I30" s="794">
        <f>I10/'Rate Class Customer Model'!F11</f>
        <v>1443.5466666666666</v>
      </c>
      <c r="J30" s="794">
        <f>J10/'Rate Class Customer Model'!G11</f>
        <v>8321.0833333333339</v>
      </c>
    </row>
    <row r="31" spans="1:10">
      <c r="A31" s="235">
        <f t="shared" si="11"/>
        <v>2013</v>
      </c>
      <c r="D31" s="246"/>
      <c r="E31" s="794">
        <f>E11/'Rate Class Customer Model'!B12</f>
        <v>8493.5130089374379</v>
      </c>
      <c r="F31" s="794">
        <f>F11/'Rate Class Customer Model'!C12</f>
        <v>26474.557312252964</v>
      </c>
      <c r="G31" s="794">
        <f>G11/'Rate Class Customer Model'!D12</f>
        <v>649946.19999999995</v>
      </c>
      <c r="H31" s="794">
        <f>H11/'Rate Class Customer Model'!E12</f>
        <v>847.86350322202691</v>
      </c>
      <c r="I31" s="794">
        <f>I11/'Rate Class Customer Model'!F12</f>
        <v>1443.7466666666667</v>
      </c>
      <c r="J31" s="794">
        <f>J11/'Rate Class Customer Model'!G12</f>
        <v>8719.6393442622957</v>
      </c>
    </row>
    <row r="32" spans="1:10">
      <c r="A32" s="235">
        <f t="shared" si="11"/>
        <v>2014</v>
      </c>
      <c r="D32" s="246"/>
      <c r="E32" s="794">
        <f>E12/'Rate Class Customer Model'!B13</f>
        <v>8387.3468253968258</v>
      </c>
      <c r="F32" s="794">
        <f>F12/'Rate Class Customer Model'!C13</f>
        <v>27506.354111405835</v>
      </c>
      <c r="G32" s="794">
        <f>G12/'Rate Class Customer Model'!D13</f>
        <v>665381.5</v>
      </c>
      <c r="H32" s="794">
        <f>H12/'Rate Class Customer Model'!E13</f>
        <v>774.1681312243702</v>
      </c>
      <c r="I32" s="794">
        <f>I12/'Rate Class Customer Model'!F13</f>
        <v>1457.36</v>
      </c>
      <c r="J32" s="794">
        <f>J12/'Rate Class Customer Model'!G13</f>
        <v>9274.7377049180323</v>
      </c>
    </row>
    <row r="33" spans="1:20">
      <c r="A33" s="235">
        <f t="shared" si="11"/>
        <v>2015</v>
      </c>
      <c r="D33" s="246"/>
      <c r="E33" s="794">
        <f>E13/'Rate Class Customer Model'!B14</f>
        <v>8100.1802453502178</v>
      </c>
      <c r="F33" s="794">
        <f>F13/'Rate Class Customer Model'!C14</f>
        <v>27834.411053908356</v>
      </c>
      <c r="G33" s="794">
        <f>G13/'Rate Class Customer Model'!D14</f>
        <v>639344.953125</v>
      </c>
      <c r="H33" s="794">
        <f>H13/'Rate Class Customer Model'!E14</f>
        <v>615.24137931034488</v>
      </c>
      <c r="I33" s="794">
        <f>I13/'Rate Class Customer Model'!F14</f>
        <v>1460.0266666666666</v>
      </c>
      <c r="J33" s="794">
        <f>J13/'Rate Class Customer Model'!G14</f>
        <v>9213.0677966101703</v>
      </c>
    </row>
    <row r="34" spans="1:20">
      <c r="A34" s="235">
        <f t="shared" si="11"/>
        <v>2016</v>
      </c>
      <c r="D34" s="246"/>
      <c r="E34" s="1164">
        <f>E14/'Rate Class Customer Model'!B15</f>
        <v>7982.6549652928425</v>
      </c>
      <c r="F34" s="1164">
        <f>F14/'Rate Class Customer Model'!C15</f>
        <v>27498.139128378381</v>
      </c>
      <c r="G34" s="1164">
        <f>G14/'Rate Class Customer Model'!D15</f>
        <v>616500.296875</v>
      </c>
      <c r="H34" s="1164">
        <f>H14/'Rate Class Customer Model'!E15</f>
        <v>451.87492694330803</v>
      </c>
      <c r="I34" s="1164">
        <f>I14/'Rate Class Customer Model'!F15</f>
        <v>1462.8904109589041</v>
      </c>
      <c r="J34" s="1164">
        <f>J14/'Rate Class Customer Model'!G15</f>
        <v>9420.4137931034475</v>
      </c>
    </row>
    <row r="35" spans="1:20">
      <c r="A35" s="235" t="str">
        <f t="shared" si="11"/>
        <v>2017 Forecast 2017</v>
      </c>
      <c r="D35" s="246"/>
      <c r="E35" s="285">
        <f t="shared" ref="E35:J35" si="12">E34*E50</f>
        <v>7863.5849598613459</v>
      </c>
      <c r="F35" s="285">
        <f t="shared" si="12"/>
        <v>27239.745076241532</v>
      </c>
      <c r="G35" s="285">
        <f t="shared" si="12"/>
        <v>600974.86689407646</v>
      </c>
      <c r="H35" s="285">
        <f t="shared" si="12"/>
        <v>427.45621698745293</v>
      </c>
      <c r="I35" s="285">
        <f t="shared" si="12"/>
        <v>1443.4854630434315</v>
      </c>
      <c r="J35" s="285">
        <f t="shared" si="12"/>
        <v>9893.0891335415763</v>
      </c>
    </row>
    <row r="37" spans="1:20">
      <c r="A37" s="255" t="s">
        <v>185</v>
      </c>
    </row>
    <row r="38" spans="1:20">
      <c r="A38" s="256">
        <v>2006</v>
      </c>
      <c r="E38" s="245">
        <f t="shared" ref="E38:J45" si="13">E24/E23</f>
        <v>0.95100347472000357</v>
      </c>
      <c r="F38" s="245">
        <f t="shared" si="13"/>
        <v>0.94467828716431523</v>
      </c>
      <c r="G38" s="245">
        <f t="shared" si="13"/>
        <v>0.9124322131923901</v>
      </c>
      <c r="H38" s="245">
        <f t="shared" si="13"/>
        <v>0.98184518287254086</v>
      </c>
      <c r="I38" s="245">
        <f t="shared" si="13"/>
        <v>0.90197551511444918</v>
      </c>
      <c r="J38" s="245">
        <f t="shared" si="13"/>
        <v>1.107691171230029</v>
      </c>
      <c r="L38" s="257"/>
      <c r="M38" s="257"/>
      <c r="N38" s="257"/>
      <c r="O38" s="257"/>
      <c r="P38" s="257"/>
      <c r="Q38" s="257"/>
      <c r="R38" s="257"/>
      <c r="S38" s="257"/>
      <c r="T38" s="257"/>
    </row>
    <row r="39" spans="1:20">
      <c r="A39" s="256">
        <v>2007</v>
      </c>
      <c r="E39" s="245">
        <f t="shared" si="13"/>
        <v>1.0135104795566667</v>
      </c>
      <c r="F39" s="245">
        <f t="shared" si="13"/>
        <v>0.9896172597139522</v>
      </c>
      <c r="G39" s="245">
        <f t="shared" si="13"/>
        <v>0.92415503014383216</v>
      </c>
      <c r="H39" s="245">
        <f t="shared" si="13"/>
        <v>1.03605993154152</v>
      </c>
      <c r="I39" s="245">
        <f t="shared" si="13"/>
        <v>1.0052639803113466</v>
      </c>
      <c r="J39" s="245">
        <f t="shared" si="13"/>
        <v>1.1040073170811808</v>
      </c>
      <c r="L39" s="257"/>
      <c r="M39" s="257"/>
      <c r="N39" s="257"/>
      <c r="O39" s="257"/>
      <c r="P39" s="257"/>
      <c r="Q39" s="257"/>
      <c r="R39" s="257"/>
      <c r="S39" s="257"/>
      <c r="T39" s="257"/>
    </row>
    <row r="40" spans="1:20">
      <c r="A40" s="256">
        <v>2008</v>
      </c>
      <c r="E40" s="245">
        <f t="shared" si="13"/>
        <v>0.98641952122751086</v>
      </c>
      <c r="F40" s="245">
        <f t="shared" si="13"/>
        <v>0.9518224965016544</v>
      </c>
      <c r="G40" s="245">
        <f t="shared" si="13"/>
        <v>0.97709315905284755</v>
      </c>
      <c r="H40" s="245">
        <f t="shared" si="13"/>
        <v>1.0056408036986868</v>
      </c>
      <c r="I40" s="245">
        <f t="shared" si="13"/>
        <v>0.97306986097752912</v>
      </c>
      <c r="J40" s="245">
        <f t="shared" si="13"/>
        <v>0.98253319845768228</v>
      </c>
      <c r="L40" s="257"/>
      <c r="M40" s="257"/>
      <c r="N40" s="257"/>
      <c r="O40" s="257"/>
      <c r="P40" s="257"/>
      <c r="Q40" s="257"/>
      <c r="R40" s="257"/>
      <c r="S40" s="257"/>
      <c r="T40" s="257"/>
    </row>
    <row r="41" spans="1:20">
      <c r="A41" s="256">
        <v>2009</v>
      </c>
      <c r="E41" s="245">
        <f t="shared" si="13"/>
        <v>0.99552576364437917</v>
      </c>
      <c r="F41" s="245">
        <f t="shared" si="13"/>
        <v>0.9708941330848857</v>
      </c>
      <c r="G41" s="245">
        <f t="shared" si="13"/>
        <v>0.97095238387077676</v>
      </c>
      <c r="H41" s="245">
        <f t="shared" si="13"/>
        <v>0.99796024639898862</v>
      </c>
      <c r="I41" s="245">
        <f t="shared" si="13"/>
        <v>0.96820811826292996</v>
      </c>
      <c r="J41" s="245">
        <f t="shared" si="13"/>
        <v>1.0751780280210699</v>
      </c>
      <c r="L41" s="257"/>
      <c r="M41" s="257"/>
      <c r="N41" s="257"/>
      <c r="O41" s="257"/>
      <c r="P41" s="257"/>
      <c r="Q41" s="257"/>
      <c r="R41" s="257"/>
      <c r="S41" s="257"/>
      <c r="T41" s="257"/>
    </row>
    <row r="42" spans="1:20">
      <c r="A42" s="256">
        <v>2010</v>
      </c>
      <c r="E42" s="245">
        <f t="shared" si="13"/>
        <v>0.99510692841611137</v>
      </c>
      <c r="F42" s="245">
        <f t="shared" si="13"/>
        <v>1.0061291520943287</v>
      </c>
      <c r="G42" s="245">
        <f t="shared" si="13"/>
        <v>0.95965324957275222</v>
      </c>
      <c r="H42" s="245">
        <f t="shared" si="13"/>
        <v>0.98888403102560629</v>
      </c>
      <c r="I42" s="245">
        <f t="shared" si="13"/>
        <v>0.99742989793286407</v>
      </c>
      <c r="J42" s="245">
        <f t="shared" si="13"/>
        <v>0.98899269867449768</v>
      </c>
      <c r="L42" s="257"/>
      <c r="M42" s="257"/>
      <c r="N42" s="257"/>
      <c r="O42" s="257"/>
      <c r="P42" s="257"/>
      <c r="Q42" s="257"/>
      <c r="R42" s="257"/>
      <c r="S42" s="257"/>
      <c r="T42" s="257"/>
    </row>
    <row r="43" spans="1:20">
      <c r="A43" s="256">
        <v>2011</v>
      </c>
      <c r="E43" s="245">
        <f t="shared" si="13"/>
        <v>0.97522951359547583</v>
      </c>
      <c r="F43" s="245">
        <f t="shared" si="13"/>
        <v>1.0020801958225207</v>
      </c>
      <c r="G43" s="245">
        <f t="shared" si="13"/>
        <v>1.0405569316411736</v>
      </c>
      <c r="H43" s="245">
        <f t="shared" si="13"/>
        <v>1.0157148974058756</v>
      </c>
      <c r="I43" s="245">
        <f t="shared" si="13"/>
        <v>0.99986146642407892</v>
      </c>
      <c r="J43" s="245">
        <f t="shared" si="13"/>
        <v>1.1953239473663575</v>
      </c>
      <c r="L43" s="257"/>
      <c r="M43" s="257"/>
      <c r="N43" s="257"/>
      <c r="O43" s="257"/>
      <c r="P43" s="257"/>
      <c r="Q43" s="257"/>
      <c r="R43" s="257"/>
      <c r="S43" s="257"/>
      <c r="T43" s="257"/>
    </row>
    <row r="44" spans="1:20">
      <c r="A44" s="256">
        <v>2012</v>
      </c>
      <c r="E44" s="245">
        <f t="shared" si="13"/>
        <v>0.96889831538819093</v>
      </c>
      <c r="F44" s="245">
        <f t="shared" si="13"/>
        <v>0.96128931638679072</v>
      </c>
      <c r="G44" s="245">
        <f t="shared" si="13"/>
        <v>0.97405869753669116</v>
      </c>
      <c r="H44" s="245">
        <f t="shared" si="13"/>
        <v>0.99995460404409187</v>
      </c>
      <c r="I44" s="245">
        <f t="shared" si="13"/>
        <v>1.0000369474053685</v>
      </c>
      <c r="J44" s="245">
        <f t="shared" si="13"/>
        <v>0.99104709054414231</v>
      </c>
      <c r="L44" s="257"/>
      <c r="M44" s="257"/>
      <c r="N44" s="257"/>
      <c r="O44" s="257"/>
      <c r="P44" s="257"/>
      <c r="Q44" s="257"/>
      <c r="R44" s="257"/>
      <c r="S44" s="257"/>
      <c r="T44" s="257"/>
    </row>
    <row r="45" spans="1:20">
      <c r="A45" s="256">
        <v>2013</v>
      </c>
      <c r="E45" s="245">
        <f t="shared" si="13"/>
        <v>1.0133656506990607</v>
      </c>
      <c r="F45" s="245">
        <f t="shared" si="13"/>
        <v>1.0364136187270605</v>
      </c>
      <c r="G45" s="245">
        <f t="shared" si="13"/>
        <v>1.023417120334932</v>
      </c>
      <c r="H45" s="245">
        <f t="shared" si="13"/>
        <v>0.99319273658358731</v>
      </c>
      <c r="I45" s="245">
        <f t="shared" si="13"/>
        <v>1.0001385476511555</v>
      </c>
      <c r="J45" s="245">
        <f t="shared" si="13"/>
        <v>1.0478971300927118</v>
      </c>
      <c r="L45" s="257"/>
      <c r="M45" s="257"/>
      <c r="N45" s="257"/>
      <c r="O45" s="257"/>
      <c r="P45" s="257"/>
      <c r="Q45" s="245"/>
      <c r="R45" s="257"/>
      <c r="S45" s="257"/>
      <c r="T45" s="257"/>
    </row>
    <row r="46" spans="1:20">
      <c r="A46" s="256">
        <v>2014</v>
      </c>
      <c r="E46" s="245">
        <f t="shared" ref="E46:J46" si="14">E32/E31</f>
        <v>0.98750032131240661</v>
      </c>
      <c r="F46" s="245">
        <f t="shared" si="14"/>
        <v>1.0389731464433338</v>
      </c>
      <c r="G46" s="245">
        <f t="shared" si="14"/>
        <v>1.0237485810363998</v>
      </c>
      <c r="H46" s="245">
        <f t="shared" si="14"/>
        <v>0.91308108944706123</v>
      </c>
      <c r="I46" s="245">
        <f t="shared" si="14"/>
        <v>1.0094291703992389</v>
      </c>
      <c r="J46" s="245">
        <f t="shared" si="14"/>
        <v>1.0636607018638911</v>
      </c>
      <c r="K46" s="252"/>
      <c r="L46" s="257"/>
      <c r="M46" s="257"/>
      <c r="N46" s="257"/>
      <c r="O46" s="257"/>
      <c r="P46" s="257"/>
      <c r="Q46" s="257"/>
      <c r="R46" s="257"/>
      <c r="S46" s="257"/>
      <c r="T46" s="257"/>
    </row>
    <row r="47" spans="1:20">
      <c r="A47" s="256">
        <v>2015</v>
      </c>
      <c r="E47" s="245">
        <f t="shared" ref="E47:J47" si="15">E33/E32</f>
        <v>0.96576192853059684</v>
      </c>
      <c r="F47" s="245">
        <f t="shared" si="15"/>
        <v>1.0119265876231298</v>
      </c>
      <c r="G47" s="245">
        <f t="shared" si="15"/>
        <v>0.96086974634100886</v>
      </c>
      <c r="H47" s="245">
        <f t="shared" si="15"/>
        <v>0.79471287243162814</v>
      </c>
      <c r="I47" s="245">
        <f t="shared" si="15"/>
        <v>1.0018297926844888</v>
      </c>
      <c r="J47" s="245">
        <f t="shared" si="15"/>
        <v>0.99335076524318733</v>
      </c>
      <c r="K47" s="252"/>
      <c r="L47" s="257"/>
      <c r="M47" s="257"/>
      <c r="N47" s="257"/>
      <c r="O47" s="257"/>
      <c r="P47" s="257"/>
      <c r="Q47" s="257"/>
      <c r="R47" s="257"/>
      <c r="S47" s="257"/>
      <c r="T47" s="257"/>
    </row>
    <row r="48" spans="1:20">
      <c r="A48" s="256">
        <v>2016</v>
      </c>
      <c r="E48" s="245">
        <f t="shared" ref="E48:J48" si="16">E34/E33</f>
        <v>0.98549102902681218</v>
      </c>
      <c r="F48" s="245">
        <f t="shared" si="16"/>
        <v>0.98791884172154032</v>
      </c>
      <c r="G48" s="245">
        <f t="shared" si="16"/>
        <v>0.96426865319208432</v>
      </c>
      <c r="H48" s="245">
        <f t="shared" si="16"/>
        <v>0.73446770997399013</v>
      </c>
      <c r="I48" s="245">
        <f t="shared" si="16"/>
        <v>1.0019614328680555</v>
      </c>
      <c r="J48" s="245">
        <f t="shared" si="16"/>
        <v>1.022505641016727</v>
      </c>
      <c r="K48" s="252"/>
      <c r="L48" s="257"/>
      <c r="M48" s="257"/>
      <c r="N48" s="257"/>
      <c r="O48" s="257"/>
      <c r="P48" s="257"/>
      <c r="Q48" s="257"/>
      <c r="R48" s="257"/>
      <c r="S48" s="257"/>
      <c r="T48" s="257"/>
    </row>
    <row r="49" spans="1:20">
      <c r="C49" s="240"/>
      <c r="K49" s="252" t="s">
        <v>186</v>
      </c>
    </row>
    <row r="50" spans="1:20">
      <c r="A50" s="255" t="s">
        <v>13</v>
      </c>
      <c r="D50" s="285" t="str">
        <f t="shared" ref="D50:J50" si="17">D52</f>
        <v>12 year</v>
      </c>
      <c r="E50" s="548">
        <f t="shared" si="17"/>
        <v>0.98508390930721779</v>
      </c>
      <c r="F50" s="548">
        <f t="shared" si="17"/>
        <v>0.99060321678748864</v>
      </c>
      <c r="G50" s="548">
        <f t="shared" si="17"/>
        <v>0.97481683292024202</v>
      </c>
      <c r="H50" s="548">
        <f t="shared" si="17"/>
        <v>0.94596135235686873</v>
      </c>
      <c r="I50" s="548">
        <f t="shared" si="17"/>
        <v>0.98673520055220476</v>
      </c>
      <c r="J50" s="548">
        <f t="shared" si="17"/>
        <v>1.050175645233776</v>
      </c>
      <c r="K50" s="252" t="s">
        <v>293</v>
      </c>
    </row>
    <row r="51" spans="1:20">
      <c r="A51" s="258"/>
      <c r="E51" s="254"/>
      <c r="F51" s="254"/>
      <c r="I51" s="244"/>
      <c r="J51" s="244"/>
      <c r="K51" s="252" t="s">
        <v>298</v>
      </c>
    </row>
    <row r="52" spans="1:20">
      <c r="A52" s="235" t="s">
        <v>9</v>
      </c>
      <c r="D52" s="244" t="s">
        <v>553</v>
      </c>
      <c r="E52" s="245">
        <f t="shared" ref="E52:J52" si="18">GEOMEAN(E38:E48)</f>
        <v>0.98508390930721779</v>
      </c>
      <c r="F52" s="245">
        <f t="shared" si="18"/>
        <v>0.99060321678748864</v>
      </c>
      <c r="G52" s="245">
        <f t="shared" si="18"/>
        <v>0.97481683292024202</v>
      </c>
      <c r="H52" s="245">
        <f t="shared" si="18"/>
        <v>0.94596135235686873</v>
      </c>
      <c r="I52" s="245">
        <f t="shared" si="18"/>
        <v>0.98673520055220476</v>
      </c>
      <c r="J52" s="245">
        <f t="shared" si="18"/>
        <v>1.050175645233776</v>
      </c>
      <c r="K52" s="252" t="s">
        <v>187</v>
      </c>
      <c r="M52" s="257"/>
      <c r="N52" s="257"/>
      <c r="O52" s="257"/>
      <c r="P52" s="257"/>
      <c r="Q52" s="257"/>
      <c r="R52" s="257"/>
      <c r="S52" s="257"/>
      <c r="T52" s="257"/>
    </row>
    <row r="53" spans="1:20">
      <c r="D53" s="244" t="s">
        <v>188</v>
      </c>
      <c r="E53" s="245">
        <f t="shared" ref="E53:J53" si="19">GEOMEAN(E44:E48)</f>
        <v>0.98405840795597255</v>
      </c>
      <c r="F53" s="245">
        <f t="shared" si="19"/>
        <v>1.0068675977948711</v>
      </c>
      <c r="G53" s="245">
        <f t="shared" si="19"/>
        <v>0.9888689432594312</v>
      </c>
      <c r="H53" s="245">
        <f t="shared" si="19"/>
        <v>0.88052405405762402</v>
      </c>
      <c r="I53" s="245">
        <f t="shared" si="19"/>
        <v>1.0026731887057967</v>
      </c>
      <c r="J53" s="245">
        <f t="shared" si="19"/>
        <v>1.0232856405183548</v>
      </c>
      <c r="K53" s="252" t="s">
        <v>297</v>
      </c>
    </row>
    <row r="54" spans="1:20" ht="26.25" customHeight="1">
      <c r="A54" s="259" t="s">
        <v>189</v>
      </c>
    </row>
    <row r="55" spans="1:20">
      <c r="A55" s="619">
        <v>2016</v>
      </c>
      <c r="B55" s="235"/>
      <c r="C55" s="251"/>
      <c r="D55" s="618">
        <f>SUM(E55:J55)</f>
        <v>101711018.28400001</v>
      </c>
      <c r="E55" s="618">
        <f>E34*'Rate Class Customer Model'!B15</f>
        <v>40480043.329000004</v>
      </c>
      <c r="F55" s="618">
        <f>F34*'Rate Class Customer Model'!C15</f>
        <v>20348622.955000002</v>
      </c>
      <c r="G55" s="618">
        <f>G34*'Rate Class Customer Model'!D15</f>
        <v>39456019</v>
      </c>
      <c r="H55" s="618">
        <f>H34*'Rate Class Customer Model'!E15</f>
        <v>773158</v>
      </c>
      <c r="I55" s="618">
        <f>I34*'Rate Class Customer Model'!F15</f>
        <v>106791</v>
      </c>
      <c r="J55" s="618">
        <f>J34*'Rate Class Customer Model'!G15</f>
        <v>546384</v>
      </c>
    </row>
    <row r="56" spans="1:20">
      <c r="A56" s="235">
        <v>2017</v>
      </c>
      <c r="C56" s="251"/>
      <c r="D56" s="313">
        <f>SUM(E56:J56)</f>
        <v>99927100.734159112</v>
      </c>
      <c r="E56" s="241">
        <f>E35*'Rate Class Customer Model'!B16</f>
        <v>39978465.93593508</v>
      </c>
      <c r="F56" s="241">
        <f>F35*'Rate Class Customer Model'!C16</f>
        <v>20075692.121190008</v>
      </c>
      <c r="G56" s="241">
        <f>G35*'Rate Class Customer Model'!D16</f>
        <v>38462391.481220894</v>
      </c>
      <c r="H56" s="241">
        <f>H35*'Rate Class Customer Model'!E16</f>
        <v>731377.587265532</v>
      </c>
      <c r="I56" s="241">
        <f>I35*'Rate Class Customer Model'!F16</f>
        <v>105374.43880217051</v>
      </c>
      <c r="J56" s="241">
        <f>J35*'Rate Class Customer Model'!G16</f>
        <v>573799.16974541137</v>
      </c>
    </row>
    <row r="57" spans="1:20">
      <c r="D57" s="241"/>
      <c r="E57" s="241"/>
      <c r="F57" s="241"/>
      <c r="G57" s="241"/>
      <c r="H57" s="241"/>
      <c r="I57" s="241"/>
      <c r="J57" s="241"/>
    </row>
    <row r="58" spans="1:20" ht="25.5">
      <c r="A58" s="259" t="s">
        <v>209</v>
      </c>
      <c r="D58" s="241"/>
      <c r="E58" s="241"/>
      <c r="F58" s="241"/>
      <c r="G58" s="241"/>
      <c r="H58" s="241"/>
      <c r="I58" s="241"/>
      <c r="J58" s="241"/>
      <c r="K58" s="241" t="s">
        <v>12</v>
      </c>
      <c r="L58" s="244" t="s">
        <v>11</v>
      </c>
    </row>
    <row r="59" spans="1:20">
      <c r="A59" s="619">
        <v>2016</v>
      </c>
      <c r="D59" s="618">
        <f t="shared" ref="D59:J60" si="20">D55+D75</f>
        <v>101711018.28400001</v>
      </c>
      <c r="E59" s="618">
        <f t="shared" si="20"/>
        <v>40480043.329000004</v>
      </c>
      <c r="F59" s="618">
        <f t="shared" si="20"/>
        <v>20348622.955000002</v>
      </c>
      <c r="G59" s="618">
        <f t="shared" si="20"/>
        <v>39456019</v>
      </c>
      <c r="H59" s="618">
        <f t="shared" si="20"/>
        <v>773158</v>
      </c>
      <c r="I59" s="618">
        <f t="shared" si="20"/>
        <v>106791</v>
      </c>
      <c r="J59" s="618">
        <f t="shared" si="20"/>
        <v>546384</v>
      </c>
      <c r="K59" s="314">
        <f>SUM(E59:J59)</f>
        <v>101711018.28400001</v>
      </c>
      <c r="L59" s="240">
        <f>D59-K59</f>
        <v>0</v>
      </c>
    </row>
    <row r="60" spans="1:20">
      <c r="A60" s="235">
        <v>2017</v>
      </c>
      <c r="D60" s="261">
        <f t="shared" si="20"/>
        <v>102955424.79108939</v>
      </c>
      <c r="E60" s="261">
        <f t="shared" si="20"/>
        <v>41516760.28820698</v>
      </c>
      <c r="F60" s="261">
        <f t="shared" si="20"/>
        <v>20848166.078981798</v>
      </c>
      <c r="G60" s="261">
        <f t="shared" si="20"/>
        <v>39179947.228087477</v>
      </c>
      <c r="H60" s="261">
        <f t="shared" si="20"/>
        <v>731377.587265532</v>
      </c>
      <c r="I60" s="261">
        <f t="shared" si="20"/>
        <v>105374.43880217051</v>
      </c>
      <c r="J60" s="261">
        <f t="shared" si="20"/>
        <v>573799.16974541137</v>
      </c>
      <c r="K60" s="314">
        <f>SUM(E60:J60)</f>
        <v>102955424.79108939</v>
      </c>
      <c r="L60" s="240">
        <f>D60-K60</f>
        <v>0</v>
      </c>
    </row>
    <row r="61" spans="1:20">
      <c r="D61" s="260"/>
      <c r="E61" s="260"/>
      <c r="F61" s="260"/>
      <c r="G61" s="260"/>
      <c r="H61" s="260"/>
      <c r="I61" s="260"/>
      <c r="J61" s="260"/>
      <c r="K61" s="314"/>
    </row>
    <row r="62" spans="1:20" ht="28.5" customHeight="1">
      <c r="A62" s="312" t="s">
        <v>208</v>
      </c>
      <c r="D62" s="260"/>
      <c r="E62" s="260"/>
      <c r="F62" s="260"/>
      <c r="G62" s="260"/>
      <c r="H62" s="260"/>
      <c r="I62" s="260"/>
      <c r="J62" s="260"/>
      <c r="K62" s="314"/>
      <c r="L62" s="244" t="s">
        <v>11</v>
      </c>
    </row>
    <row r="63" spans="1:20">
      <c r="A63" s="620">
        <v>2016</v>
      </c>
      <c r="D63" s="618">
        <f t="shared" ref="D63:J64" si="21">D59-D81</f>
        <v>100993578.68400002</v>
      </c>
      <c r="E63" s="618">
        <f t="shared" si="21"/>
        <v>40333752.584988005</v>
      </c>
      <c r="F63" s="618">
        <f t="shared" si="21"/>
        <v>20239644.692564826</v>
      </c>
      <c r="G63" s="618">
        <f t="shared" si="21"/>
        <v>38993848.406447172</v>
      </c>
      <c r="H63" s="618">
        <f t="shared" si="21"/>
        <v>773158</v>
      </c>
      <c r="I63" s="618">
        <f t="shared" si="21"/>
        <v>106791</v>
      </c>
      <c r="J63" s="618">
        <f t="shared" si="21"/>
        <v>546384</v>
      </c>
      <c r="K63" s="314">
        <f>SUM(E63:J63)</f>
        <v>100993578.684</v>
      </c>
      <c r="L63" s="240">
        <f>D63-K63</f>
        <v>0</v>
      </c>
    </row>
    <row r="64" spans="1:20">
      <c r="A64" s="312">
        <v>2017</v>
      </c>
      <c r="D64" s="972">
        <f t="shared" si="21"/>
        <v>101879265.39108938</v>
      </c>
      <c r="E64" s="248">
        <f t="shared" si="21"/>
        <v>41297324.172188982</v>
      </c>
      <c r="F64" s="248">
        <f t="shared" si="21"/>
        <v>20684698.685329031</v>
      </c>
      <c r="G64" s="248">
        <f t="shared" si="21"/>
        <v>38486691.337758243</v>
      </c>
      <c r="H64" s="248">
        <f t="shared" si="21"/>
        <v>731377.587265532</v>
      </c>
      <c r="I64" s="248">
        <f t="shared" si="21"/>
        <v>105374.43880217051</v>
      </c>
      <c r="J64" s="248">
        <f t="shared" si="21"/>
        <v>573799.16974541137</v>
      </c>
      <c r="K64" s="314">
        <f>SUM(E64:J64)</f>
        <v>101879265.39108938</v>
      </c>
      <c r="L64" s="240">
        <f>D64-K64</f>
        <v>0</v>
      </c>
    </row>
    <row r="65" spans="1:15" s="431" customFormat="1">
      <c r="A65" s="429"/>
      <c r="B65" s="430"/>
      <c r="C65" s="430"/>
      <c r="D65" s="249"/>
      <c r="E65" s="249"/>
      <c r="F65" s="249"/>
      <c r="G65" s="249"/>
      <c r="H65" s="249"/>
      <c r="I65" s="249"/>
      <c r="J65" s="249"/>
      <c r="K65" s="314"/>
      <c r="L65" s="249"/>
      <c r="M65" s="249"/>
      <c r="N65" s="249"/>
      <c r="O65" s="249"/>
    </row>
    <row r="66" spans="1:15" s="431" customFormat="1">
      <c r="A66" s="429"/>
      <c r="B66" s="430"/>
      <c r="C66" s="430"/>
      <c r="D66" s="618">
        <v>103490140.13157745</v>
      </c>
      <c r="E66" s="618">
        <v>40870245.793643892</v>
      </c>
      <c r="F66" s="618">
        <v>19973822.611695666</v>
      </c>
      <c r="G66" s="618">
        <v>40849005.042765364</v>
      </c>
      <c r="H66" s="618">
        <v>1089972.9814921229</v>
      </c>
      <c r="I66" s="618">
        <v>107487.31322816703</v>
      </c>
      <c r="J66" s="618">
        <v>599606.38875225838</v>
      </c>
      <c r="K66" s="314">
        <v>103490140.13157745</v>
      </c>
      <c r="L66" s="249"/>
      <c r="M66" s="249"/>
      <c r="N66" s="249"/>
      <c r="O66" s="249"/>
    </row>
    <row r="67" spans="1:15" s="431" customFormat="1">
      <c r="A67" s="429"/>
      <c r="B67" s="430"/>
      <c r="C67" s="430"/>
      <c r="D67" s="436">
        <v>103763127.19387966</v>
      </c>
      <c r="E67" s="436">
        <v>41757807.879400752</v>
      </c>
      <c r="F67" s="436">
        <v>20294755.553804349</v>
      </c>
      <c r="G67" s="436">
        <v>39888774.537230372</v>
      </c>
      <c r="H67" s="436">
        <v>1080607.7198628157</v>
      </c>
      <c r="I67" s="436">
        <v>105702.75479872365</v>
      </c>
      <c r="J67" s="436">
        <v>635478.74878265208</v>
      </c>
      <c r="K67" s="314">
        <v>103763127.19387966</v>
      </c>
      <c r="L67" s="249"/>
      <c r="M67" s="249"/>
      <c r="N67" s="249"/>
      <c r="O67" s="249"/>
    </row>
    <row r="68" spans="1:15">
      <c r="D68" s="247"/>
      <c r="E68" s="241"/>
      <c r="F68" s="241"/>
      <c r="G68" s="241"/>
      <c r="H68" s="241"/>
      <c r="I68" s="241"/>
      <c r="J68" s="241"/>
      <c r="K68" s="241"/>
      <c r="L68" s="241"/>
    </row>
    <row r="69" spans="1:15">
      <c r="D69" s="361"/>
      <c r="E69" s="1225" t="s">
        <v>190</v>
      </c>
      <c r="F69" s="1225"/>
      <c r="G69" s="1225"/>
      <c r="H69" s="1225"/>
      <c r="I69" s="1225"/>
      <c r="J69" s="1226"/>
      <c r="K69" s="241"/>
      <c r="N69" s="245"/>
    </row>
    <row r="70" spans="1:15">
      <c r="A70" s="362" t="s">
        <v>35</v>
      </c>
      <c r="D70" s="354"/>
      <c r="E70" s="426">
        <f>(1+G70)/2</f>
        <v>0.66</v>
      </c>
      <c r="F70" s="426">
        <f>(1+G70)/2</f>
        <v>0.66</v>
      </c>
      <c r="G70" s="426">
        <v>0.32</v>
      </c>
      <c r="H70" s="427">
        <v>0</v>
      </c>
      <c r="I70" s="427">
        <v>0</v>
      </c>
      <c r="J70" s="428">
        <v>0</v>
      </c>
      <c r="K70" s="241" t="s">
        <v>5</v>
      </c>
    </row>
    <row r="71" spans="1:15">
      <c r="A71" s="619">
        <v>2015</v>
      </c>
      <c r="E71" s="638">
        <f t="shared" ref="E71:J71" si="22">E55*E70</f>
        <v>26716828.597140003</v>
      </c>
      <c r="F71" s="638">
        <f t="shared" si="22"/>
        <v>13430091.150300002</v>
      </c>
      <c r="G71" s="638">
        <f t="shared" si="22"/>
        <v>12625926.08</v>
      </c>
      <c r="H71" s="638">
        <f t="shared" si="22"/>
        <v>0</v>
      </c>
      <c r="I71" s="638">
        <f t="shared" si="22"/>
        <v>0</v>
      </c>
      <c r="J71" s="639">
        <f t="shared" si="22"/>
        <v>0</v>
      </c>
      <c r="K71" s="637">
        <f>SUM(E71:J71)</f>
        <v>52772845.827440001</v>
      </c>
    </row>
    <row r="72" spans="1:15">
      <c r="A72" s="235">
        <v>2016</v>
      </c>
      <c r="E72" s="356">
        <f t="shared" ref="E72:J72" si="23">E56*E70</f>
        <v>26385787.517717153</v>
      </c>
      <c r="F72" s="356">
        <f t="shared" si="23"/>
        <v>13249956.799985405</v>
      </c>
      <c r="G72" s="356">
        <f t="shared" si="23"/>
        <v>12307965.273990687</v>
      </c>
      <c r="H72" s="356">
        <f t="shared" si="23"/>
        <v>0</v>
      </c>
      <c r="I72" s="356">
        <f t="shared" si="23"/>
        <v>0</v>
      </c>
      <c r="J72" s="268">
        <f t="shared" si="23"/>
        <v>0</v>
      </c>
      <c r="K72" s="355">
        <f>SUM(E72:J72)</f>
        <v>51943709.591693252</v>
      </c>
    </row>
    <row r="73" spans="1:15" ht="12" customHeight="1">
      <c r="D73" s="241"/>
      <c r="E73" s="241"/>
      <c r="F73" s="241"/>
      <c r="G73" s="241"/>
      <c r="H73" s="241"/>
      <c r="I73" s="241"/>
      <c r="J73" s="241"/>
      <c r="K73" s="241"/>
    </row>
    <row r="74" spans="1:15" ht="25.5">
      <c r="A74" s="259" t="s">
        <v>36</v>
      </c>
      <c r="D74" s="241"/>
      <c r="E74" s="241"/>
      <c r="F74" s="241"/>
      <c r="G74" s="241"/>
      <c r="H74" s="241"/>
      <c r="I74" s="241"/>
      <c r="J74" s="241"/>
      <c r="K74" s="241"/>
      <c r="L74" s="240" t="s">
        <v>11</v>
      </c>
    </row>
    <row r="75" spans="1:15">
      <c r="A75" s="619">
        <v>2016</v>
      </c>
      <c r="B75" s="235"/>
      <c r="C75" s="251"/>
      <c r="D75" s="1165">
        <f>D14-D55</f>
        <v>0</v>
      </c>
      <c r="E75" s="1165">
        <f t="shared" ref="E75:J75" si="24">E71/$K$71*$D75</f>
        <v>0</v>
      </c>
      <c r="F75" s="1165">
        <f t="shared" si="24"/>
        <v>0</v>
      </c>
      <c r="G75" s="1165">
        <f t="shared" si="24"/>
        <v>0</v>
      </c>
      <c r="H75" s="1165">
        <f t="shared" si="24"/>
        <v>0</v>
      </c>
      <c r="I75" s="1165">
        <f t="shared" si="24"/>
        <v>0</v>
      </c>
      <c r="J75" s="1165">
        <f t="shared" si="24"/>
        <v>0</v>
      </c>
      <c r="K75" s="1166">
        <f>SUM(E75:J75)</f>
        <v>0</v>
      </c>
      <c r="L75" s="1167">
        <f>D75-K75</f>
        <v>0</v>
      </c>
    </row>
    <row r="76" spans="1:15">
      <c r="A76" s="235">
        <v>2017</v>
      </c>
      <c r="C76" s="251"/>
      <c r="D76" s="359">
        <f>D15-D56</f>
        <v>3028324.0569302738</v>
      </c>
      <c r="E76" s="359">
        <f t="shared" ref="E76:J76" si="25">E72/$K$72*$D76</f>
        <v>1538294.3522718989</v>
      </c>
      <c r="F76" s="359">
        <f t="shared" si="25"/>
        <v>772473.95779179037</v>
      </c>
      <c r="G76" s="359">
        <f t="shared" si="25"/>
        <v>717555.74686658417</v>
      </c>
      <c r="H76" s="359">
        <f t="shared" si="25"/>
        <v>0</v>
      </c>
      <c r="I76" s="359">
        <f t="shared" si="25"/>
        <v>0</v>
      </c>
      <c r="J76" s="359">
        <f t="shared" si="25"/>
        <v>0</v>
      </c>
      <c r="K76" s="241">
        <f>SUM(E76:J76)</f>
        <v>3028324.0569302733</v>
      </c>
      <c r="L76" s="240">
        <f>D76-K76</f>
        <v>0</v>
      </c>
    </row>
    <row r="79" spans="1:15">
      <c r="A79" s="255" t="s">
        <v>84</v>
      </c>
      <c r="C79" s="262"/>
      <c r="D79" s="357"/>
      <c r="E79" s="360" t="s">
        <v>191</v>
      </c>
      <c r="F79" s="358"/>
      <c r="G79" s="331"/>
      <c r="H79" s="331"/>
      <c r="I79" s="331"/>
      <c r="J79" s="332"/>
      <c r="K79" s="353"/>
      <c r="L79" s="263"/>
      <c r="O79" s="235"/>
    </row>
    <row r="80" spans="1:15">
      <c r="A80" s="235" t="s">
        <v>207</v>
      </c>
      <c r="C80" s="262"/>
      <c r="D80" s="264"/>
      <c r="E80" s="425">
        <f>'[23]CDM Allocation'!$G$18</f>
        <v>0.20390670380056908</v>
      </c>
      <c r="F80" s="425">
        <f>'[23]CDM Allocation'!$H$18</f>
        <v>0.15189886707560737</v>
      </c>
      <c r="G80" s="425">
        <f>'[23]CDM Allocation'!$I$18</f>
        <v>0.64419442912382352</v>
      </c>
      <c r="H80" s="263"/>
      <c r="I80" s="263"/>
      <c r="J80" s="263"/>
      <c r="K80" s="264"/>
      <c r="L80" s="263" t="s">
        <v>11</v>
      </c>
    </row>
    <row r="81" spans="1:12">
      <c r="A81" s="619">
        <v>2016</v>
      </c>
      <c r="C81" s="265"/>
      <c r="D81" s="618">
        <f>'CDM Activity'!B59</f>
        <v>717439.6</v>
      </c>
      <c r="E81" s="618">
        <f>($D$81-$H$81)*E80</f>
        <v>146290.74401199876</v>
      </c>
      <c r="F81" s="618">
        <f>($D$81-$H$81)*F80</f>
        <v>108978.26243517692</v>
      </c>
      <c r="G81" s="618">
        <f>($D$81-$H$81)*G80</f>
        <v>462170.59355282428</v>
      </c>
      <c r="H81" s="618"/>
      <c r="I81" s="266"/>
      <c r="J81" s="266"/>
      <c r="K81" s="354">
        <f>SUM(E81:J81)</f>
        <v>717439.6</v>
      </c>
      <c r="L81" s="263">
        <f>D81-K81</f>
        <v>0</v>
      </c>
    </row>
    <row r="82" spans="1:12">
      <c r="A82" s="235">
        <v>2017</v>
      </c>
      <c r="C82" s="262"/>
      <c r="D82" s="352">
        <f>'CDM Activity'!B60</f>
        <v>1076159.3999999999</v>
      </c>
      <c r="E82" s="267">
        <f>($D$82-$H$82)*E80</f>
        <v>219436.11601799811</v>
      </c>
      <c r="F82" s="267">
        <f>($D$82-$H$82)*F80</f>
        <v>163467.39365276537</v>
      </c>
      <c r="G82" s="267">
        <f>($D$82-$H$82)*G80</f>
        <v>693255.8903292364</v>
      </c>
      <c r="H82" s="351"/>
      <c r="I82" s="267"/>
      <c r="J82" s="267"/>
      <c r="K82" s="354">
        <f>SUM(E82:J82)</f>
        <v>1076159.3999999999</v>
      </c>
      <c r="L82" s="263">
        <f>D82-K82</f>
        <v>0</v>
      </c>
    </row>
    <row r="83" spans="1:12">
      <c r="C83" s="262"/>
      <c r="D83" s="263"/>
      <c r="E83" s="263"/>
      <c r="F83" s="263"/>
      <c r="G83" s="263"/>
      <c r="H83" s="263"/>
      <c r="I83" s="263"/>
      <c r="J83" s="263"/>
      <c r="K83" s="263"/>
      <c r="L83" s="263"/>
    </row>
    <row r="84" spans="1:12">
      <c r="C84" s="269"/>
      <c r="D84" s="263"/>
      <c r="E84" s="252"/>
      <c r="F84" s="263"/>
      <c r="G84" s="263"/>
      <c r="H84" s="263"/>
      <c r="I84" s="263"/>
      <c r="J84" s="263"/>
      <c r="K84" s="263"/>
      <c r="L84" s="263"/>
    </row>
    <row r="85" spans="1:12">
      <c r="C85" s="269"/>
      <c r="D85" s="263"/>
      <c r="E85" s="270"/>
      <c r="F85" s="263"/>
      <c r="G85" s="271"/>
      <c r="H85" s="263"/>
      <c r="I85" s="263"/>
      <c r="J85" s="263"/>
      <c r="K85" s="263"/>
      <c r="L85" s="263"/>
    </row>
    <row r="86" spans="1:12">
      <c r="E86" s="252"/>
      <c r="G86" s="249"/>
    </row>
    <row r="87" spans="1:12">
      <c r="E87" s="270"/>
    </row>
    <row r="89" spans="1:12">
      <c r="D89" s="244"/>
    </row>
  </sheetData>
  <mergeCells count="1">
    <mergeCell ref="E69:J69"/>
  </mergeCells>
  <pageMargins left="0.38" right="0.75" top="0.73" bottom="0.74" header="0.5" footer="0.5"/>
  <pageSetup scale="65" orientation="portrait"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sheetPr>
    <tabColor theme="9" tint="0.39997558519241921"/>
    <pageSetUpPr fitToPage="1"/>
  </sheetPr>
  <dimension ref="A1:U68"/>
  <sheetViews>
    <sheetView zoomScaleNormal="100" workbookViewId="0">
      <pane xSplit="1" ySplit="2" topLeftCell="B6" activePane="bottomRight" state="frozen"/>
      <selection activeCell="M35" sqref="M35"/>
      <selection pane="topRight" activeCell="M35" sqref="M35"/>
      <selection pane="bottomLeft" activeCell="M35" sqref="M35"/>
      <selection pane="bottomRight" activeCell="B16" sqref="B16:D16"/>
    </sheetView>
  </sheetViews>
  <sheetFormatPr defaultRowHeight="12.75"/>
  <cols>
    <col min="1" max="1" width="11" customWidth="1"/>
    <col min="2" max="2" width="15" style="4" customWidth="1"/>
    <col min="3" max="3" width="14.140625" style="4" bestFit="1" customWidth="1"/>
    <col min="4" max="4" width="16.5703125" style="4" customWidth="1"/>
    <col min="5" max="5" width="17.5703125" style="4" customWidth="1"/>
    <col min="6" max="7" width="12.5703125" style="4" customWidth="1"/>
    <col min="8" max="8" width="12.7109375" style="4" bestFit="1" customWidth="1"/>
    <col min="9" max="9" width="8.7109375" style="4" customWidth="1"/>
    <col min="10" max="10" width="12.5703125" style="4" customWidth="1"/>
    <col min="11" max="11" width="6.5703125" style="4" customWidth="1"/>
    <col min="12" max="12" width="10.85546875" style="4" customWidth="1"/>
  </cols>
  <sheetData>
    <row r="1" spans="1:21" ht="13.5" thickBot="1">
      <c r="B1" s="4" t="s">
        <v>314</v>
      </c>
      <c r="C1" s="315" t="s">
        <v>430</v>
      </c>
      <c r="J1" s="441" t="s">
        <v>266</v>
      </c>
    </row>
    <row r="2" spans="1:21" ht="39" thickTop="1">
      <c r="A2" s="814"/>
      <c r="B2" s="966" t="s">
        <v>1</v>
      </c>
      <c r="C2" s="966" t="s">
        <v>116</v>
      </c>
      <c r="D2" s="966" t="s">
        <v>299</v>
      </c>
      <c r="E2" s="966" t="s">
        <v>215</v>
      </c>
      <c r="F2" s="966" t="s">
        <v>181</v>
      </c>
      <c r="G2" s="966" t="s">
        <v>2</v>
      </c>
      <c r="H2" s="967" t="s">
        <v>5</v>
      </c>
      <c r="J2" s="13" t="s">
        <v>322</v>
      </c>
      <c r="L2" s="13" t="s">
        <v>323</v>
      </c>
    </row>
    <row r="3" spans="1:21">
      <c r="A3" s="968"/>
      <c r="B3" s="1159"/>
      <c r="C3" s="1159"/>
      <c r="D3" s="1159"/>
      <c r="E3" s="1159"/>
      <c r="F3" s="1159"/>
      <c r="G3" s="1159"/>
      <c r="H3" s="755"/>
      <c r="I3" s="11"/>
    </row>
    <row r="4" spans="1:21">
      <c r="A4" s="969">
        <v>2005</v>
      </c>
      <c r="B4" s="1160">
        <f>'[24]2005-2014'!K8</f>
        <v>4931</v>
      </c>
      <c r="C4" s="1160">
        <f>'[24]2005-2014'!N8</f>
        <v>770</v>
      </c>
      <c r="D4" s="1160">
        <f>'[24]2005-2014'!Q8</f>
        <v>67</v>
      </c>
      <c r="E4" s="1160">
        <f>'[24]2005-2014'!W8</f>
        <v>1633</v>
      </c>
      <c r="F4" s="1160">
        <f>'[24]2005-2014'!T8</f>
        <v>56</v>
      </c>
      <c r="G4" s="1160">
        <f>'[24]2005-2014'!Z8</f>
        <v>49</v>
      </c>
      <c r="H4" s="779">
        <f t="shared" ref="H4:H16" si="0">SUM(B4:G4)</f>
        <v>7506</v>
      </c>
      <c r="J4" s="1160">
        <f>E4+24+36</f>
        <v>1693</v>
      </c>
      <c r="L4" s="1160">
        <f>G4-2+10</f>
        <v>57</v>
      </c>
      <c r="M4" s="737"/>
      <c r="O4" s="21"/>
      <c r="P4" s="21"/>
      <c r="Q4" s="21"/>
      <c r="R4" s="21"/>
      <c r="S4" s="21"/>
      <c r="T4" s="21"/>
      <c r="U4" s="21"/>
    </row>
    <row r="5" spans="1:21">
      <c r="A5" s="969">
        <v>2006</v>
      </c>
      <c r="B5" s="1160">
        <f>'[24]2005-2014'!K9</f>
        <v>4962</v>
      </c>
      <c r="C5" s="1160">
        <f>'[24]2005-2014'!N9</f>
        <v>771</v>
      </c>
      <c r="D5" s="1160">
        <f>'[24]2005-2014'!Q9</f>
        <v>65</v>
      </c>
      <c r="E5" s="1160">
        <f>'[24]2005-2014'!W9</f>
        <v>1641</v>
      </c>
      <c r="F5" s="1160">
        <f>'[24]2005-2014'!T9</f>
        <v>67</v>
      </c>
      <c r="G5" s="1160">
        <f>'[24]2005-2014'!Z9</f>
        <v>50</v>
      </c>
      <c r="H5" s="779">
        <f t="shared" si="0"/>
        <v>7556</v>
      </c>
      <c r="I5" s="9">
        <f>H5/H4</f>
        <v>1.0066613375965894</v>
      </c>
      <c r="J5" s="1160">
        <f>E5+24+36</f>
        <v>1701</v>
      </c>
      <c r="L5" s="1160">
        <f>G5-2+10</f>
        <v>58</v>
      </c>
      <c r="M5" s="737"/>
      <c r="O5" s="21"/>
      <c r="P5" s="21"/>
      <c r="Q5" s="21"/>
      <c r="R5" s="21"/>
      <c r="S5" s="21"/>
      <c r="T5" s="21"/>
      <c r="U5" s="21"/>
    </row>
    <row r="6" spans="1:21">
      <c r="A6" s="969">
        <v>2007</v>
      </c>
      <c r="B6" s="1160">
        <f>'[24]2005-2014'!K10</f>
        <v>4967</v>
      </c>
      <c r="C6" s="1160">
        <f>'[24]2005-2014'!N10</f>
        <v>784</v>
      </c>
      <c r="D6" s="1160">
        <f>'[24]2005-2014'!Q10</f>
        <v>65</v>
      </c>
      <c r="E6" s="1160">
        <f>'[24]2005-2014'!W10</f>
        <v>1644</v>
      </c>
      <c r="F6" s="1160">
        <f>'[24]2005-2014'!T10</f>
        <v>67</v>
      </c>
      <c r="G6" s="1160">
        <f>'[24]2005-2014'!Z10</f>
        <v>48</v>
      </c>
      <c r="H6" s="779">
        <f t="shared" si="0"/>
        <v>7575</v>
      </c>
      <c r="I6" s="9">
        <f t="shared" ref="I6:I16" si="1">H6/H5</f>
        <v>1.0025145579671784</v>
      </c>
      <c r="J6" s="1160">
        <f>E6+24+36</f>
        <v>1704</v>
      </c>
      <c r="L6" s="1160">
        <f>G6-2+10</f>
        <v>56</v>
      </c>
      <c r="M6" s="737"/>
      <c r="O6" s="21"/>
      <c r="P6" s="21"/>
      <c r="Q6" s="21"/>
      <c r="R6" s="21"/>
      <c r="S6" s="21"/>
      <c r="T6" s="21"/>
      <c r="U6" s="21"/>
    </row>
    <row r="7" spans="1:21">
      <c r="A7" s="969">
        <v>2008</v>
      </c>
      <c r="B7" s="1160">
        <f>'[24]2005-2014'!K11</f>
        <v>4966</v>
      </c>
      <c r="C7" s="1160">
        <f>'[24]2005-2014'!N11</f>
        <v>778</v>
      </c>
      <c r="D7" s="1160">
        <f>'[24]2005-2014'!Q11</f>
        <v>66</v>
      </c>
      <c r="E7" s="1160">
        <f>'[24]2005-2014'!W11</f>
        <v>1637</v>
      </c>
      <c r="F7" s="1160">
        <f>'[24]2005-2014'!T11</f>
        <v>67</v>
      </c>
      <c r="G7" s="1160">
        <f>'[24]2005-2014'!Z11</f>
        <v>49</v>
      </c>
      <c r="H7" s="779">
        <f t="shared" si="0"/>
        <v>7563</v>
      </c>
      <c r="I7" s="9">
        <f t="shared" si="1"/>
        <v>0.99841584158415841</v>
      </c>
      <c r="J7" s="1160">
        <f>E7+24+36</f>
        <v>1697</v>
      </c>
      <c r="L7" s="1160">
        <f>G7-2+10</f>
        <v>57</v>
      </c>
      <c r="M7" s="737"/>
      <c r="O7" s="21"/>
      <c r="P7" s="21"/>
      <c r="Q7" s="21"/>
      <c r="R7" s="21"/>
      <c r="S7" s="21"/>
      <c r="T7" s="21"/>
      <c r="U7" s="21"/>
    </row>
    <row r="8" spans="1:21">
      <c r="A8" s="969">
        <v>2009</v>
      </c>
      <c r="B8" s="1160">
        <f>'[24]2005-2014'!K12</f>
        <v>4974</v>
      </c>
      <c r="C8" s="1160">
        <f>'[24]2005-2014'!N12</f>
        <v>774</v>
      </c>
      <c r="D8" s="1160">
        <f>'[24]2005-2014'!Q12</f>
        <v>66</v>
      </c>
      <c r="E8" s="1160">
        <f>'[24]2005-2014'!W12</f>
        <v>1640</v>
      </c>
      <c r="F8" s="1160">
        <f>'[24]2005-2014'!T12</f>
        <v>75</v>
      </c>
      <c r="G8" s="1160">
        <f>'[24]2005-2014'!Z12</f>
        <v>49</v>
      </c>
      <c r="H8" s="779">
        <f t="shared" si="0"/>
        <v>7578</v>
      </c>
      <c r="I8" s="9">
        <f t="shared" si="1"/>
        <v>1.0019833399444664</v>
      </c>
      <c r="J8" s="1160">
        <f>E8+24+36</f>
        <v>1700</v>
      </c>
      <c r="L8" s="1160">
        <f>G8-2+10</f>
        <v>57</v>
      </c>
      <c r="M8" s="737"/>
      <c r="O8" s="21"/>
      <c r="P8" s="21"/>
      <c r="Q8" s="21"/>
      <c r="R8" s="21"/>
      <c r="S8" s="21"/>
      <c r="T8" s="21"/>
      <c r="U8" s="21"/>
    </row>
    <row r="9" spans="1:21">
      <c r="A9" s="969">
        <v>2010</v>
      </c>
      <c r="B9" s="1160">
        <f>'[24]2005-2014'!K13</f>
        <v>4982</v>
      </c>
      <c r="C9" s="1160">
        <f>'[24]2005-2014'!N13</f>
        <v>770</v>
      </c>
      <c r="D9" s="1160">
        <f>'[24]2005-2014'!Q13</f>
        <v>66</v>
      </c>
      <c r="E9" s="1160">
        <f>'[24]2005-2014'!W13</f>
        <v>1701</v>
      </c>
      <c r="F9" s="1160">
        <f>'[24]2005-2014'!T13</f>
        <v>75</v>
      </c>
      <c r="G9" s="1160">
        <f>'[24]2005-2014'!Z13</f>
        <v>48</v>
      </c>
      <c r="H9" s="779">
        <f t="shared" si="0"/>
        <v>7642</v>
      </c>
      <c r="I9" s="9">
        <f t="shared" si="1"/>
        <v>1.008445500131961</v>
      </c>
      <c r="J9" s="4">
        <f t="shared" ref="J9:J15" si="2">E9</f>
        <v>1701</v>
      </c>
      <c r="L9" s="1160">
        <f>G9+10</f>
        <v>58</v>
      </c>
      <c r="M9" s="737"/>
      <c r="O9" s="21"/>
      <c r="P9" s="21"/>
      <c r="Q9" s="21"/>
      <c r="R9" s="21"/>
      <c r="S9" s="21"/>
      <c r="T9" s="21"/>
      <c r="U9" s="21"/>
    </row>
    <row r="10" spans="1:21">
      <c r="A10" s="969">
        <v>2011</v>
      </c>
      <c r="B10" s="1160">
        <f>'[24]2005-2014'!K14</f>
        <v>5004</v>
      </c>
      <c r="C10" s="1160">
        <f>'[24]2005-2014'!N14</f>
        <v>769</v>
      </c>
      <c r="D10" s="1160">
        <f>'[24]2005-2014'!Q14</f>
        <v>66</v>
      </c>
      <c r="E10" s="1160">
        <f>'[24]2005-2014'!W14</f>
        <v>1703</v>
      </c>
      <c r="F10" s="1160">
        <f>'[24]2005-2014'!T14</f>
        <v>75</v>
      </c>
      <c r="G10" s="1160">
        <f>'[24]2005-2014'!Z14</f>
        <v>59</v>
      </c>
      <c r="H10" s="779">
        <f t="shared" si="0"/>
        <v>7676</v>
      </c>
      <c r="I10" s="9">
        <f t="shared" si="1"/>
        <v>1.0044490970950013</v>
      </c>
      <c r="J10" s="4">
        <f t="shared" si="2"/>
        <v>1703</v>
      </c>
      <c r="L10" s="4">
        <f t="shared" ref="L10:L15" si="3">G10</f>
        <v>59</v>
      </c>
      <c r="M10" s="737"/>
    </row>
    <row r="11" spans="1:21">
      <c r="A11" s="969">
        <v>2012</v>
      </c>
      <c r="B11" s="1160">
        <f>'[24]2005-2014'!K15</f>
        <v>5025</v>
      </c>
      <c r="C11" s="1160">
        <f>'[24]2005-2014'!N15</f>
        <v>770</v>
      </c>
      <c r="D11" s="1160">
        <f>'[24]2005-2014'!Q15</f>
        <v>67</v>
      </c>
      <c r="E11" s="1160">
        <f>'[24]2005-2014'!W15</f>
        <v>1703</v>
      </c>
      <c r="F11" s="1160">
        <f>'[24]2005-2014'!T15</f>
        <v>75</v>
      </c>
      <c r="G11" s="1160">
        <f>'[24]2005-2014'!Z15</f>
        <v>60</v>
      </c>
      <c r="H11" s="779">
        <f t="shared" si="0"/>
        <v>7700</v>
      </c>
      <c r="I11" s="9">
        <f t="shared" si="1"/>
        <v>1.0031266284523188</v>
      </c>
      <c r="J11" s="4">
        <f t="shared" si="2"/>
        <v>1703</v>
      </c>
      <c r="L11" s="4">
        <f t="shared" si="3"/>
        <v>60</v>
      </c>
      <c r="M11" s="737"/>
      <c r="N11" t="s">
        <v>331</v>
      </c>
    </row>
    <row r="12" spans="1:21">
      <c r="A12" s="969">
        <v>2013</v>
      </c>
      <c r="B12" s="1160">
        <f>'[24]2005-2014'!K16</f>
        <v>5035</v>
      </c>
      <c r="C12" s="1160">
        <f>'[24]2005-2014'!N16</f>
        <v>759</v>
      </c>
      <c r="D12" s="1160">
        <f>'[24]2005-2014'!Q16</f>
        <v>65</v>
      </c>
      <c r="E12" s="1160">
        <f>'[24]2005-2014'!W16</f>
        <v>1707</v>
      </c>
      <c r="F12" s="1160">
        <f>'[24]2005-2014'!T16</f>
        <v>75</v>
      </c>
      <c r="G12" s="1160">
        <f>'[24]2005-2014'!Z16</f>
        <v>61</v>
      </c>
      <c r="H12" s="779">
        <f t="shared" si="0"/>
        <v>7702</v>
      </c>
      <c r="I12" s="9">
        <f t="shared" si="1"/>
        <v>1.0002597402597402</v>
      </c>
      <c r="J12" s="4">
        <f t="shared" si="2"/>
        <v>1707</v>
      </c>
      <c r="L12" s="4">
        <f t="shared" si="3"/>
        <v>61</v>
      </c>
      <c r="M12" s="737"/>
    </row>
    <row r="13" spans="1:21">
      <c r="A13" s="969">
        <v>2014</v>
      </c>
      <c r="B13" s="1160">
        <f>'[24]2005-2014'!K17</f>
        <v>5040</v>
      </c>
      <c r="C13" s="1160">
        <f>'[24]2005-2014'!N17</f>
        <v>754</v>
      </c>
      <c r="D13" s="1160">
        <f>'[24]2005-2014'!Q17</f>
        <v>64</v>
      </c>
      <c r="E13" s="1160">
        <f>'[24]2005-2014'!W17</f>
        <v>1707</v>
      </c>
      <c r="F13" s="1160">
        <f>'[24]2005-2014'!T17</f>
        <v>75</v>
      </c>
      <c r="G13" s="1160">
        <f>'[24]2005-2014'!Z17</f>
        <v>61</v>
      </c>
      <c r="H13" s="779">
        <f t="shared" si="0"/>
        <v>7701</v>
      </c>
      <c r="I13" s="9">
        <f t="shared" si="1"/>
        <v>0.99987016359387171</v>
      </c>
      <c r="J13" s="4">
        <f t="shared" si="2"/>
        <v>1707</v>
      </c>
      <c r="L13" s="4">
        <f t="shared" si="3"/>
        <v>61</v>
      </c>
      <c r="M13" s="737"/>
    </row>
    <row r="14" spans="1:21">
      <c r="A14" s="969">
        <v>2015</v>
      </c>
      <c r="B14" s="1160">
        <v>5054</v>
      </c>
      <c r="C14" s="1160">
        <v>742</v>
      </c>
      <c r="D14" s="1160">
        <v>64</v>
      </c>
      <c r="E14" s="1160">
        <v>1711</v>
      </c>
      <c r="F14" s="1160">
        <v>75</v>
      </c>
      <c r="G14" s="1160">
        <v>59</v>
      </c>
      <c r="H14" s="779">
        <f t="shared" si="0"/>
        <v>7705</v>
      </c>
      <c r="I14" s="9">
        <f t="shared" si="1"/>
        <v>1.0005194130632384</v>
      </c>
      <c r="J14" s="754">
        <f t="shared" si="2"/>
        <v>1711</v>
      </c>
      <c r="K14" s="249"/>
      <c r="L14" s="754">
        <f t="shared" si="3"/>
        <v>59</v>
      </c>
      <c r="M14" s="737"/>
    </row>
    <row r="15" spans="1:21">
      <c r="A15" s="969">
        <v>2016</v>
      </c>
      <c r="B15" s="1160">
        <v>5071</v>
      </c>
      <c r="C15" s="1160">
        <v>740</v>
      </c>
      <c r="D15" s="1160">
        <v>64</v>
      </c>
      <c r="E15" s="1160">
        <v>1711</v>
      </c>
      <c r="F15" s="1160">
        <v>73</v>
      </c>
      <c r="G15" s="1160">
        <v>58</v>
      </c>
      <c r="H15" s="779">
        <f t="shared" si="0"/>
        <v>7717</v>
      </c>
      <c r="I15" s="9">
        <f t="shared" si="1"/>
        <v>1.0015574302401038</v>
      </c>
      <c r="J15" s="1161">
        <f t="shared" si="2"/>
        <v>1711</v>
      </c>
      <c r="K15" s="271"/>
      <c r="L15" s="1161">
        <f t="shared" si="3"/>
        <v>58</v>
      </c>
      <c r="M15" s="737"/>
    </row>
    <row r="16" spans="1:21">
      <c r="A16" s="969">
        <v>2017</v>
      </c>
      <c r="B16" s="780">
        <f t="shared" ref="B16:G16" si="4">ROUND(B15*B35,0)</f>
        <v>5084</v>
      </c>
      <c r="C16" s="780">
        <f t="shared" si="4"/>
        <v>737</v>
      </c>
      <c r="D16" s="780">
        <f t="shared" si="4"/>
        <v>64</v>
      </c>
      <c r="E16" s="780">
        <f t="shared" si="4"/>
        <v>1711</v>
      </c>
      <c r="F16" s="780">
        <f t="shared" si="4"/>
        <v>73</v>
      </c>
      <c r="G16" s="780">
        <f t="shared" si="4"/>
        <v>58</v>
      </c>
      <c r="H16" s="781">
        <f t="shared" si="0"/>
        <v>7727</v>
      </c>
      <c r="I16" s="9">
        <f t="shared" si="1"/>
        <v>1.0012958403524685</v>
      </c>
      <c r="J16" s="249">
        <f>J14*J35</f>
        <v>1712.6458229479858</v>
      </c>
      <c r="K16" s="249"/>
      <c r="L16" s="249">
        <f>L14*L35</f>
        <v>59.093356765863916</v>
      </c>
      <c r="M16" s="21"/>
    </row>
    <row r="17" spans="1:13">
      <c r="A17" s="1162"/>
      <c r="B17" s="271"/>
      <c r="C17" s="271"/>
      <c r="D17" s="271"/>
      <c r="E17" s="271"/>
      <c r="F17" s="271"/>
      <c r="G17" s="271"/>
      <c r="H17" s="271"/>
      <c r="I17" s="591"/>
      <c r="J17" s="249"/>
      <c r="K17" s="249"/>
      <c r="L17" s="249"/>
      <c r="M17" s="21"/>
    </row>
    <row r="18" spans="1:13">
      <c r="A18" s="7"/>
      <c r="M18" s="21"/>
    </row>
    <row r="19" spans="1:13" ht="13.5" thickBot="1">
      <c r="A19" s="6" t="s">
        <v>446</v>
      </c>
      <c r="B19" s="3"/>
      <c r="C19" s="3"/>
      <c r="D19" s="782"/>
      <c r="E19" s="20"/>
      <c r="F19" s="3"/>
      <c r="G19" s="3"/>
      <c r="M19" s="21"/>
    </row>
    <row r="20" spans="1:13" ht="26.25" thickTop="1">
      <c r="A20" s="970"/>
      <c r="B20" s="966" t="s">
        <v>1</v>
      </c>
      <c r="C20" s="966" t="s">
        <v>116</v>
      </c>
      <c r="D20" s="966" t="s">
        <v>299</v>
      </c>
      <c r="E20" s="966" t="s">
        <v>215</v>
      </c>
      <c r="F20" s="966" t="s">
        <v>181</v>
      </c>
      <c r="G20" s="966" t="s">
        <v>2</v>
      </c>
      <c r="M20" s="21"/>
    </row>
    <row r="21" spans="1:13">
      <c r="A21" s="969">
        <v>2005</v>
      </c>
      <c r="B21" s="294"/>
      <c r="C21" s="294"/>
      <c r="D21" s="294"/>
      <c r="E21" s="294"/>
      <c r="F21" s="294"/>
      <c r="G21" s="294"/>
      <c r="J21" s="4" t="s">
        <v>180</v>
      </c>
      <c r="L21" s="4" t="s">
        <v>2</v>
      </c>
      <c r="M21" s="21"/>
    </row>
    <row r="22" spans="1:13">
      <c r="A22" s="969">
        <v>2006</v>
      </c>
      <c r="B22" s="294">
        <f t="shared" ref="B22:G32" si="5">B5/B4</f>
        <v>1.0062867572500507</v>
      </c>
      <c r="C22" s="294">
        <f t="shared" si="5"/>
        <v>1.0012987012987014</v>
      </c>
      <c r="D22" s="294">
        <f t="shared" si="5"/>
        <v>0.97014925373134331</v>
      </c>
      <c r="E22" s="294">
        <f t="shared" si="5"/>
        <v>1.0048989589712187</v>
      </c>
      <c r="F22" s="294">
        <f t="shared" si="5"/>
        <v>1.1964285714285714</v>
      </c>
      <c r="G22" s="294">
        <f t="shared" si="5"/>
        <v>1.0204081632653061</v>
      </c>
      <c r="J22" s="294">
        <f t="shared" ref="J22:J32" si="6">J5/J4</f>
        <v>1.0047253396337861</v>
      </c>
      <c r="L22" s="294">
        <f t="shared" ref="L22:L32" si="7">L5/L4</f>
        <v>1.0175438596491229</v>
      </c>
      <c r="M22" s="21"/>
    </row>
    <row r="23" spans="1:13">
      <c r="A23" s="969">
        <v>2007</v>
      </c>
      <c r="B23" s="294">
        <f t="shared" si="5"/>
        <v>1.0010076582023377</v>
      </c>
      <c r="C23" s="294">
        <f t="shared" si="5"/>
        <v>1.0168612191958495</v>
      </c>
      <c r="D23" s="294">
        <f t="shared" si="5"/>
        <v>1</v>
      </c>
      <c r="E23" s="294">
        <f t="shared" si="5"/>
        <v>1.0018281535648994</v>
      </c>
      <c r="F23" s="294">
        <f t="shared" si="5"/>
        <v>1</v>
      </c>
      <c r="G23" s="294">
        <f t="shared" si="5"/>
        <v>0.96</v>
      </c>
      <c r="J23" s="294">
        <f t="shared" si="6"/>
        <v>1.001763668430335</v>
      </c>
      <c r="L23" s="294">
        <f t="shared" si="7"/>
        <v>0.96551724137931039</v>
      </c>
      <c r="M23" s="21"/>
    </row>
    <row r="24" spans="1:13">
      <c r="A24" s="969">
        <v>2008</v>
      </c>
      <c r="B24" s="294">
        <f t="shared" si="5"/>
        <v>0.99979867123011879</v>
      </c>
      <c r="C24" s="294">
        <f t="shared" si="5"/>
        <v>0.99234693877551017</v>
      </c>
      <c r="D24" s="294">
        <f t="shared" si="5"/>
        <v>1.0153846153846153</v>
      </c>
      <c r="E24" s="294">
        <f t="shared" si="5"/>
        <v>0.99574209245742096</v>
      </c>
      <c r="F24" s="294">
        <f t="shared" si="5"/>
        <v>1</v>
      </c>
      <c r="G24" s="294">
        <f t="shared" si="5"/>
        <v>1.0208333333333333</v>
      </c>
      <c r="J24" s="294">
        <f t="shared" si="6"/>
        <v>0.99589201877934275</v>
      </c>
      <c r="L24" s="294">
        <f t="shared" si="7"/>
        <v>1.0178571428571428</v>
      </c>
      <c r="M24" s="21"/>
    </row>
    <row r="25" spans="1:13">
      <c r="A25" s="969">
        <v>2009</v>
      </c>
      <c r="B25" s="294">
        <f t="shared" si="5"/>
        <v>1.0016109544905356</v>
      </c>
      <c r="C25" s="294">
        <f t="shared" si="5"/>
        <v>0.99485861182519275</v>
      </c>
      <c r="D25" s="294">
        <f t="shared" si="5"/>
        <v>1</v>
      </c>
      <c r="E25" s="499">
        <f t="shared" si="5"/>
        <v>1.0018326206475259</v>
      </c>
      <c r="F25" s="294">
        <f t="shared" si="5"/>
        <v>1.1194029850746268</v>
      </c>
      <c r="G25" s="294">
        <f t="shared" si="5"/>
        <v>1</v>
      </c>
      <c r="J25" s="294">
        <f t="shared" si="6"/>
        <v>1.0017678255745432</v>
      </c>
      <c r="L25" s="294">
        <f t="shared" si="7"/>
        <v>1</v>
      </c>
      <c r="M25" s="21"/>
    </row>
    <row r="26" spans="1:13">
      <c r="A26" s="969">
        <v>2010</v>
      </c>
      <c r="B26" s="294">
        <f t="shared" si="5"/>
        <v>1.0016083634901487</v>
      </c>
      <c r="C26" s="294">
        <f t="shared" si="5"/>
        <v>0.9948320413436692</v>
      </c>
      <c r="D26" s="294">
        <f t="shared" si="5"/>
        <v>1</v>
      </c>
      <c r="E26" s="499">
        <f t="shared" si="5"/>
        <v>1.0371951219512194</v>
      </c>
      <c r="F26" s="576">
        <f t="shared" si="5"/>
        <v>1</v>
      </c>
      <c r="G26" s="294">
        <f t="shared" si="5"/>
        <v>0.97959183673469385</v>
      </c>
      <c r="J26" s="294">
        <f t="shared" si="6"/>
        <v>1.0005882352941176</v>
      </c>
      <c r="L26" s="294">
        <f t="shared" si="7"/>
        <v>1.0175438596491229</v>
      </c>
      <c r="M26" s="21"/>
    </row>
    <row r="27" spans="1:13">
      <c r="A27" s="969">
        <v>2011</v>
      </c>
      <c r="B27" s="294">
        <f t="shared" si="5"/>
        <v>1.0044158972300281</v>
      </c>
      <c r="C27" s="294">
        <f t="shared" si="5"/>
        <v>0.99870129870129876</v>
      </c>
      <c r="D27" s="294">
        <f t="shared" si="5"/>
        <v>1</v>
      </c>
      <c r="E27" s="294">
        <f t="shared" si="5"/>
        <v>1.0011757789535567</v>
      </c>
      <c r="F27" s="294">
        <f t="shared" si="5"/>
        <v>1</v>
      </c>
      <c r="G27" s="294">
        <f t="shared" si="5"/>
        <v>1.2291666666666667</v>
      </c>
      <c r="J27" s="294">
        <f t="shared" si="6"/>
        <v>1.0011757789535567</v>
      </c>
      <c r="L27" s="294">
        <f t="shared" si="7"/>
        <v>1.0172413793103448</v>
      </c>
      <c r="M27" s="21"/>
    </row>
    <row r="28" spans="1:13">
      <c r="A28" s="969">
        <v>2012</v>
      </c>
      <c r="B28" s="294">
        <f t="shared" si="5"/>
        <v>1.0041966426858513</v>
      </c>
      <c r="C28" s="294">
        <f t="shared" si="5"/>
        <v>1.0013003901170352</v>
      </c>
      <c r="D28" s="294">
        <f t="shared" si="5"/>
        <v>1.0151515151515151</v>
      </c>
      <c r="E28" s="294">
        <f t="shared" si="5"/>
        <v>1</v>
      </c>
      <c r="F28" s="294">
        <f t="shared" si="5"/>
        <v>1</v>
      </c>
      <c r="G28" s="294">
        <f t="shared" si="5"/>
        <v>1.0169491525423728</v>
      </c>
      <c r="J28" s="294">
        <f t="shared" si="6"/>
        <v>1</v>
      </c>
      <c r="L28" s="294">
        <f t="shared" si="7"/>
        <v>1.0169491525423728</v>
      </c>
      <c r="M28" s="21"/>
    </row>
    <row r="29" spans="1:13">
      <c r="A29" s="969">
        <v>2013</v>
      </c>
      <c r="B29" s="294">
        <f t="shared" si="5"/>
        <v>1.0019900497512437</v>
      </c>
      <c r="C29" s="294">
        <f t="shared" si="5"/>
        <v>0.98571428571428577</v>
      </c>
      <c r="D29" s="294">
        <f t="shared" si="5"/>
        <v>0.97014925373134331</v>
      </c>
      <c r="E29" s="294">
        <f t="shared" si="5"/>
        <v>1.002348796241926</v>
      </c>
      <c r="F29" s="294">
        <f t="shared" si="5"/>
        <v>1</v>
      </c>
      <c r="G29" s="294">
        <f t="shared" si="5"/>
        <v>1.0166666666666666</v>
      </c>
      <c r="J29" s="294">
        <f t="shared" si="6"/>
        <v>1.002348796241926</v>
      </c>
      <c r="L29" s="294">
        <f t="shared" si="7"/>
        <v>1.0166666666666666</v>
      </c>
      <c r="M29" s="21"/>
    </row>
    <row r="30" spans="1:13">
      <c r="A30" s="969">
        <v>2014</v>
      </c>
      <c r="B30" s="294">
        <f t="shared" si="5"/>
        <v>1.0009930486593843</v>
      </c>
      <c r="C30" s="294">
        <f t="shared" si="5"/>
        <v>0.99341238471673254</v>
      </c>
      <c r="D30" s="294">
        <f t="shared" si="5"/>
        <v>0.98461538461538467</v>
      </c>
      <c r="E30" s="294">
        <f t="shared" si="5"/>
        <v>1</v>
      </c>
      <c r="F30" s="294">
        <f t="shared" si="5"/>
        <v>1</v>
      </c>
      <c r="G30" s="294">
        <f t="shared" si="5"/>
        <v>1</v>
      </c>
      <c r="J30" s="294">
        <f t="shared" si="6"/>
        <v>1</v>
      </c>
      <c r="L30" s="294">
        <f t="shared" si="7"/>
        <v>1</v>
      </c>
      <c r="M30" s="21"/>
    </row>
    <row r="31" spans="1:13">
      <c r="A31" s="969">
        <v>2015</v>
      </c>
      <c r="B31" s="294">
        <f t="shared" si="5"/>
        <v>1.0027777777777778</v>
      </c>
      <c r="C31" s="294">
        <f t="shared" si="5"/>
        <v>0.98408488063660482</v>
      </c>
      <c r="D31" s="294">
        <f t="shared" si="5"/>
        <v>1</v>
      </c>
      <c r="E31" s="294">
        <f t="shared" si="5"/>
        <v>1.0023432923257176</v>
      </c>
      <c r="F31" s="294">
        <f t="shared" si="5"/>
        <v>1</v>
      </c>
      <c r="G31" s="294">
        <f t="shared" si="5"/>
        <v>0.96721311475409832</v>
      </c>
      <c r="J31" s="294">
        <f t="shared" si="6"/>
        <v>1.0023432923257176</v>
      </c>
      <c r="L31" s="294">
        <f t="shared" si="7"/>
        <v>0.96721311475409832</v>
      </c>
      <c r="M31" s="21"/>
    </row>
    <row r="32" spans="1:13">
      <c r="A32" s="969">
        <v>2016</v>
      </c>
      <c r="B32" s="294">
        <f t="shared" si="5"/>
        <v>1.0033636723387416</v>
      </c>
      <c r="C32" s="294">
        <f t="shared" si="5"/>
        <v>0.99730458221024254</v>
      </c>
      <c r="D32" s="294">
        <f t="shared" si="5"/>
        <v>1</v>
      </c>
      <c r="E32" s="294">
        <f t="shared" si="5"/>
        <v>1</v>
      </c>
      <c r="F32" s="294">
        <f t="shared" si="5"/>
        <v>0.97333333333333338</v>
      </c>
      <c r="G32" s="294">
        <f t="shared" si="5"/>
        <v>0.98305084745762716</v>
      </c>
      <c r="J32" s="294">
        <f t="shared" si="6"/>
        <v>1</v>
      </c>
      <c r="L32" s="294">
        <f t="shared" si="7"/>
        <v>0.98305084745762716</v>
      </c>
      <c r="M32" s="21"/>
    </row>
    <row r="33" spans="1:13">
      <c r="A33" s="969">
        <v>2017</v>
      </c>
      <c r="B33" s="294"/>
      <c r="C33" s="294"/>
      <c r="D33" s="294"/>
      <c r="E33" s="294"/>
      <c r="F33" s="294"/>
      <c r="G33" s="294"/>
      <c r="J33" s="1163"/>
      <c r="L33" s="1163"/>
      <c r="M33" s="21"/>
    </row>
    <row r="34" spans="1:13">
      <c r="A34" s="971"/>
      <c r="B34" s="295"/>
      <c r="C34" s="295"/>
      <c r="D34" s="295"/>
      <c r="E34" s="295"/>
      <c r="F34" s="295"/>
      <c r="G34" s="295"/>
      <c r="M34" s="21"/>
    </row>
    <row r="35" spans="1:13">
      <c r="A35" s="971" t="s">
        <v>49</v>
      </c>
      <c r="B35" s="547">
        <f>B37</f>
        <v>1.0025483533256057</v>
      </c>
      <c r="C35" s="547">
        <f>C37</f>
        <v>0.99639376100528987</v>
      </c>
      <c r="D35" s="547">
        <f>D37</f>
        <v>0.99584415624315858</v>
      </c>
      <c r="E35" s="547">
        <v>1</v>
      </c>
      <c r="F35" s="547">
        <v>1</v>
      </c>
      <c r="G35" s="547">
        <f>L35</f>
        <v>1.0015823180654901</v>
      </c>
      <c r="J35" s="9">
        <f>J37</f>
        <v>1.0009619070414879</v>
      </c>
      <c r="K35" s="9"/>
      <c r="L35" s="9">
        <f>L37</f>
        <v>1.0015823180654901</v>
      </c>
      <c r="M35" s="21"/>
    </row>
    <row r="36" spans="1:13">
      <c r="A36" s="971"/>
      <c r="B36" s="296"/>
      <c r="C36" s="296"/>
      <c r="D36" s="296"/>
      <c r="E36" s="296"/>
      <c r="F36" s="296"/>
      <c r="G36" s="296"/>
      <c r="M36" s="21"/>
    </row>
    <row r="37" spans="1:13">
      <c r="A37" s="971" t="s">
        <v>9</v>
      </c>
      <c r="B37" s="296">
        <f t="shared" ref="B37:G37" si="8">GEOMEAN(B22:B32)</f>
        <v>1.0025483533256057</v>
      </c>
      <c r="C37" s="296">
        <f t="shared" si="8"/>
        <v>0.99639376100528987</v>
      </c>
      <c r="D37" s="296">
        <f t="shared" si="8"/>
        <v>0.99584415624315858</v>
      </c>
      <c r="E37" s="296">
        <f t="shared" si="8"/>
        <v>1.0042507526484019</v>
      </c>
      <c r="F37" s="296">
        <f t="shared" si="8"/>
        <v>1.0243934738140281</v>
      </c>
      <c r="G37" s="296">
        <f t="shared" si="8"/>
        <v>1.0154474344659536</v>
      </c>
      <c r="H37" s="9" t="s">
        <v>360</v>
      </c>
      <c r="J37" s="296">
        <f>GEOMEAN(J22:J32)</f>
        <v>1.0009619070414879</v>
      </c>
      <c r="K37" s="9"/>
      <c r="L37" s="296">
        <f>GEOMEAN(L22:L32)</f>
        <v>1.0015823180654901</v>
      </c>
      <c r="M37" s="21"/>
    </row>
    <row r="38" spans="1:13">
      <c r="A38" s="2"/>
      <c r="B38" s="296"/>
      <c r="C38" s="9"/>
      <c r="D38" s="9"/>
      <c r="E38" s="9"/>
      <c r="F38" s="9"/>
      <c r="G38" s="9"/>
      <c r="I38" s="9"/>
      <c r="M38" s="21"/>
    </row>
    <row r="39" spans="1:13">
      <c r="A39" s="2"/>
      <c r="B39" s="296"/>
      <c r="C39" s="9"/>
      <c r="D39" s="9"/>
      <c r="E39" s="9"/>
      <c r="F39" s="9"/>
      <c r="G39" s="9"/>
      <c r="I39" s="9"/>
    </row>
    <row r="40" spans="1:13">
      <c r="A40" s="2"/>
      <c r="B40" s="296"/>
      <c r="C40" s="9"/>
      <c r="D40" s="9"/>
      <c r="E40" s="9"/>
      <c r="F40" s="9"/>
      <c r="G40" s="9"/>
      <c r="I40" s="9"/>
    </row>
    <row r="41" spans="1:13">
      <c r="A41" s="2"/>
      <c r="B41" s="514" t="s">
        <v>315</v>
      </c>
      <c r="C41" s="9"/>
      <c r="D41" s="9"/>
      <c r="E41" s="9" t="s">
        <v>546</v>
      </c>
      <c r="F41" s="9"/>
      <c r="G41" s="9"/>
      <c r="I41" s="9"/>
    </row>
    <row r="42" spans="1:13">
      <c r="A42" s="2">
        <v>2005</v>
      </c>
      <c r="B42" s="296"/>
      <c r="C42" s="296"/>
      <c r="D42" s="296"/>
      <c r="E42" s="296"/>
      <c r="F42" s="296"/>
      <c r="G42" s="296"/>
    </row>
    <row r="43" spans="1:13">
      <c r="A43" s="2">
        <v>2006</v>
      </c>
      <c r="B43" s="515">
        <f t="shared" ref="B43:G52" si="9">AVERAGE(B4:B5)</f>
        <v>4946.5</v>
      </c>
      <c r="C43" s="515">
        <f t="shared" si="9"/>
        <v>770.5</v>
      </c>
      <c r="D43" s="515">
        <f t="shared" si="9"/>
        <v>66</v>
      </c>
      <c r="E43" s="515">
        <f t="shared" si="9"/>
        <v>1637</v>
      </c>
      <c r="F43" s="515">
        <f t="shared" si="9"/>
        <v>61.5</v>
      </c>
      <c r="G43" s="515">
        <f t="shared" si="9"/>
        <v>49.5</v>
      </c>
      <c r="H43" s="4">
        <f t="shared" ref="H43:H48" si="10">SUM(B43:G43)</f>
        <v>7531</v>
      </c>
      <c r="J43" s="4">
        <f t="shared" ref="J43:J52" si="11">AVERAGE(J4:J5)</f>
        <v>1697</v>
      </c>
    </row>
    <row r="44" spans="1:13">
      <c r="A44">
        <v>2007</v>
      </c>
      <c r="B44" s="515">
        <f t="shared" si="9"/>
        <v>4964.5</v>
      </c>
      <c r="C44" s="515">
        <f t="shared" si="9"/>
        <v>777.5</v>
      </c>
      <c r="D44" s="515">
        <f t="shared" si="9"/>
        <v>65</v>
      </c>
      <c r="E44" s="515">
        <f t="shared" si="9"/>
        <v>1642.5</v>
      </c>
      <c r="F44" s="515">
        <f t="shared" si="9"/>
        <v>67</v>
      </c>
      <c r="G44" s="515">
        <f t="shared" si="9"/>
        <v>49</v>
      </c>
      <c r="H44" s="4">
        <f t="shared" si="10"/>
        <v>7565.5</v>
      </c>
      <c r="J44" s="4">
        <f t="shared" si="11"/>
        <v>1702.5</v>
      </c>
    </row>
    <row r="45" spans="1:13">
      <c r="A45">
        <v>2008</v>
      </c>
      <c r="B45" s="515">
        <f t="shared" si="9"/>
        <v>4966.5</v>
      </c>
      <c r="C45" s="515">
        <f t="shared" si="9"/>
        <v>781</v>
      </c>
      <c r="D45" s="515">
        <f t="shared" si="9"/>
        <v>65.5</v>
      </c>
      <c r="E45" s="515">
        <f t="shared" si="9"/>
        <v>1640.5</v>
      </c>
      <c r="F45" s="515">
        <f t="shared" si="9"/>
        <v>67</v>
      </c>
      <c r="G45" s="515">
        <f t="shared" si="9"/>
        <v>48.5</v>
      </c>
      <c r="H45" s="4">
        <f t="shared" si="10"/>
        <v>7569</v>
      </c>
      <c r="J45" s="4">
        <f t="shared" si="11"/>
        <v>1700.5</v>
      </c>
    </row>
    <row r="46" spans="1:13">
      <c r="A46">
        <v>2009</v>
      </c>
      <c r="B46" s="515">
        <f t="shared" si="9"/>
        <v>4970</v>
      </c>
      <c r="C46" s="515">
        <f t="shared" si="9"/>
        <v>776</v>
      </c>
      <c r="D46" s="515">
        <f t="shared" si="9"/>
        <v>66</v>
      </c>
      <c r="E46" s="515">
        <f t="shared" si="9"/>
        <v>1638.5</v>
      </c>
      <c r="F46" s="515">
        <f t="shared" si="9"/>
        <v>71</v>
      </c>
      <c r="G46" s="515">
        <f t="shared" si="9"/>
        <v>49</v>
      </c>
      <c r="H46" s="4">
        <f t="shared" si="10"/>
        <v>7570.5</v>
      </c>
      <c r="J46" s="4">
        <f t="shared" si="11"/>
        <v>1698.5</v>
      </c>
    </row>
    <row r="47" spans="1:13">
      <c r="A47">
        <v>2010</v>
      </c>
      <c r="B47" s="515">
        <f t="shared" si="9"/>
        <v>4978</v>
      </c>
      <c r="C47" s="515">
        <f t="shared" si="9"/>
        <v>772</v>
      </c>
      <c r="D47" s="515">
        <f t="shared" si="9"/>
        <v>66</v>
      </c>
      <c r="E47" s="515">
        <f t="shared" si="9"/>
        <v>1670.5</v>
      </c>
      <c r="F47" s="515">
        <f t="shared" si="9"/>
        <v>75</v>
      </c>
      <c r="G47" s="515">
        <f t="shared" si="9"/>
        <v>48.5</v>
      </c>
      <c r="H47" s="4">
        <f t="shared" si="10"/>
        <v>7610</v>
      </c>
      <c r="J47" s="4">
        <f t="shared" si="11"/>
        <v>1700.5</v>
      </c>
    </row>
    <row r="48" spans="1:13">
      <c r="A48">
        <v>2011</v>
      </c>
      <c r="B48" s="515">
        <f t="shared" si="9"/>
        <v>4993</v>
      </c>
      <c r="C48" s="515">
        <f t="shared" si="9"/>
        <v>769.5</v>
      </c>
      <c r="D48" s="515">
        <f t="shared" si="9"/>
        <v>66</v>
      </c>
      <c r="E48" s="515">
        <f t="shared" si="9"/>
        <v>1702</v>
      </c>
      <c r="F48" s="515">
        <f t="shared" si="9"/>
        <v>75</v>
      </c>
      <c r="G48" s="515">
        <f t="shared" si="9"/>
        <v>53.5</v>
      </c>
      <c r="H48" s="4">
        <f t="shared" si="10"/>
        <v>7659</v>
      </c>
      <c r="J48" s="4">
        <f t="shared" si="11"/>
        <v>1702</v>
      </c>
    </row>
    <row r="49" spans="1:21">
      <c r="A49">
        <v>2012</v>
      </c>
      <c r="B49" s="515">
        <f t="shared" si="9"/>
        <v>5014.5</v>
      </c>
      <c r="C49" s="515">
        <f t="shared" si="9"/>
        <v>769.5</v>
      </c>
      <c r="D49" s="515">
        <f t="shared" si="9"/>
        <v>66.5</v>
      </c>
      <c r="E49" s="515">
        <f t="shared" si="9"/>
        <v>1703</v>
      </c>
      <c r="F49" s="515">
        <f t="shared" si="9"/>
        <v>75</v>
      </c>
      <c r="G49" s="515">
        <f t="shared" si="9"/>
        <v>59.5</v>
      </c>
      <c r="H49" s="4">
        <f>SUM(B49:G49)</f>
        <v>7688</v>
      </c>
      <c r="J49" s="4">
        <f t="shared" si="11"/>
        <v>1703</v>
      </c>
    </row>
    <row r="50" spans="1:21">
      <c r="A50">
        <v>2013</v>
      </c>
      <c r="B50" s="515">
        <f t="shared" si="9"/>
        <v>5030</v>
      </c>
      <c r="C50" s="515">
        <f t="shared" si="9"/>
        <v>764.5</v>
      </c>
      <c r="D50" s="515">
        <f t="shared" si="9"/>
        <v>66</v>
      </c>
      <c r="E50" s="515">
        <f t="shared" si="9"/>
        <v>1705</v>
      </c>
      <c r="F50" s="515">
        <f t="shared" si="9"/>
        <v>75</v>
      </c>
      <c r="G50" s="515">
        <f t="shared" si="9"/>
        <v>60.5</v>
      </c>
      <c r="H50" s="4">
        <f>SUM(B50:G50)</f>
        <v>7701</v>
      </c>
      <c r="J50" s="4">
        <f t="shared" si="11"/>
        <v>1705</v>
      </c>
    </row>
    <row r="51" spans="1:21">
      <c r="A51">
        <v>2014</v>
      </c>
      <c r="B51" s="515">
        <f t="shared" si="9"/>
        <v>5037.5</v>
      </c>
      <c r="C51" s="515">
        <f t="shared" si="9"/>
        <v>756.5</v>
      </c>
      <c r="D51" s="515">
        <f t="shared" si="9"/>
        <v>64.5</v>
      </c>
      <c r="E51" s="515">
        <f t="shared" si="9"/>
        <v>1707</v>
      </c>
      <c r="F51" s="515">
        <f t="shared" si="9"/>
        <v>75</v>
      </c>
      <c r="G51" s="515">
        <f t="shared" si="9"/>
        <v>61</v>
      </c>
      <c r="H51" s="4">
        <f>SUM(B51:G51)</f>
        <v>7701.5</v>
      </c>
      <c r="J51" s="4">
        <f t="shared" si="11"/>
        <v>1707</v>
      </c>
    </row>
    <row r="52" spans="1:21">
      <c r="A52">
        <v>2015</v>
      </c>
      <c r="B52" s="515">
        <f t="shared" si="9"/>
        <v>5047</v>
      </c>
      <c r="C52" s="515">
        <f t="shared" si="9"/>
        <v>748</v>
      </c>
      <c r="D52" s="515">
        <f t="shared" si="9"/>
        <v>64</v>
      </c>
      <c r="E52" s="515">
        <f t="shared" si="9"/>
        <v>1709</v>
      </c>
      <c r="F52" s="515">
        <f t="shared" si="9"/>
        <v>75</v>
      </c>
      <c r="G52" s="515">
        <f t="shared" si="9"/>
        <v>60</v>
      </c>
      <c r="H52" s="4">
        <f>SUM(B52:G52)</f>
        <v>7703</v>
      </c>
      <c r="J52" s="4">
        <f t="shared" si="11"/>
        <v>1709</v>
      </c>
    </row>
    <row r="53" spans="1:21" s="4" customFormat="1">
      <c r="A53">
        <v>2016</v>
      </c>
      <c r="B53" s="4">
        <f t="shared" ref="B53:G53" si="12">B52*B67</f>
        <v>5058.5137572709818</v>
      </c>
      <c r="C53" s="4">
        <f t="shared" si="12"/>
        <v>746.28744259740813</v>
      </c>
      <c r="D53" s="4">
        <f t="shared" si="12"/>
        <v>63.816347860225491</v>
      </c>
      <c r="E53" s="4">
        <f t="shared" si="12"/>
        <v>1710.2556056434667</v>
      </c>
      <c r="F53" s="4">
        <f t="shared" si="12"/>
        <v>75</v>
      </c>
      <c r="G53" s="4">
        <f t="shared" si="12"/>
        <v>60</v>
      </c>
      <c r="H53" s="4">
        <f>SUM(B53:G53)</f>
        <v>7713.873153372082</v>
      </c>
      <c r="M53"/>
      <c r="N53"/>
      <c r="O53"/>
      <c r="P53"/>
      <c r="Q53"/>
      <c r="R53"/>
      <c r="S53"/>
      <c r="T53"/>
      <c r="U53"/>
    </row>
    <row r="55" spans="1:21" s="4" customFormat="1">
      <c r="A55">
        <v>2005</v>
      </c>
      <c r="B55" s="296"/>
      <c r="C55" s="739" t="s">
        <v>432</v>
      </c>
      <c r="J55" s="4" t="s">
        <v>180</v>
      </c>
      <c r="M55"/>
      <c r="N55"/>
      <c r="O55"/>
      <c r="P55"/>
      <c r="Q55"/>
      <c r="R55"/>
      <c r="S55"/>
      <c r="T55"/>
      <c r="U55"/>
    </row>
    <row r="56" spans="1:21" s="4" customFormat="1">
      <c r="A56">
        <v>2006</v>
      </c>
      <c r="J56" s="294"/>
      <c r="M56"/>
      <c r="N56"/>
      <c r="O56"/>
      <c r="P56"/>
      <c r="Q56"/>
      <c r="R56"/>
      <c r="S56"/>
      <c r="T56"/>
      <c r="U56"/>
    </row>
    <row r="57" spans="1:21" s="4" customFormat="1">
      <c r="A57">
        <v>2007</v>
      </c>
      <c r="B57" s="9">
        <f t="shared" ref="B57:G65" si="13">B44/B43</f>
        <v>1.0036389366218539</v>
      </c>
      <c r="C57" s="9">
        <f t="shared" si="13"/>
        <v>1.009085009733939</v>
      </c>
      <c r="D57" s="9">
        <f t="shared" si="13"/>
        <v>0.98484848484848486</v>
      </c>
      <c r="E57" s="9">
        <f t="shared" si="13"/>
        <v>1.0033598045204644</v>
      </c>
      <c r="F57" s="9">
        <f t="shared" si="13"/>
        <v>1.089430894308943</v>
      </c>
      <c r="G57" s="9">
        <f t="shared" si="13"/>
        <v>0.98989898989898994</v>
      </c>
      <c r="H57" s="9"/>
      <c r="I57" s="9"/>
      <c r="J57" s="9">
        <f t="shared" ref="J57:J65" si="14">J44/J43</f>
        <v>1.0032410135533294</v>
      </c>
      <c r="M57"/>
      <c r="N57"/>
      <c r="O57"/>
      <c r="P57"/>
      <c r="Q57"/>
      <c r="R57"/>
      <c r="S57"/>
      <c r="T57"/>
      <c r="U57"/>
    </row>
    <row r="58" spans="1:21" s="4" customFormat="1">
      <c r="A58">
        <v>2008</v>
      </c>
      <c r="B58" s="9">
        <f t="shared" si="13"/>
        <v>1.000402860308188</v>
      </c>
      <c r="C58" s="9">
        <f t="shared" si="13"/>
        <v>1.0045016077170419</v>
      </c>
      <c r="D58" s="9">
        <f t="shared" si="13"/>
        <v>1.0076923076923077</v>
      </c>
      <c r="E58" s="9">
        <f t="shared" si="13"/>
        <v>0.9987823439878234</v>
      </c>
      <c r="F58" s="9">
        <f t="shared" si="13"/>
        <v>1</v>
      </c>
      <c r="G58" s="9">
        <f t="shared" si="13"/>
        <v>0.98979591836734693</v>
      </c>
      <c r="H58" s="9"/>
      <c r="I58" s="9"/>
      <c r="J58" s="9">
        <f t="shared" si="14"/>
        <v>0.99882525697503666</v>
      </c>
      <c r="M58"/>
      <c r="N58"/>
      <c r="O58"/>
      <c r="P58"/>
      <c r="Q58"/>
      <c r="R58"/>
      <c r="S58"/>
      <c r="T58"/>
      <c r="U58"/>
    </row>
    <row r="59" spans="1:21" s="4" customFormat="1">
      <c r="A59">
        <v>2009</v>
      </c>
      <c r="B59" s="9">
        <f t="shared" si="13"/>
        <v>1.0007047216349543</v>
      </c>
      <c r="C59" s="9">
        <f t="shared" si="13"/>
        <v>0.99359795134443019</v>
      </c>
      <c r="D59" s="9">
        <f t="shared" si="13"/>
        <v>1.0076335877862594</v>
      </c>
      <c r="E59" s="9">
        <f t="shared" si="13"/>
        <v>0.99878085949405671</v>
      </c>
      <c r="F59" s="9">
        <f t="shared" si="13"/>
        <v>1.0597014925373134</v>
      </c>
      <c r="G59" s="9">
        <f t="shared" si="13"/>
        <v>1.0103092783505154</v>
      </c>
      <c r="H59" s="9"/>
      <c r="I59" s="9"/>
      <c r="J59" s="9">
        <f t="shared" si="14"/>
        <v>0.99882387533078509</v>
      </c>
      <c r="M59"/>
      <c r="N59"/>
      <c r="O59"/>
      <c r="P59"/>
      <c r="Q59"/>
      <c r="R59"/>
      <c r="S59"/>
      <c r="T59"/>
      <c r="U59"/>
    </row>
    <row r="60" spans="1:21" s="4" customFormat="1">
      <c r="A60">
        <v>2010</v>
      </c>
      <c r="B60" s="9">
        <f t="shared" si="13"/>
        <v>1.0016096579476861</v>
      </c>
      <c r="C60" s="9">
        <f t="shared" si="13"/>
        <v>0.99484536082474229</v>
      </c>
      <c r="D60" s="9">
        <f t="shared" si="13"/>
        <v>1</v>
      </c>
      <c r="E60" s="9">
        <f t="shared" si="13"/>
        <v>1.0195300579798596</v>
      </c>
      <c r="F60" s="9">
        <f t="shared" si="13"/>
        <v>1.056338028169014</v>
      </c>
      <c r="G60" s="9">
        <f t="shared" si="13"/>
        <v>0.98979591836734693</v>
      </c>
      <c r="H60" s="9"/>
      <c r="I60" s="9"/>
      <c r="J60" s="9">
        <f t="shared" si="14"/>
        <v>1.0011775095672653</v>
      </c>
      <c r="M60"/>
      <c r="N60"/>
      <c r="O60"/>
      <c r="P60"/>
      <c r="Q60"/>
      <c r="R60"/>
      <c r="S60"/>
      <c r="T60"/>
      <c r="U60"/>
    </row>
    <row r="61" spans="1:21" s="4" customFormat="1">
      <c r="A61">
        <v>2011</v>
      </c>
      <c r="B61" s="9">
        <f t="shared" si="13"/>
        <v>1.0030132583366813</v>
      </c>
      <c r="C61" s="9">
        <f t="shared" si="13"/>
        <v>0.99676165803108807</v>
      </c>
      <c r="D61" s="9">
        <f t="shared" si="13"/>
        <v>1</v>
      </c>
      <c r="E61" s="9">
        <f t="shared" si="13"/>
        <v>1.0188566297515713</v>
      </c>
      <c r="F61" s="9">
        <f t="shared" si="13"/>
        <v>1</v>
      </c>
      <c r="G61" s="9">
        <f t="shared" si="13"/>
        <v>1.1030927835051547</v>
      </c>
      <c r="H61" s="9"/>
      <c r="I61" s="9"/>
      <c r="J61" s="9">
        <f t="shared" si="14"/>
        <v>1.0008820935019112</v>
      </c>
      <c r="M61"/>
      <c r="N61"/>
      <c r="O61"/>
      <c r="P61"/>
      <c r="Q61"/>
      <c r="R61"/>
      <c r="S61"/>
      <c r="T61"/>
      <c r="U61"/>
    </row>
    <row r="62" spans="1:21" s="4" customFormat="1">
      <c r="A62">
        <v>2012</v>
      </c>
      <c r="B62" s="9">
        <f t="shared" si="13"/>
        <v>1.0043060284398158</v>
      </c>
      <c r="C62" s="9">
        <f t="shared" si="13"/>
        <v>1</v>
      </c>
      <c r="D62" s="9">
        <f t="shared" si="13"/>
        <v>1.0075757575757576</v>
      </c>
      <c r="E62" s="9">
        <f t="shared" si="13"/>
        <v>1.000587544065805</v>
      </c>
      <c r="F62" s="9">
        <f t="shared" si="13"/>
        <v>1</v>
      </c>
      <c r="G62" s="9">
        <f t="shared" si="13"/>
        <v>1.1121495327102804</v>
      </c>
      <c r="H62" s="9"/>
      <c r="I62" s="9"/>
      <c r="J62" s="9">
        <f t="shared" si="14"/>
        <v>1.000587544065805</v>
      </c>
      <c r="M62"/>
      <c r="N62"/>
      <c r="O62"/>
      <c r="P62"/>
      <c r="Q62"/>
      <c r="R62"/>
      <c r="S62"/>
      <c r="T62"/>
      <c r="U62"/>
    </row>
    <row r="63" spans="1:21" s="4" customFormat="1">
      <c r="A63">
        <v>2013</v>
      </c>
      <c r="B63" s="9">
        <f t="shared" si="13"/>
        <v>1.0030910359956127</v>
      </c>
      <c r="C63" s="9">
        <f t="shared" si="13"/>
        <v>0.99350227420402859</v>
      </c>
      <c r="D63" s="9">
        <f t="shared" si="13"/>
        <v>0.99248120300751874</v>
      </c>
      <c r="E63" s="9">
        <f t="shared" si="13"/>
        <v>1.0011743981209631</v>
      </c>
      <c r="F63" s="9">
        <f t="shared" si="13"/>
        <v>1</v>
      </c>
      <c r="G63" s="9">
        <f t="shared" si="13"/>
        <v>1.0168067226890756</v>
      </c>
      <c r="H63" s="9"/>
      <c r="I63" s="9"/>
      <c r="J63" s="9">
        <f t="shared" si="14"/>
        <v>1.0011743981209631</v>
      </c>
      <c r="M63"/>
      <c r="N63"/>
      <c r="O63"/>
      <c r="P63"/>
      <c r="Q63"/>
      <c r="R63"/>
      <c r="S63"/>
      <c r="T63"/>
      <c r="U63"/>
    </row>
    <row r="64" spans="1:21" s="4" customFormat="1">
      <c r="A64">
        <v>2014</v>
      </c>
      <c r="B64" s="9">
        <f t="shared" si="13"/>
        <v>1.0014910536779325</v>
      </c>
      <c r="C64" s="9">
        <f t="shared" si="13"/>
        <v>0.98953564421190321</v>
      </c>
      <c r="D64" s="9">
        <f t="shared" si="13"/>
        <v>0.97727272727272729</v>
      </c>
      <c r="E64" s="9">
        <f t="shared" si="13"/>
        <v>1.0011730205278593</v>
      </c>
      <c r="F64" s="9">
        <f t="shared" si="13"/>
        <v>1</v>
      </c>
      <c r="G64" s="9">
        <f t="shared" si="13"/>
        <v>1.0082644628099173</v>
      </c>
      <c r="H64" s="9"/>
      <c r="I64" s="9"/>
      <c r="J64" s="9">
        <f t="shared" si="14"/>
        <v>1.0011730205278593</v>
      </c>
      <c r="M64"/>
      <c r="N64"/>
      <c r="O64"/>
      <c r="P64"/>
      <c r="Q64"/>
      <c r="R64"/>
      <c r="S64"/>
      <c r="T64"/>
      <c r="U64"/>
    </row>
    <row r="65" spans="1:21" s="4" customFormat="1">
      <c r="A65">
        <v>2015</v>
      </c>
      <c r="B65" s="9">
        <f t="shared" si="13"/>
        <v>1.0018858560794044</v>
      </c>
      <c r="C65" s="9">
        <f t="shared" si="13"/>
        <v>0.9887640449438202</v>
      </c>
      <c r="D65" s="9">
        <f t="shared" si="13"/>
        <v>0.99224806201550386</v>
      </c>
      <c r="E65" s="9">
        <f t="shared" si="13"/>
        <v>1.0011716461628588</v>
      </c>
      <c r="F65" s="9">
        <f t="shared" si="13"/>
        <v>1</v>
      </c>
      <c r="G65" s="9">
        <f t="shared" si="13"/>
        <v>0.98360655737704916</v>
      </c>
      <c r="H65" s="9"/>
      <c r="I65" s="9"/>
      <c r="J65" s="9">
        <f t="shared" si="14"/>
        <v>1.0011716461628588</v>
      </c>
      <c r="M65"/>
      <c r="N65"/>
      <c r="O65"/>
      <c r="P65"/>
      <c r="Q65"/>
      <c r="R65"/>
      <c r="S65"/>
      <c r="T65"/>
      <c r="U65"/>
    </row>
    <row r="66" spans="1:21" s="4" customFormat="1">
      <c r="A66"/>
      <c r="B66" s="9"/>
      <c r="C66" s="9"/>
      <c r="D66" s="9"/>
      <c r="E66" s="9"/>
      <c r="F66" s="9"/>
      <c r="G66" s="9"/>
      <c r="M66"/>
      <c r="N66"/>
      <c r="O66"/>
      <c r="P66"/>
      <c r="Q66"/>
      <c r="R66"/>
      <c r="S66"/>
      <c r="T66"/>
      <c r="U66"/>
    </row>
    <row r="67" spans="1:21" s="4" customFormat="1">
      <c r="A67" t="s">
        <v>49</v>
      </c>
      <c r="B67" s="9">
        <f>B68</f>
        <v>1.0022813071668282</v>
      </c>
      <c r="C67" s="9">
        <f>C68</f>
        <v>0.99771048475589319</v>
      </c>
      <c r="D67" s="9">
        <f>D68</f>
        <v>0.9971304353160233</v>
      </c>
      <c r="E67" s="9">
        <f>J68</f>
        <v>1.0007347019563877</v>
      </c>
      <c r="F67" s="9">
        <f>1</f>
        <v>1</v>
      </c>
      <c r="G67" s="9">
        <v>1</v>
      </c>
      <c r="M67"/>
      <c r="N67"/>
      <c r="O67"/>
      <c r="P67"/>
      <c r="Q67"/>
      <c r="R67"/>
      <c r="S67"/>
      <c r="T67"/>
      <c r="U67"/>
    </row>
    <row r="68" spans="1:21" s="4" customFormat="1">
      <c r="A68" s="549" t="s">
        <v>9</v>
      </c>
      <c r="B68" s="550">
        <f>GEOMEAN(B57:B64)</f>
        <v>1.0022813071668282</v>
      </c>
      <c r="C68" s="550">
        <f t="shared" ref="C68:J68" si="15">GEOMEAN(C57:C64)</f>
        <v>0.99771048475589319</v>
      </c>
      <c r="D68" s="550">
        <f t="shared" si="15"/>
        <v>0.9971304353160233</v>
      </c>
      <c r="E68" s="550">
        <f t="shared" si="15"/>
        <v>1.0052477395799673</v>
      </c>
      <c r="F68" s="550">
        <f t="shared" si="15"/>
        <v>1.0251166052509357</v>
      </c>
      <c r="G68" s="550">
        <f t="shared" si="15"/>
        <v>1.0264565716006477</v>
      </c>
      <c r="J68" s="296">
        <f t="shared" si="15"/>
        <v>1.0007347019563877</v>
      </c>
      <c r="M68"/>
      <c r="N68"/>
      <c r="O68"/>
      <c r="P68"/>
      <c r="Q68"/>
      <c r="R68"/>
      <c r="S68"/>
      <c r="T68"/>
      <c r="U68"/>
    </row>
  </sheetData>
  <pageMargins left="0.38" right="0.75" top="0.73" bottom="0.74" header="0.5" footer="0.5"/>
  <pageSetup scale="40" orientation="landscape" r:id="rId1"/>
  <headerFooter alignWithMargins="0">
    <oddFooter>&amp;L&amp;Z&amp;F</oddFooter>
  </headerFooter>
  <legacyDrawing r:id="rId2"/>
</worksheet>
</file>

<file path=xl/worksheets/sheet8.xml><?xml version="1.0" encoding="utf-8"?>
<worksheet xmlns="http://schemas.openxmlformats.org/spreadsheetml/2006/main" xmlns:r="http://schemas.openxmlformats.org/officeDocument/2006/relationships">
  <sheetPr>
    <tabColor theme="9" tint="0.39997558519241921"/>
    <pageSetUpPr fitToPage="1"/>
  </sheetPr>
  <dimension ref="A1:I58"/>
  <sheetViews>
    <sheetView zoomScaleNormal="100" workbookViewId="0">
      <selection activeCell="E15" sqref="E15"/>
    </sheetView>
  </sheetViews>
  <sheetFormatPr defaultRowHeight="12.75"/>
  <cols>
    <col min="1" max="1" width="11" customWidth="1"/>
    <col min="2" max="2" width="19.5703125" style="4" customWidth="1"/>
    <col min="3" max="3" width="17.7109375" style="4" customWidth="1"/>
    <col min="4" max="4" width="16.140625" style="4" customWidth="1"/>
    <col min="5" max="5" width="12.7109375" style="4" bestFit="1" customWidth="1"/>
    <col min="6" max="6" width="12.28515625" style="4" bestFit="1" customWidth="1"/>
    <col min="7" max="7" width="10.7109375" style="4" bestFit="1" customWidth="1"/>
    <col min="8" max="9" width="9.140625" style="4" customWidth="1"/>
  </cols>
  <sheetData>
    <row r="1" spans="1:6" ht="42" customHeight="1">
      <c r="A1" s="363"/>
      <c r="B1" s="364" t="s">
        <v>333</v>
      </c>
      <c r="C1" s="364" t="s">
        <v>210</v>
      </c>
      <c r="D1" s="364" t="s">
        <v>181</v>
      </c>
      <c r="E1" s="4" t="s">
        <v>5</v>
      </c>
    </row>
    <row r="2" spans="1:6">
      <c r="A2" s="4"/>
    </row>
    <row r="3" spans="1:6">
      <c r="A3" s="14">
        <v>2005</v>
      </c>
      <c r="B3" s="432">
        <f>'[20]2005-2014'!P8</f>
        <v>139429</v>
      </c>
      <c r="C3" s="432">
        <f>'[20]2005-2014'!V8</f>
        <v>3764</v>
      </c>
      <c r="D3" s="433">
        <f>'[20]2005-2014'!S8</f>
        <v>261</v>
      </c>
      <c r="E3" s="4">
        <f t="shared" ref="E3:E15" si="0">SUM(B3:D3)</f>
        <v>143454</v>
      </c>
    </row>
    <row r="4" spans="1:6">
      <c r="A4" s="14">
        <v>2006</v>
      </c>
      <c r="B4" s="432">
        <f>'[20]2005-2014'!P9</f>
        <v>133580</v>
      </c>
      <c r="C4" s="432">
        <f>'[20]2005-2014'!V9</f>
        <v>3772</v>
      </c>
      <c r="D4" s="433">
        <f>'[20]2005-2014'!S9</f>
        <v>284</v>
      </c>
      <c r="E4" s="4">
        <f t="shared" si="0"/>
        <v>137636</v>
      </c>
    </row>
    <row r="5" spans="1:6">
      <c r="A5" s="14">
        <v>2007</v>
      </c>
      <c r="B5" s="432">
        <f>'[20]2005-2014'!P10</f>
        <v>118636</v>
      </c>
      <c r="C5" s="432">
        <f>'[20]2005-2014'!V10</f>
        <v>3777</v>
      </c>
      <c r="D5" s="433">
        <f>'[20]2005-2014'!S10</f>
        <v>286</v>
      </c>
      <c r="E5" s="4">
        <f t="shared" si="0"/>
        <v>122699</v>
      </c>
    </row>
    <row r="6" spans="1:6">
      <c r="A6" s="14">
        <v>2008</v>
      </c>
      <c r="B6" s="432">
        <f>'[20]2005-2014'!P11</f>
        <v>124007</v>
      </c>
      <c r="C6" s="432">
        <f>'[20]2005-2014'!V11</f>
        <v>3782</v>
      </c>
      <c r="D6" s="433">
        <f>'[20]2005-2014'!S11</f>
        <v>278</v>
      </c>
      <c r="E6" s="4">
        <f t="shared" si="0"/>
        <v>128067</v>
      </c>
    </row>
    <row r="7" spans="1:6">
      <c r="A7" s="14">
        <v>2009</v>
      </c>
      <c r="B7" s="432">
        <f>'[20]2005-2014'!P12</f>
        <v>130261</v>
      </c>
      <c r="C7" s="432">
        <f>'[20]2005-2014'!V12</f>
        <v>3774</v>
      </c>
      <c r="D7" s="433">
        <f>'[20]2005-2014'!S12</f>
        <v>301</v>
      </c>
      <c r="E7" s="4">
        <f t="shared" si="0"/>
        <v>134336</v>
      </c>
    </row>
    <row r="8" spans="1:6">
      <c r="A8" s="14">
        <v>2010</v>
      </c>
      <c r="B8" s="433">
        <f>'[20]2005-2014'!P13</f>
        <v>132433</v>
      </c>
      <c r="C8" s="433">
        <f>'[20]2005-2014'!V13</f>
        <v>3857</v>
      </c>
      <c r="D8" s="433">
        <f>'[20]2005-2014'!S13</f>
        <v>301</v>
      </c>
      <c r="E8" s="4">
        <f t="shared" si="0"/>
        <v>136591</v>
      </c>
    </row>
    <row r="9" spans="1:6">
      <c r="A9" s="14">
        <v>2011</v>
      </c>
      <c r="B9" s="432">
        <f>'[20]2005-2014'!P14</f>
        <v>130762</v>
      </c>
      <c r="C9" s="432">
        <f>'[20]2005-2014'!V14</f>
        <v>3941</v>
      </c>
      <c r="D9" s="432">
        <f>'[20]2005-2014'!S14</f>
        <v>300</v>
      </c>
      <c r="E9" s="4">
        <f t="shared" si="0"/>
        <v>135003</v>
      </c>
    </row>
    <row r="10" spans="1:6">
      <c r="A10" s="14">
        <v>2012</v>
      </c>
      <c r="B10" s="432">
        <f>'[20]2005-2014'!P15</f>
        <v>125469</v>
      </c>
      <c r="C10" s="432">
        <f>'[20]2005-2014'!V15</f>
        <v>3919</v>
      </c>
      <c r="D10" s="432">
        <f>'[20]2005-2014'!S15</f>
        <v>300</v>
      </c>
      <c r="E10" s="4">
        <f t="shared" si="0"/>
        <v>129688</v>
      </c>
    </row>
    <row r="11" spans="1:6">
      <c r="A11" s="14">
        <v>2013</v>
      </c>
      <c r="B11" s="432">
        <f>'[20]2005-2014'!P16</f>
        <v>133148</v>
      </c>
      <c r="C11" s="432">
        <f>'[20]2005-2014'!V16</f>
        <v>3920</v>
      </c>
      <c r="D11" s="432">
        <f>'[20]2005-2014'!S16</f>
        <v>300</v>
      </c>
      <c r="E11" s="4">
        <f t="shared" si="0"/>
        <v>137368</v>
      </c>
    </row>
    <row r="12" spans="1:6">
      <c r="A12" s="14">
        <v>2014</v>
      </c>
      <c r="B12" s="432">
        <f>'[20]2005-2014'!P17</f>
        <v>131947</v>
      </c>
      <c r="C12" s="432">
        <f>'[20]2005-2014'!V17</f>
        <v>3620</v>
      </c>
      <c r="D12" s="432">
        <f>'[20]2005-2014'!S17</f>
        <v>302</v>
      </c>
      <c r="E12" s="4">
        <f t="shared" si="0"/>
        <v>135869</v>
      </c>
      <c r="F12" s="29"/>
    </row>
    <row r="13" spans="1:6">
      <c r="A13" s="14">
        <v>2015</v>
      </c>
      <c r="B13" s="432">
        <f>'[20]2005-2014'!$E$111</f>
        <v>125734.44</v>
      </c>
      <c r="C13" s="432">
        <f>'[20]2005-2014'!$E$112</f>
        <v>2861.6</v>
      </c>
      <c r="D13" s="432">
        <f>'[20]2005-2014'!$E$113</f>
        <v>302</v>
      </c>
      <c r="E13" s="4">
        <f t="shared" si="0"/>
        <v>128898.04000000001</v>
      </c>
    </row>
    <row r="14" spans="1:6">
      <c r="A14" s="14">
        <v>2016</v>
      </c>
      <c r="B14" s="1169">
        <f>'[20]2005-2014'!$E$121</f>
        <v>115477</v>
      </c>
      <c r="C14" s="1169">
        <f>'[20]2005-2014'!$E$122</f>
        <v>2070</v>
      </c>
      <c r="D14" s="1169">
        <f>'[20]2005-2014'!$E$123</f>
        <v>302</v>
      </c>
      <c r="E14" s="4">
        <f t="shared" si="0"/>
        <v>117849</v>
      </c>
    </row>
    <row r="15" spans="1:6">
      <c r="A15" s="14">
        <v>2017</v>
      </c>
      <c r="B15" s="434">
        <f>B31*'Rate Class Energy Model '!G64</f>
        <v>112951.89978761591</v>
      </c>
      <c r="C15" s="434">
        <f>C31*'Rate Class Energy Model '!H64</f>
        <v>1990.6267768959806</v>
      </c>
      <c r="D15" s="434">
        <f>D31*'Rate Class Energy Model '!I64</f>
        <v>292.34814949780423</v>
      </c>
      <c r="E15" s="4">
        <f t="shared" si="0"/>
        <v>115234.8747140097</v>
      </c>
    </row>
    <row r="16" spans="1:6">
      <c r="A16" s="7"/>
    </row>
    <row r="17" spans="1:6">
      <c r="A17" s="6" t="s">
        <v>50</v>
      </c>
      <c r="B17" s="3"/>
      <c r="C17" s="3"/>
      <c r="D17" s="3"/>
    </row>
    <row r="18" spans="1:6">
      <c r="A18" s="2">
        <v>2005</v>
      </c>
      <c r="B18" s="12">
        <f>B3/'Rate Class Energy Model '!G3</f>
        <v>2.5497537457491609E-3</v>
      </c>
      <c r="C18" s="12">
        <f>C3/'Rate Class Energy Model '!H3</f>
        <v>2.7685509092674372E-3</v>
      </c>
      <c r="D18" s="12">
        <f>D3/'Rate Class Energy Model '!I3</f>
        <v>2.7507272037435183E-3</v>
      </c>
    </row>
    <row r="19" spans="1:6">
      <c r="A19" s="2">
        <v>2006</v>
      </c>
      <c r="B19" s="12">
        <f>B4/'Rate Class Energy Model '!G4</f>
        <v>2.7596080398013239E-3</v>
      </c>
      <c r="C19" s="12">
        <f>C4/'Rate Class Energy Model '!H4</f>
        <v>2.8119602240324194E-3</v>
      </c>
      <c r="D19" s="12">
        <f>D4/'Rate Class Energy Model '!I4</f>
        <v>2.7736000156259157E-3</v>
      </c>
    </row>
    <row r="20" spans="1:6">
      <c r="A20" s="2">
        <v>2007</v>
      </c>
      <c r="B20" s="12">
        <f>B5/'Rate Class Energy Model '!G5</f>
        <v>2.6520250751791972E-3</v>
      </c>
      <c r="C20" s="12">
        <f>C5/'Rate Class Energy Model '!H5</f>
        <v>2.7127287091735048E-3</v>
      </c>
      <c r="D20" s="12">
        <f>D5/'Rate Class Energy Model '!I5</f>
        <v>2.7785064070803339E-3</v>
      </c>
    </row>
    <row r="21" spans="1:6">
      <c r="A21" s="2">
        <v>2008</v>
      </c>
      <c r="B21" s="12">
        <f>B6/'Rate Class Energy Model '!G6</f>
        <v>2.794092504296576E-3</v>
      </c>
      <c r="C21" s="12">
        <f>C6/'Rate Class Energy Model '!H6</f>
        <v>2.712633686147852E-3</v>
      </c>
      <c r="D21" s="12">
        <f>D6/'Rate Class Energy Model '!I6</f>
        <v>2.7755313944549274E-3</v>
      </c>
    </row>
    <row r="22" spans="1:6">
      <c r="A22" s="2">
        <v>2009</v>
      </c>
      <c r="B22" s="12">
        <f>B7/'Rate Class Energy Model '!G7</f>
        <v>3.0228114227792593E-3</v>
      </c>
      <c r="C22" s="12">
        <f>C7/'Rate Class Energy Model '!H7</f>
        <v>2.7074666247705217E-3</v>
      </c>
      <c r="D22" s="12">
        <f>D7/'Rate Class Energy Model '!I7</f>
        <v>2.7727624451895794E-3</v>
      </c>
    </row>
    <row r="23" spans="1:6">
      <c r="A23" s="2">
        <v>2010</v>
      </c>
      <c r="B23" s="12">
        <f>B8/'Rate Class Energy Model '!G8</f>
        <v>3.2024217430297458E-3</v>
      </c>
      <c r="C23" s="12">
        <f>C8/'Rate Class Energy Model '!H8</f>
        <v>2.6977706496262499E-3</v>
      </c>
      <c r="D23" s="12">
        <f>D8/'Rate Class Energy Model '!I8</f>
        <v>2.7799070901484155E-3</v>
      </c>
    </row>
    <row r="24" spans="1:6">
      <c r="A24" s="2">
        <v>2011</v>
      </c>
      <c r="B24" s="12">
        <f>B9/'Rate Class Energy Model '!G9</f>
        <v>3.0387713029111337E-3</v>
      </c>
      <c r="C24" s="12">
        <f>C9/'Rate Class Energy Model '!H9</f>
        <v>2.71068882172733E-3</v>
      </c>
      <c r="D24" s="12">
        <f>D9/'Rate Class Energy Model '!I9</f>
        <v>2.77105540263435E-3</v>
      </c>
      <c r="F24" s="12"/>
    </row>
    <row r="25" spans="1:6">
      <c r="A25" s="2">
        <v>2012</v>
      </c>
      <c r="B25" s="12">
        <f>B10/'Rate Class Energy Model '!G10</f>
        <v>2.9487428636011418E-3</v>
      </c>
      <c r="C25" s="12">
        <f>C10/'Rate Class Energy Model '!H10</f>
        <v>2.6956792093591449E-3</v>
      </c>
      <c r="D25" s="12">
        <f>D10/'Rate Class Energy Model '!I10</f>
        <v>2.7709530231097481E-3</v>
      </c>
      <c r="F25" s="12"/>
    </row>
    <row r="26" spans="1:6">
      <c r="A26" s="2">
        <v>2013</v>
      </c>
      <c r="B26" s="12">
        <f>B11/'Rate Class Energy Model '!G11</f>
        <v>3.1516928158527111E-3</v>
      </c>
      <c r="C26" s="12">
        <f>C11/'Rate Class Energy Model '!H11</f>
        <v>2.7084860599335455E-3</v>
      </c>
      <c r="D26" s="12">
        <f>D11/'Rate Class Energy Model '!I11</f>
        <v>2.7705691672592608E-3</v>
      </c>
      <c r="F26" s="12"/>
    </row>
    <row r="27" spans="1:6">
      <c r="A27" s="2">
        <v>2014</v>
      </c>
      <c r="B27" s="12">
        <f>B12/'Rate Class Energy Model '!G12</f>
        <v>3.0984809090724643E-3</v>
      </c>
      <c r="C27" s="12">
        <f>C12/'Rate Class Energy Model '!H12</f>
        <v>2.739301024211032E-3</v>
      </c>
      <c r="D27" s="12">
        <f>D12/'Rate Class Energy Model '!I12</f>
        <v>2.7629869535781594E-3</v>
      </c>
      <c r="F27" s="12"/>
    </row>
    <row r="28" spans="1:6">
      <c r="A28" s="2">
        <v>2015</v>
      </c>
      <c r="B28" s="12">
        <f>B13/'Rate Class Energy Model '!G13</f>
        <v>3.0728335547147048E-3</v>
      </c>
      <c r="C28" s="12">
        <f>C13/'Rate Class Energy Model '!H13</f>
        <v>2.7184001185547716E-3</v>
      </c>
      <c r="D28" s="12">
        <f>D13/'Rate Class Energy Model '!I13</f>
        <v>2.757940494237548E-3</v>
      </c>
      <c r="F28" s="12"/>
    </row>
    <row r="29" spans="1:6">
      <c r="A29" s="2">
        <v>2016</v>
      </c>
      <c r="B29" s="12">
        <f>B14/'Rate Class Energy Model '!G14</f>
        <v>2.9267270983420806E-3</v>
      </c>
      <c r="C29" s="12">
        <f>C14/'Rate Class Energy Model '!H14</f>
        <v>2.6773311535287741E-3</v>
      </c>
      <c r="D29" s="12">
        <f>D14/'Rate Class Energy Model '!I14</f>
        <v>2.8279536665074771E-3</v>
      </c>
      <c r="F29" s="12"/>
    </row>
    <row r="31" spans="1:6">
      <c r="A31" t="s">
        <v>197</v>
      </c>
      <c r="B31" s="435">
        <f>B33</f>
        <v>2.9348300896107917E-3</v>
      </c>
      <c r="C31" s="435">
        <f>C33</f>
        <v>2.7217497658610489E-3</v>
      </c>
      <c r="D31" s="435">
        <f>D33</f>
        <v>2.7743744386307698E-3</v>
      </c>
      <c r="E31" s="435" t="str">
        <f>E33</f>
        <v>12 year</v>
      </c>
    </row>
    <row r="32" spans="1:6">
      <c r="B32" s="641"/>
      <c r="C32" s="641"/>
      <c r="D32" s="641"/>
    </row>
    <row r="33" spans="1:6">
      <c r="B33" s="12">
        <f>AVERAGE(B18:B29)</f>
        <v>2.9348300896107917E-3</v>
      </c>
      <c r="C33" s="12">
        <f>AVERAGE(C18:C29)</f>
        <v>2.7217497658610489E-3</v>
      </c>
      <c r="D33" s="12">
        <f>AVERAGE(D18:D29)</f>
        <v>2.7743744386307698E-3</v>
      </c>
      <c r="E33" s="52" t="s">
        <v>553</v>
      </c>
    </row>
    <row r="34" spans="1:6">
      <c r="B34" s="12">
        <f>AVERAGE(B25:B29)</f>
        <v>3.0396954483166206E-3</v>
      </c>
      <c r="C34" s="12">
        <f>AVERAGE(C25:C29)</f>
        <v>2.707839513117454E-3</v>
      </c>
      <c r="D34" s="12">
        <f>AVERAGE(D25:D29)</f>
        <v>2.7780806609384386E-3</v>
      </c>
      <c r="E34" t="s">
        <v>188</v>
      </c>
      <c r="F34" s="315" t="s">
        <v>198</v>
      </c>
    </row>
    <row r="35" spans="1:6">
      <c r="B35" s="12">
        <f>TREND(B25:B29)</f>
        <v>3.0642736066478463E-3</v>
      </c>
      <c r="C35" s="12">
        <f>TREND(C25:C29)</f>
        <v>2.7131959237253569E-3</v>
      </c>
      <c r="D35" s="12">
        <f>TREND(D25:D29)</f>
        <v>2.7578061381836896E-3</v>
      </c>
      <c r="E35" t="s">
        <v>199</v>
      </c>
    </row>
    <row r="37" spans="1:6">
      <c r="A37">
        <v>2016</v>
      </c>
      <c r="B37" s="20">
        <f>B34*'Rate Class Energy Model '!G64</f>
        <v>116987.82048015045</v>
      </c>
      <c r="C37" s="20">
        <f>C34*'Rate Class Energy Model '!H64</f>
        <v>1980.4531298061163</v>
      </c>
      <c r="D37" s="20">
        <f>D34*'Rate Class Energy Model '!I64</f>
        <v>292.73869059355087</v>
      </c>
      <c r="E37" s="4">
        <f>SUM(B37:D37)</f>
        <v>119261.01230055012</v>
      </c>
      <c r="F37" s="438" t="s">
        <v>188</v>
      </c>
    </row>
    <row r="38" spans="1:6">
      <c r="C38" s="10"/>
      <c r="D38" s="10"/>
      <c r="E38" s="439" t="s">
        <v>555</v>
      </c>
    </row>
    <row r="57" spans="2:4">
      <c r="B57" s="5"/>
      <c r="C57" s="5"/>
      <c r="D57" s="5"/>
    </row>
    <row r="58" spans="2:4">
      <c r="B58" s="5"/>
      <c r="C58" s="5"/>
      <c r="D58" s="5"/>
    </row>
  </sheetData>
  <phoneticPr fontId="0" type="noConversion"/>
  <pageMargins left="0.38" right="0.75" top="0.73" bottom="0.74" header="0.5" footer="0.5"/>
  <pageSetup orientation="landscape" r:id="rId1"/>
  <headerFooter alignWithMargins="0">
    <oddFooter>&amp;L&amp;Z&amp;F</oddFooter>
  </headerFooter>
</worksheet>
</file>

<file path=xl/worksheets/sheet9.xml><?xml version="1.0" encoding="utf-8"?>
<worksheet xmlns="http://schemas.openxmlformats.org/spreadsheetml/2006/main" xmlns:r="http://schemas.openxmlformats.org/officeDocument/2006/relationships">
  <sheetPr>
    <tabColor theme="9" tint="0.39997558519241921"/>
  </sheetPr>
  <dimension ref="A1:BE209"/>
  <sheetViews>
    <sheetView topLeftCell="A31" zoomScaleNormal="100" workbookViewId="0">
      <selection activeCell="M52" sqref="M52"/>
    </sheetView>
  </sheetViews>
  <sheetFormatPr defaultRowHeight="12.75"/>
  <cols>
    <col min="1" max="1" width="14" style="170" customWidth="1"/>
    <col min="2" max="2" width="16.140625" style="170" customWidth="1"/>
    <col min="3" max="3" width="13.7109375" style="170" customWidth="1"/>
    <col min="4" max="4" width="13" style="170" bestFit="1" customWidth="1"/>
    <col min="5" max="5" width="13.140625" style="170" bestFit="1" customWidth="1"/>
    <col min="6" max="6" width="14" style="170" customWidth="1"/>
    <col min="7" max="7" width="13.28515625" style="170" customWidth="1"/>
    <col min="8" max="8" width="12.7109375" style="170" customWidth="1"/>
    <col min="9" max="9" width="13" style="170" bestFit="1" customWidth="1"/>
    <col min="10" max="10" width="14.28515625" style="170" customWidth="1"/>
    <col min="11" max="11" width="13.7109375" style="170" customWidth="1"/>
    <col min="12" max="12" width="11.7109375" style="170" customWidth="1"/>
    <col min="13" max="13" width="11.42578125" style="170" customWidth="1"/>
    <col min="14" max="14" width="13.7109375" style="170" bestFit="1" customWidth="1"/>
    <col min="15" max="15" width="11.28515625" style="170" customWidth="1"/>
    <col min="16" max="16" width="15" style="170" customWidth="1"/>
    <col min="17" max="17" width="19.42578125" style="170" customWidth="1"/>
    <col min="18" max="18" width="11" style="170" customWidth="1"/>
    <col min="19" max="19" width="13" style="170" bestFit="1" customWidth="1"/>
    <col min="20" max="21" width="11.140625" style="170" bestFit="1" customWidth="1"/>
    <col min="22" max="23" width="9.140625" style="170"/>
    <col min="24" max="24" width="13.140625" style="170" customWidth="1"/>
    <col min="25" max="16384" width="9.140625" style="170"/>
  </cols>
  <sheetData>
    <row r="1" spans="1:20" ht="15" customHeight="1">
      <c r="C1" s="170" t="s">
        <v>312</v>
      </c>
      <c r="O1" s="541" t="s">
        <v>313</v>
      </c>
      <c r="P1" s="319" t="s">
        <v>321</v>
      </c>
      <c r="Q1" s="322"/>
    </row>
    <row r="2" spans="1:20" ht="71.25" customHeight="1">
      <c r="B2" s="171" t="s">
        <v>338</v>
      </c>
      <c r="C2" s="171" t="s">
        <v>318</v>
      </c>
      <c r="D2" s="171" t="s">
        <v>310</v>
      </c>
      <c r="E2" s="171" t="s">
        <v>337</v>
      </c>
      <c r="F2" s="171" t="s">
        <v>336</v>
      </c>
      <c r="G2" s="171" t="s">
        <v>167</v>
      </c>
      <c r="H2" s="388"/>
      <c r="I2" s="172" t="s">
        <v>11</v>
      </c>
      <c r="O2" s="534" t="s">
        <v>320</v>
      </c>
      <c r="P2" s="535" t="s">
        <v>296</v>
      </c>
      <c r="Q2" s="201" t="s">
        <v>311</v>
      </c>
    </row>
    <row r="3" spans="1:20">
      <c r="A3" s="170">
        <v>2005</v>
      </c>
      <c r="E3" s="173"/>
      <c r="G3" s="173">
        <f>E3/$M$15</f>
        <v>0</v>
      </c>
      <c r="J3" s="172"/>
      <c r="L3" s="523" t="s">
        <v>51</v>
      </c>
      <c r="M3" s="524">
        <v>1</v>
      </c>
      <c r="O3" s="323"/>
      <c r="P3" s="212"/>
      <c r="Q3" s="536"/>
      <c r="R3" s="174"/>
    </row>
    <row r="4" spans="1:20">
      <c r="A4" s="170">
        <v>2006</v>
      </c>
      <c r="B4" s="175">
        <f t="array" ref="B4:B12">TRANSPOSE(B54:J54)</f>
        <v>415552.6948728204</v>
      </c>
      <c r="C4" s="513">
        <f>B4-B3</f>
        <v>415552.6948728204</v>
      </c>
      <c r="D4" s="513">
        <f t="shared" ref="D4:D15" si="0">C4/2</f>
        <v>207776.3474364102</v>
      </c>
      <c r="E4" s="173">
        <f>B3+D4</f>
        <v>207776.3474364102</v>
      </c>
      <c r="F4" s="513">
        <f>E4</f>
        <v>207776.3474364102</v>
      </c>
      <c r="G4" s="521">
        <f t="shared" ref="G4:G15" si="1">F4/$M$15</f>
        <v>2663.7993261078232</v>
      </c>
      <c r="H4" s="423"/>
      <c r="I4" s="176">
        <f>D77</f>
        <v>207776.3474364102</v>
      </c>
      <c r="J4" s="176">
        <f>E4-I4</f>
        <v>0</v>
      </c>
      <c r="L4" s="525" t="s">
        <v>52</v>
      </c>
      <c r="M4" s="526">
        <v>2</v>
      </c>
      <c r="O4" s="537">
        <f>B4</f>
        <v>415552.6948728204</v>
      </c>
      <c r="P4" s="538">
        <f>B42*0.5</f>
        <v>207776.3474364102</v>
      </c>
      <c r="Q4" s="539">
        <f>O4-P4</f>
        <v>207776.3474364102</v>
      </c>
      <c r="R4" s="174"/>
      <c r="S4" s="177"/>
      <c r="T4" s="177"/>
    </row>
    <row r="5" spans="1:20">
      <c r="A5" s="170">
        <v>2007</v>
      </c>
      <c r="B5" s="175">
        <v>749106.26563565712</v>
      </c>
      <c r="C5" s="513">
        <f t="shared" ref="C5:C15" si="2">B5-B4</f>
        <v>333553.57076283672</v>
      </c>
      <c r="D5" s="513">
        <f t="shared" si="0"/>
        <v>166776.78538141836</v>
      </c>
      <c r="E5" s="173">
        <f t="shared" ref="E5:E15" si="3">B4+D5</f>
        <v>582329.4802542387</v>
      </c>
      <c r="F5" s="513">
        <f>E5-E77</f>
        <v>198742.37729471218</v>
      </c>
      <c r="G5" s="521">
        <f t="shared" si="1"/>
        <v>2547.9791960860534</v>
      </c>
      <c r="H5" s="423"/>
      <c r="I5" s="176">
        <f>D89</f>
        <v>582329.4802542387</v>
      </c>
      <c r="J5" s="176">
        <f t="shared" ref="J5:J15" si="4">E5-I5</f>
        <v>0</v>
      </c>
      <c r="L5" s="525" t="s">
        <v>53</v>
      </c>
      <c r="M5" s="526">
        <v>3</v>
      </c>
      <c r="O5" s="537">
        <f t="shared" ref="O5:O14" si="5">B5</f>
        <v>749106.26563565712</v>
      </c>
      <c r="P5" s="540">
        <f>C43*0.5</f>
        <v>166776.78538141836</v>
      </c>
      <c r="Q5" s="539">
        <f t="shared" ref="Q5:Q14" si="6">O5-P5</f>
        <v>582329.4802542387</v>
      </c>
      <c r="R5" s="174"/>
      <c r="S5" s="174"/>
      <c r="T5" s="174"/>
    </row>
    <row r="6" spans="1:20">
      <c r="A6" s="170">
        <v>2008</v>
      </c>
      <c r="B6" s="175">
        <v>1039688.903973503</v>
      </c>
      <c r="C6" s="513">
        <f t="shared" si="2"/>
        <v>290582.63833784591</v>
      </c>
      <c r="D6" s="513">
        <f t="shared" si="0"/>
        <v>145291.31916892296</v>
      </c>
      <c r="E6" s="173">
        <f t="shared" si="3"/>
        <v>894397.58480458008</v>
      </c>
      <c r="F6" s="513">
        <f>E6-E89</f>
        <v>143901.47760866187</v>
      </c>
      <c r="G6" s="521">
        <f t="shared" si="1"/>
        <v>1844.8907385725881</v>
      </c>
      <c r="H6" s="423"/>
      <c r="I6" s="176">
        <f>D101</f>
        <v>894397.58480458008</v>
      </c>
      <c r="J6" s="176">
        <f t="shared" si="4"/>
        <v>0</v>
      </c>
      <c r="L6" s="525" t="s">
        <v>54</v>
      </c>
      <c r="M6" s="526">
        <v>4</v>
      </c>
      <c r="O6" s="537">
        <f t="shared" si="5"/>
        <v>1039688.903973503</v>
      </c>
      <c r="P6" s="540">
        <f>D44*0.5</f>
        <v>193080.68696292909</v>
      </c>
      <c r="Q6" s="539">
        <f t="shared" si="6"/>
        <v>846608.21701057395</v>
      </c>
      <c r="R6" s="177"/>
      <c r="S6" s="177"/>
      <c r="T6" s="177"/>
    </row>
    <row r="7" spans="1:20">
      <c r="A7" s="170">
        <v>2009</v>
      </c>
      <c r="B7" s="175">
        <v>1802169.88608751</v>
      </c>
      <c r="C7" s="513">
        <f t="shared" si="2"/>
        <v>762480.982114007</v>
      </c>
      <c r="D7" s="513">
        <f t="shared" si="0"/>
        <v>381240.4910570035</v>
      </c>
      <c r="E7" s="173">
        <f t="shared" si="3"/>
        <v>1420929.3950305064</v>
      </c>
      <c r="F7" s="513">
        <f>E7-E101</f>
        <v>404769.02148013527</v>
      </c>
      <c r="G7" s="521">
        <f t="shared" si="1"/>
        <v>5189.3464292325034</v>
      </c>
      <c r="H7" s="423"/>
      <c r="I7" s="176">
        <f>D113</f>
        <v>1420929.3950305069</v>
      </c>
      <c r="J7" s="176">
        <f t="shared" si="4"/>
        <v>0</v>
      </c>
      <c r="L7" s="525" t="s">
        <v>55</v>
      </c>
      <c r="M7" s="526">
        <v>5</v>
      </c>
      <c r="O7" s="537">
        <f t="shared" si="5"/>
        <v>1802169.88608751</v>
      </c>
      <c r="P7" s="540">
        <f>E45*0.5</f>
        <v>411943.37272787117</v>
      </c>
      <c r="Q7" s="539">
        <f t="shared" si="6"/>
        <v>1390226.5133596389</v>
      </c>
      <c r="R7" s="177"/>
      <c r="S7" s="177"/>
      <c r="T7" s="177"/>
    </row>
    <row r="8" spans="1:20">
      <c r="A8" s="170">
        <v>2010</v>
      </c>
      <c r="B8" s="175">
        <v>1879508.692706482</v>
      </c>
      <c r="C8" s="513">
        <f t="shared" si="2"/>
        <v>77338.806618971983</v>
      </c>
      <c r="D8" s="513">
        <f t="shared" si="0"/>
        <v>38669.403309485991</v>
      </c>
      <c r="E8" s="173">
        <f t="shared" si="3"/>
        <v>1840839.2893969961</v>
      </c>
      <c r="F8" s="513">
        <f>E8-E113</f>
        <v>77413.030037143733</v>
      </c>
      <c r="G8" s="521">
        <f t="shared" si="1"/>
        <v>992.47474406594529</v>
      </c>
      <c r="H8" s="423"/>
      <c r="I8" s="176">
        <f>D125</f>
        <v>1840839.2893969968</v>
      </c>
      <c r="J8" s="176">
        <f t="shared" si="4"/>
        <v>0</v>
      </c>
      <c r="L8" s="525" t="s">
        <v>56</v>
      </c>
      <c r="M8" s="526">
        <v>6</v>
      </c>
      <c r="O8" s="537">
        <f t="shared" si="5"/>
        <v>1879508.692706482</v>
      </c>
      <c r="P8" s="540">
        <f>F46*0.5</f>
        <v>245329.61315177131</v>
      </c>
      <c r="Q8" s="539">
        <f t="shared" si="6"/>
        <v>1634179.0795547108</v>
      </c>
      <c r="R8" s="177"/>
      <c r="S8" s="177"/>
      <c r="T8" s="177"/>
    </row>
    <row r="9" spans="1:20">
      <c r="A9" s="170">
        <v>2011</v>
      </c>
      <c r="B9" s="175">
        <v>2629671.732033812</v>
      </c>
      <c r="C9" s="513">
        <f t="shared" si="2"/>
        <v>750163.03932732996</v>
      </c>
      <c r="D9" s="513">
        <f t="shared" si="0"/>
        <v>375081.51966366498</v>
      </c>
      <c r="E9" s="173">
        <f t="shared" si="3"/>
        <v>2254590.212370147</v>
      </c>
      <c r="F9" s="513">
        <f>E9-E125</f>
        <v>348247.58986479696</v>
      </c>
      <c r="G9" s="521">
        <f t="shared" si="1"/>
        <v>4464.7126905743198</v>
      </c>
      <c r="H9" s="423"/>
      <c r="I9" s="176">
        <f>D137</f>
        <v>2254590.212370147</v>
      </c>
      <c r="J9" s="176">
        <f t="shared" si="4"/>
        <v>0</v>
      </c>
      <c r="L9" s="525" t="s">
        <v>57</v>
      </c>
      <c r="M9" s="526">
        <v>7</v>
      </c>
      <c r="O9" s="537">
        <f t="shared" si="5"/>
        <v>2629671.732033812</v>
      </c>
      <c r="P9" s="540">
        <f>G47*0.5</f>
        <v>507192.95866976964</v>
      </c>
      <c r="Q9" s="539">
        <f t="shared" si="6"/>
        <v>2122478.7733640424</v>
      </c>
      <c r="R9" s="177"/>
      <c r="S9" s="177"/>
      <c r="T9" s="177"/>
    </row>
    <row r="10" spans="1:20">
      <c r="A10" s="170">
        <v>2012</v>
      </c>
      <c r="B10" s="175">
        <v>3327697.8034008839</v>
      </c>
      <c r="C10" s="513">
        <f t="shared" si="2"/>
        <v>698026.07136707194</v>
      </c>
      <c r="D10" s="513">
        <f t="shared" si="0"/>
        <v>349013.03568353597</v>
      </c>
      <c r="E10" s="173">
        <f t="shared" si="3"/>
        <v>2978684.7677173479</v>
      </c>
      <c r="F10" s="513">
        <f>E10-E137</f>
        <v>429423.51776929572</v>
      </c>
      <c r="G10" s="521">
        <f t="shared" si="1"/>
        <v>5505.4297149909708</v>
      </c>
      <c r="H10" s="423"/>
      <c r="I10" s="176">
        <f>D149</f>
        <v>2978684.7677173489</v>
      </c>
      <c r="J10" s="176">
        <f t="shared" si="4"/>
        <v>0</v>
      </c>
      <c r="L10" s="525" t="s">
        <v>58</v>
      </c>
      <c r="M10" s="526">
        <v>8</v>
      </c>
      <c r="O10" s="537">
        <f t="shared" si="5"/>
        <v>3327697.8034008839</v>
      </c>
      <c r="P10" s="540">
        <f>H48*0.5</f>
        <v>239431.72695220323</v>
      </c>
      <c r="Q10" s="539">
        <f t="shared" si="6"/>
        <v>3088266.0764486808</v>
      </c>
      <c r="R10" s="177"/>
      <c r="S10" s="177"/>
      <c r="T10" s="177"/>
    </row>
    <row r="11" spans="1:20">
      <c r="A11" s="170">
        <v>2013</v>
      </c>
      <c r="B11" s="175">
        <v>3601067.0168802715</v>
      </c>
      <c r="C11" s="513">
        <f t="shared" si="2"/>
        <v>273369.21347938757</v>
      </c>
      <c r="D11" s="513">
        <f t="shared" si="0"/>
        <v>136684.60673969379</v>
      </c>
      <c r="E11" s="173">
        <f t="shared" si="3"/>
        <v>3464382.4101405777</v>
      </c>
      <c r="F11" s="513">
        <f>E11-E149</f>
        <v>122339.28123382479</v>
      </c>
      <c r="G11" s="521">
        <f t="shared" si="1"/>
        <v>1568.4523235105742</v>
      </c>
      <c r="H11" s="423"/>
      <c r="I11" s="176">
        <f>D161</f>
        <v>3464382.4101405796</v>
      </c>
      <c r="J11" s="176">
        <f t="shared" si="4"/>
        <v>0</v>
      </c>
      <c r="L11" s="525" t="s">
        <v>59</v>
      </c>
      <c r="M11" s="526">
        <v>9</v>
      </c>
      <c r="O11" s="537">
        <f t="shared" si="5"/>
        <v>3601067.0168802715</v>
      </c>
      <c r="P11" s="540">
        <f>I49*0.5</f>
        <v>143021.17512064747</v>
      </c>
      <c r="Q11" s="539">
        <f t="shared" si="6"/>
        <v>3458045.841759624</v>
      </c>
      <c r="R11" s="177"/>
      <c r="S11" s="177"/>
      <c r="T11" s="177"/>
    </row>
    <row r="12" spans="1:20">
      <c r="A12" s="170">
        <v>2014</v>
      </c>
      <c r="B12" s="175">
        <v>4475753.7237504823</v>
      </c>
      <c r="C12" s="513">
        <f t="shared" si="2"/>
        <v>874686.70687021082</v>
      </c>
      <c r="D12" s="513">
        <f t="shared" si="0"/>
        <v>437343.35343510541</v>
      </c>
      <c r="E12" s="173">
        <f t="shared" si="3"/>
        <v>4038410.3703153767</v>
      </c>
      <c r="F12" s="513">
        <f>E12-E161</f>
        <v>470510.10682309698</v>
      </c>
      <c r="G12" s="521">
        <f t="shared" si="1"/>
        <v>6032.1808567063717</v>
      </c>
      <c r="H12" s="423"/>
      <c r="I12" s="176">
        <f>D173</f>
        <v>4038410.3703153785</v>
      </c>
      <c r="J12" s="176">
        <f t="shared" si="4"/>
        <v>0</v>
      </c>
      <c r="L12" s="525" t="s">
        <v>60</v>
      </c>
      <c r="M12" s="526">
        <v>10</v>
      </c>
      <c r="O12" s="537">
        <f t="shared" si="5"/>
        <v>4475753.7237504823</v>
      </c>
      <c r="P12" s="540">
        <f>J50*0.5</f>
        <v>605421.38150839193</v>
      </c>
      <c r="Q12" s="539">
        <f t="shared" si="6"/>
        <v>3870332.3422420905</v>
      </c>
      <c r="R12" s="177"/>
      <c r="S12" s="177"/>
      <c r="T12" s="177"/>
    </row>
    <row r="13" spans="1:20">
      <c r="A13" s="170">
        <v>2015</v>
      </c>
      <c r="B13" s="175">
        <f>K54</f>
        <v>5579141.1289679604</v>
      </c>
      <c r="C13" s="513">
        <f t="shared" si="2"/>
        <v>1103387.4052174781</v>
      </c>
      <c r="D13" s="513">
        <f t="shared" si="0"/>
        <v>551693.70260873903</v>
      </c>
      <c r="E13" s="173">
        <f t="shared" si="3"/>
        <v>5027447.4263592213</v>
      </c>
      <c r="F13" s="513">
        <f>E13-E173</f>
        <v>590913.11950122006</v>
      </c>
      <c r="G13" s="521">
        <f t="shared" si="1"/>
        <v>7575.809224374616</v>
      </c>
      <c r="H13" s="423"/>
      <c r="I13" s="176">
        <f>D185</f>
        <v>5027447.4263592204</v>
      </c>
      <c r="J13" s="176">
        <f t="shared" si="4"/>
        <v>0</v>
      </c>
      <c r="L13" s="525" t="s">
        <v>61</v>
      </c>
      <c r="M13" s="526">
        <v>11</v>
      </c>
      <c r="O13" s="537">
        <f t="shared" si="5"/>
        <v>5579141.1289679604</v>
      </c>
      <c r="P13" s="533">
        <v>0</v>
      </c>
      <c r="Q13" s="539">
        <f t="shared" si="6"/>
        <v>5579141.1289679604</v>
      </c>
      <c r="R13" s="177"/>
      <c r="S13" s="177"/>
      <c r="T13" s="177"/>
    </row>
    <row r="14" spans="1:20">
      <c r="A14" s="170">
        <v>2016</v>
      </c>
      <c r="B14" s="175">
        <f>L54-L52</f>
        <v>5267345.8286500499</v>
      </c>
      <c r="C14" s="513">
        <f t="shared" si="2"/>
        <v>-311795.3003179105</v>
      </c>
      <c r="D14" s="513">
        <f t="shared" si="0"/>
        <v>-155897.65015895525</v>
      </c>
      <c r="E14" s="173">
        <f t="shared" si="3"/>
        <v>5423243.4788090046</v>
      </c>
      <c r="F14" s="513">
        <f>E14-E185</f>
        <v>-104207.35635893792</v>
      </c>
      <c r="G14" s="521">
        <f t="shared" si="1"/>
        <v>-1335.9917481915118</v>
      </c>
      <c r="H14" s="423"/>
      <c r="I14" s="176">
        <f>D197</f>
        <v>5423243.4788090019</v>
      </c>
      <c r="J14" s="176">
        <f t="shared" si="4"/>
        <v>0</v>
      </c>
      <c r="L14" s="525" t="s">
        <v>62</v>
      </c>
      <c r="M14" s="526">
        <v>12</v>
      </c>
      <c r="O14" s="542">
        <f t="shared" si="5"/>
        <v>5267345.8286500499</v>
      </c>
      <c r="P14" s="543">
        <v>0</v>
      </c>
      <c r="Q14" s="544">
        <f t="shared" si="6"/>
        <v>5267345.8286500499</v>
      </c>
    </row>
    <row r="15" spans="1:20">
      <c r="A15" s="170">
        <v>2017</v>
      </c>
      <c r="B15" s="175">
        <f>M54-M52-M53</f>
        <v>4519713.2823736891</v>
      </c>
      <c r="C15" s="513">
        <f t="shared" si="2"/>
        <v>-747632.54627636075</v>
      </c>
      <c r="D15" s="513">
        <f t="shared" si="0"/>
        <v>-373816.27313818038</v>
      </c>
      <c r="E15" s="1151">
        <f t="shared" si="3"/>
        <v>4893529.5555118695</v>
      </c>
      <c r="F15" s="513">
        <f>E15-E197</f>
        <v>-441538.46791649237</v>
      </c>
      <c r="G15" s="521">
        <f t="shared" si="1"/>
        <v>-5660.7495886729794</v>
      </c>
      <c r="H15" s="173"/>
      <c r="I15" s="176">
        <f>D209</f>
        <v>4893529.5555118676</v>
      </c>
      <c r="J15" s="176">
        <f t="shared" si="4"/>
        <v>0</v>
      </c>
      <c r="K15" s="176"/>
      <c r="L15" s="527" t="s">
        <v>5</v>
      </c>
      <c r="M15" s="528">
        <f>SUM(M3:M14)</f>
        <v>78</v>
      </c>
      <c r="O15" s="319"/>
      <c r="P15" s="319"/>
      <c r="Q15" s="319"/>
    </row>
    <row r="16" spans="1:20">
      <c r="A16" s="170" t="s">
        <v>5</v>
      </c>
      <c r="B16" s="529">
        <f>SUM(B4:B12)</f>
        <v>19920216.719341423</v>
      </c>
      <c r="E16" s="533">
        <f>SUM(E4:E15)</f>
        <v>33026560.318146273</v>
      </c>
      <c r="F16" s="173"/>
      <c r="H16" s="173"/>
      <c r="I16" s="529">
        <f>SUM(I4:I14)</f>
        <v>28133030.762634411</v>
      </c>
      <c r="J16" s="176"/>
      <c r="K16" s="176"/>
      <c r="L16" s="519"/>
      <c r="M16" s="519"/>
    </row>
    <row r="17" spans="1:17">
      <c r="B17" s="533"/>
      <c r="E17" s="533"/>
      <c r="F17" s="173"/>
      <c r="H17" s="173"/>
      <c r="I17" s="533"/>
      <c r="J17" s="176"/>
      <c r="K17" s="176"/>
      <c r="L17" s="1146"/>
      <c r="M17" s="1146"/>
    </row>
    <row r="18" spans="1:17">
      <c r="B18" s="513"/>
      <c r="D18" s="173"/>
      <c r="F18" s="173"/>
    </row>
    <row r="19" spans="1:17">
      <c r="D19" s="178" t="s">
        <v>178</v>
      </c>
      <c r="F19" s="173"/>
      <c r="G19" s="170" t="s">
        <v>335</v>
      </c>
      <c r="M19" s="333" t="s">
        <v>292</v>
      </c>
    </row>
    <row r="20" spans="1:17" ht="13.5" thickBot="1">
      <c r="D20" s="317">
        <v>5100000</v>
      </c>
      <c r="F20" s="173"/>
      <c r="J20" s="346"/>
      <c r="K20" s="346"/>
      <c r="L20" s="346"/>
      <c r="M20" s="347">
        <f>5020.494*1000</f>
        <v>5020494</v>
      </c>
      <c r="N20" s="346"/>
      <c r="O20" s="346"/>
      <c r="P20" s="346"/>
      <c r="Q20" s="346"/>
    </row>
    <row r="21" spans="1:17">
      <c r="A21" s="180"/>
      <c r="B21" s="181">
        <v>2011</v>
      </c>
      <c r="C21" s="181">
        <v>2012</v>
      </c>
      <c r="D21" s="181">
        <v>2013</v>
      </c>
      <c r="E21" s="181">
        <v>2014</v>
      </c>
      <c r="F21" s="181" t="s">
        <v>5</v>
      </c>
      <c r="G21" s="181">
        <v>2015</v>
      </c>
      <c r="H21" s="182">
        <v>2016</v>
      </c>
      <c r="J21" s="343"/>
      <c r="K21" s="344">
        <v>2015</v>
      </c>
      <c r="L21" s="344">
        <v>2016</v>
      </c>
      <c r="M21" s="344">
        <v>2017</v>
      </c>
      <c r="N21" s="344">
        <v>2018</v>
      </c>
      <c r="O21" s="344">
        <v>2019</v>
      </c>
      <c r="P21" s="344">
        <v>2020</v>
      </c>
      <c r="Q21" s="345" t="s">
        <v>5</v>
      </c>
    </row>
    <row r="22" spans="1:17">
      <c r="A22" s="183" t="s">
        <v>88</v>
      </c>
      <c r="B22" s="184">
        <f t="shared" ref="B22:E23" si="7">B28/$D$20</f>
        <v>0.1988235294117647</v>
      </c>
      <c r="C22" s="184">
        <f t="shared" si="7"/>
        <v>0.1988235294117647</v>
      </c>
      <c r="D22" s="184">
        <f t="shared" si="7"/>
        <v>0.1988235294117647</v>
      </c>
      <c r="E22" s="184">
        <f t="shared" si="7"/>
        <v>0.18196078431372548</v>
      </c>
      <c r="F22" s="185">
        <f>SUM(B22:E22)</f>
        <v>0.77843137254901951</v>
      </c>
      <c r="G22" s="1227" t="s">
        <v>295</v>
      </c>
      <c r="H22" s="1228"/>
      <c r="J22" s="334" t="s">
        <v>123</v>
      </c>
      <c r="K22" s="335">
        <f>K30/M20</f>
        <v>0.2854890375329599</v>
      </c>
      <c r="L22" s="191"/>
      <c r="M22" s="191"/>
      <c r="N22" s="191"/>
      <c r="O22" s="191"/>
      <c r="P22" s="191"/>
      <c r="Q22" s="336">
        <f t="shared" ref="Q22:Q27" si="8">SUM(K22:P22)</f>
        <v>0.2854890375329599</v>
      </c>
    </row>
    <row r="23" spans="1:17">
      <c r="A23" s="183" t="s">
        <v>89</v>
      </c>
      <c r="B23" s="184">
        <f t="shared" si="7"/>
        <v>-2.8823529411764706E-2</v>
      </c>
      <c r="C23" s="184">
        <f t="shared" si="7"/>
        <v>9.3137254901960786E-2</v>
      </c>
      <c r="D23" s="184">
        <f t="shared" si="7"/>
        <v>9.3137254901960786E-2</v>
      </c>
      <c r="E23" s="184">
        <f t="shared" si="7"/>
        <v>9.3137254901960786E-2</v>
      </c>
      <c r="F23" s="185">
        <f>SUM(B23:E23)</f>
        <v>0.25058823529411767</v>
      </c>
      <c r="G23" s="1227"/>
      <c r="H23" s="1228"/>
      <c r="J23" s="334" t="s">
        <v>124</v>
      </c>
      <c r="K23" s="191"/>
      <c r="L23" s="335">
        <f>(1-K22)/5</f>
        <v>0.14290219249340802</v>
      </c>
      <c r="M23" s="191"/>
      <c r="N23" s="191"/>
      <c r="O23" s="191"/>
      <c r="P23" s="191"/>
      <c r="Q23" s="336">
        <f t="shared" si="8"/>
        <v>0.14290219249340802</v>
      </c>
    </row>
    <row r="24" spans="1:17">
      <c r="A24" s="183" t="s">
        <v>90</v>
      </c>
      <c r="B24" s="186"/>
      <c r="C24" s="184">
        <f t="shared" ref="C24:E25" si="9">C30/$D$20</f>
        <v>1.3725490196078432E-3</v>
      </c>
      <c r="D24" s="184">
        <f t="shared" si="9"/>
        <v>5.4901960784313725E-2</v>
      </c>
      <c r="E24" s="184">
        <f t="shared" si="9"/>
        <v>5.4901960784313725E-2</v>
      </c>
      <c r="F24" s="185">
        <f>SUM(B24:E24)</f>
        <v>0.11117647058823529</v>
      </c>
      <c r="G24" s="1227"/>
      <c r="H24" s="1228"/>
      <c r="J24" s="334" t="s">
        <v>203</v>
      </c>
      <c r="K24" s="191"/>
      <c r="L24" s="191"/>
      <c r="M24" s="335">
        <f>L23</f>
        <v>0.14290219249340802</v>
      </c>
      <c r="N24" s="191"/>
      <c r="O24" s="191"/>
      <c r="P24" s="191"/>
      <c r="Q24" s="336">
        <f t="shared" si="8"/>
        <v>0.14290219249340802</v>
      </c>
    </row>
    <row r="25" spans="1:17">
      <c r="A25" s="183" t="s">
        <v>91</v>
      </c>
      <c r="B25" s="186"/>
      <c r="C25" s="184">
        <f t="shared" si="9"/>
        <v>1.9411764705882354E-2</v>
      </c>
      <c r="D25" s="184">
        <f t="shared" si="9"/>
        <v>2.4705882352941175E-2</v>
      </c>
      <c r="E25" s="184">
        <f t="shared" si="9"/>
        <v>0.23745098039215687</v>
      </c>
      <c r="F25" s="185">
        <f>SUM(B25:E25)</f>
        <v>0.28156862745098038</v>
      </c>
      <c r="G25" s="1227"/>
      <c r="H25" s="1228"/>
      <c r="J25" s="334" t="s">
        <v>204</v>
      </c>
      <c r="K25" s="191"/>
      <c r="L25" s="191"/>
      <c r="M25" s="191"/>
      <c r="N25" s="335">
        <f>M24</f>
        <v>0.14290219249340802</v>
      </c>
      <c r="O25" s="191"/>
      <c r="P25" s="191"/>
      <c r="Q25" s="336">
        <f t="shared" si="8"/>
        <v>0.14290219249340802</v>
      </c>
    </row>
    <row r="26" spans="1:17">
      <c r="A26" s="183" t="s">
        <v>5</v>
      </c>
      <c r="B26" s="185">
        <f>SUM(B22:B25)</f>
        <v>0.16999999999999998</v>
      </c>
      <c r="C26" s="185">
        <f>SUM(C22:C25)</f>
        <v>0.31274509803921569</v>
      </c>
      <c r="D26" s="185">
        <f>SUM(D22:D25)</f>
        <v>0.37156862745098046</v>
      </c>
      <c r="E26" s="185">
        <f>SUM(E22:E25)</f>
        <v>0.5674509803921568</v>
      </c>
      <c r="F26" s="185">
        <f>SUM(B26:E26)</f>
        <v>1.421764705882353</v>
      </c>
      <c r="G26" s="1227"/>
      <c r="H26" s="1228"/>
      <c r="J26" s="334" t="s">
        <v>205</v>
      </c>
      <c r="K26" s="191"/>
      <c r="L26" s="191"/>
      <c r="M26" s="191"/>
      <c r="N26" s="191"/>
      <c r="O26" s="335">
        <f>N25</f>
        <v>0.14290219249340802</v>
      </c>
      <c r="P26" s="191"/>
      <c r="Q26" s="336">
        <f t="shared" si="8"/>
        <v>0.14290219249340802</v>
      </c>
    </row>
    <row r="27" spans="1:17">
      <c r="A27" s="376"/>
      <c r="B27" s="377"/>
      <c r="C27" s="377"/>
      <c r="D27" s="377"/>
      <c r="E27" s="377"/>
      <c r="F27" s="377"/>
      <c r="G27" s="377"/>
      <c r="H27" s="378"/>
      <c r="J27" s="334" t="s">
        <v>206</v>
      </c>
      <c r="K27" s="191"/>
      <c r="L27" s="191"/>
      <c r="M27" s="191"/>
      <c r="N27" s="191"/>
      <c r="O27" s="191"/>
      <c r="P27" s="335">
        <f>O26</f>
        <v>0.14290219249340802</v>
      </c>
      <c r="Q27" s="336">
        <f t="shared" si="8"/>
        <v>0.14290219249340802</v>
      </c>
    </row>
    <row r="28" spans="1:17">
      <c r="A28" s="183" t="s">
        <v>88</v>
      </c>
      <c r="B28" s="379">
        <f>1000000*[25]Sheet1!C9</f>
        <v>1014000</v>
      </c>
      <c r="C28" s="379">
        <f>1000000*[25]Sheet1!D9</f>
        <v>1014000</v>
      </c>
      <c r="D28" s="379">
        <f>1000000*[25]Sheet1!E9</f>
        <v>1014000</v>
      </c>
      <c r="E28" s="379">
        <f>1000000*[25]Sheet1!F9</f>
        <v>928000</v>
      </c>
      <c r="F28" s="380">
        <f>SUM(B28:E28)</f>
        <v>3970000</v>
      </c>
      <c r="G28" s="187"/>
      <c r="H28" s="190"/>
      <c r="J28" s="334" t="s">
        <v>202</v>
      </c>
      <c r="K28" s="335">
        <f t="shared" ref="K28:Q28" si="10">SUM(K22:K27)</f>
        <v>0.2854890375329599</v>
      </c>
      <c r="L28" s="335">
        <f t="shared" si="10"/>
        <v>0.14290219249340802</v>
      </c>
      <c r="M28" s="335">
        <f t="shared" si="10"/>
        <v>0.14290219249340802</v>
      </c>
      <c r="N28" s="335">
        <f t="shared" si="10"/>
        <v>0.14290219249340802</v>
      </c>
      <c r="O28" s="335">
        <f t="shared" si="10"/>
        <v>0.14290219249340802</v>
      </c>
      <c r="P28" s="335">
        <f t="shared" si="10"/>
        <v>0.14290219249340802</v>
      </c>
      <c r="Q28" s="336">
        <f t="shared" si="10"/>
        <v>0.99999999999999978</v>
      </c>
    </row>
    <row r="29" spans="1:17">
      <c r="A29" s="183" t="s">
        <v>89</v>
      </c>
      <c r="B29" s="379">
        <f>1000000*[25]Sheet1!C10</f>
        <v>-147000</v>
      </c>
      <c r="C29" s="379">
        <f>1000000*[25]Sheet1!D10</f>
        <v>475000</v>
      </c>
      <c r="D29" s="379">
        <f>1000000*[25]Sheet1!E10</f>
        <v>475000</v>
      </c>
      <c r="E29" s="379">
        <f>1000000*[25]Sheet1!F10</f>
        <v>475000</v>
      </c>
      <c r="F29" s="380">
        <f>SUM(B29:E29)</f>
        <v>1278000</v>
      </c>
      <c r="G29" s="187"/>
      <c r="H29" s="190"/>
      <c r="J29" s="341"/>
      <c r="K29" s="202"/>
      <c r="L29" s="202"/>
      <c r="M29" s="202"/>
      <c r="N29" s="202"/>
      <c r="O29" s="202"/>
      <c r="P29" s="202"/>
      <c r="Q29" s="342"/>
    </row>
    <row r="30" spans="1:17">
      <c r="A30" s="183" t="s">
        <v>90</v>
      </c>
      <c r="B30" s="608">
        <f>1000000*[25]Sheet1!C11</f>
        <v>0</v>
      </c>
      <c r="C30" s="379">
        <f>1000000*[25]Sheet1!D11</f>
        <v>7000</v>
      </c>
      <c r="D30" s="379">
        <f>1000000*[25]Sheet1!E11</f>
        <v>280000</v>
      </c>
      <c r="E30" s="379">
        <f>1000000*[25]Sheet1!F11</f>
        <v>280000</v>
      </c>
      <c r="F30" s="380">
        <f>SUM(B30:E30)</f>
        <v>567000</v>
      </c>
      <c r="G30" s="187"/>
      <c r="H30" s="190"/>
      <c r="J30" s="334" t="s">
        <v>123</v>
      </c>
      <c r="K30" s="188">
        <v>1433296</v>
      </c>
      <c r="L30" s="188"/>
      <c r="M30" s="191"/>
      <c r="N30" s="191"/>
      <c r="O30" s="191"/>
      <c r="P30" s="191"/>
      <c r="Q30" s="337">
        <f t="shared" ref="Q30:Q35" si="11">SUM(K30:P30)</f>
        <v>1433296</v>
      </c>
    </row>
    <row r="31" spans="1:17">
      <c r="A31" s="183" t="s">
        <v>91</v>
      </c>
      <c r="B31" s="608">
        <f>1000000*[25]Sheet1!C12</f>
        <v>0</v>
      </c>
      <c r="C31" s="379">
        <f>1000000*[25]Sheet1!D12</f>
        <v>99000</v>
      </c>
      <c r="D31" s="379">
        <f>1000000*[25]Sheet1!E12</f>
        <v>126000</v>
      </c>
      <c r="E31" s="379">
        <f>1000000*[25]Sheet1!F12</f>
        <v>1211000</v>
      </c>
      <c r="F31" s="380">
        <f>SUM(B31:E31)</f>
        <v>1436000</v>
      </c>
      <c r="G31" s="187"/>
      <c r="H31" s="190"/>
      <c r="J31" s="334" t="s">
        <v>124</v>
      </c>
      <c r="K31" s="191"/>
      <c r="L31" s="188">
        <f>M20*L23</f>
        <v>717439.6</v>
      </c>
      <c r="M31" s="191"/>
      <c r="N31" s="191"/>
      <c r="O31" s="191"/>
      <c r="P31" s="191"/>
      <c r="Q31" s="337">
        <f t="shared" si="11"/>
        <v>717439.6</v>
      </c>
    </row>
    <row r="32" spans="1:17">
      <c r="A32" s="183" t="s">
        <v>12</v>
      </c>
      <c r="B32" s="187">
        <f>SUM(B28:B31)</f>
        <v>867000</v>
      </c>
      <c r="C32" s="187">
        <f>SUM(C28:C31)</f>
        <v>1595000</v>
      </c>
      <c r="D32" s="187">
        <f>SUM(D28:D31)</f>
        <v>1895000</v>
      </c>
      <c r="E32" s="187">
        <f>SUM(E28:E31)</f>
        <v>2894000</v>
      </c>
      <c r="F32" s="187">
        <f>SUM(B32:E32)</f>
        <v>7251000</v>
      </c>
      <c r="G32" s="187"/>
      <c r="H32" s="190"/>
      <c r="J32" s="334" t="s">
        <v>203</v>
      </c>
      <c r="K32" s="191"/>
      <c r="L32" s="191"/>
      <c r="M32" s="188">
        <f>L31</f>
        <v>717439.6</v>
      </c>
      <c r="N32" s="191"/>
      <c r="O32" s="191"/>
      <c r="P32" s="191"/>
      <c r="Q32" s="337">
        <f t="shared" si="11"/>
        <v>717439.6</v>
      </c>
    </row>
    <row r="33" spans="1:17">
      <c r="A33" s="1229"/>
      <c r="B33" s="1230"/>
      <c r="C33" s="1230"/>
      <c r="D33" s="1230"/>
      <c r="E33" s="1230"/>
      <c r="F33" s="1230"/>
      <c r="G33" s="1230"/>
      <c r="H33" s="1231"/>
      <c r="J33" s="334" t="s">
        <v>204</v>
      </c>
      <c r="K33" s="191"/>
      <c r="L33" s="191"/>
      <c r="M33" s="191"/>
      <c r="N33" s="188">
        <f>M32</f>
        <v>717439.6</v>
      </c>
      <c r="O33" s="191"/>
      <c r="P33" s="191"/>
      <c r="Q33" s="337">
        <f t="shared" si="11"/>
        <v>717439.6</v>
      </c>
    </row>
    <row r="34" spans="1:17">
      <c r="A34" s="183" t="s">
        <v>123</v>
      </c>
      <c r="B34" s="191"/>
      <c r="C34" s="191"/>
      <c r="D34" s="191"/>
      <c r="E34" s="191"/>
      <c r="F34" s="192"/>
      <c r="G34" s="189">
        <f>K30</f>
        <v>1433296</v>
      </c>
      <c r="H34" s="190">
        <f>L51</f>
        <v>1394436</v>
      </c>
      <c r="J34" s="334" t="s">
        <v>205</v>
      </c>
      <c r="K34" s="191"/>
      <c r="L34" s="191"/>
      <c r="M34" s="191"/>
      <c r="N34" s="191"/>
      <c r="O34" s="188">
        <f>N33</f>
        <v>717439.6</v>
      </c>
      <c r="P34" s="191"/>
      <c r="Q34" s="337">
        <f t="shared" si="11"/>
        <v>717439.6</v>
      </c>
    </row>
    <row r="35" spans="1:17">
      <c r="A35" s="183" t="s">
        <v>124</v>
      </c>
      <c r="B35" s="191"/>
      <c r="C35" s="191"/>
      <c r="D35" s="191"/>
      <c r="E35" s="191"/>
      <c r="F35" s="191"/>
      <c r="G35" s="187"/>
      <c r="H35" s="190">
        <f>L31</f>
        <v>717439.6</v>
      </c>
      <c r="J35" s="334" t="s">
        <v>206</v>
      </c>
      <c r="K35" s="191"/>
      <c r="L35" s="191"/>
      <c r="M35" s="191"/>
      <c r="N35" s="191"/>
      <c r="O35" s="191"/>
      <c r="P35" s="188">
        <f>O34</f>
        <v>717439.6</v>
      </c>
      <c r="Q35" s="337">
        <f t="shared" si="11"/>
        <v>717439.6</v>
      </c>
    </row>
    <row r="36" spans="1:17" ht="13.5" thickBot="1">
      <c r="A36" s="193" t="s">
        <v>12</v>
      </c>
      <c r="B36" s="194"/>
      <c r="C36" s="194"/>
      <c r="D36" s="194"/>
      <c r="E36" s="194"/>
      <c r="F36" s="194"/>
      <c r="G36" s="195">
        <f>SUM(G34:G35)</f>
        <v>1433296</v>
      </c>
      <c r="H36" s="196">
        <f>SUM(H34:H35)</f>
        <v>2111875.6</v>
      </c>
      <c r="J36" s="338" t="s">
        <v>202</v>
      </c>
      <c r="K36" s="339">
        <f t="shared" ref="K36:Q36" si="12">SUM(K30:K35)</f>
        <v>1433296</v>
      </c>
      <c r="L36" s="339">
        <f t="shared" si="12"/>
        <v>717439.6</v>
      </c>
      <c r="M36" s="339">
        <f t="shared" si="12"/>
        <v>717439.6</v>
      </c>
      <c r="N36" s="339">
        <f t="shared" si="12"/>
        <v>717439.6</v>
      </c>
      <c r="O36" s="339">
        <f t="shared" si="12"/>
        <v>717439.6</v>
      </c>
      <c r="P36" s="339">
        <f t="shared" si="12"/>
        <v>717439.6</v>
      </c>
      <c r="Q36" s="340">
        <f t="shared" si="12"/>
        <v>5020494</v>
      </c>
    </row>
    <row r="37" spans="1:17">
      <c r="D37" s="173"/>
      <c r="F37" s="173"/>
    </row>
    <row r="38" spans="1:17">
      <c r="D38" s="173"/>
      <c r="F38" s="173"/>
    </row>
    <row r="39" spans="1:17" ht="15.75">
      <c r="D39" s="522" t="s">
        <v>291</v>
      </c>
      <c r="E39" s="333"/>
      <c r="F39" s="173"/>
    </row>
    <row r="41" spans="1:17">
      <c r="A41" s="202"/>
      <c r="B41" s="348">
        <v>2006</v>
      </c>
      <c r="C41" s="348">
        <v>2007</v>
      </c>
      <c r="D41" s="348">
        <v>2008</v>
      </c>
      <c r="E41" s="348">
        <v>2009</v>
      </c>
      <c r="F41" s="348">
        <v>2010</v>
      </c>
      <c r="G41" s="348">
        <v>2011</v>
      </c>
      <c r="H41" s="348">
        <v>2012</v>
      </c>
      <c r="I41" s="348">
        <v>2013</v>
      </c>
      <c r="J41" s="349">
        <v>2014</v>
      </c>
      <c r="K41" s="348">
        <v>2015</v>
      </c>
      <c r="L41" s="348">
        <v>2016</v>
      </c>
      <c r="M41" s="348">
        <v>2017</v>
      </c>
      <c r="O41" s="170">
        <v>5020494</v>
      </c>
    </row>
    <row r="42" spans="1:17">
      <c r="A42" s="197" t="s">
        <v>168</v>
      </c>
      <c r="B42" s="381">
        <f>'[26]Summary - LDC'!E19*1000</f>
        <v>415552.6948728204</v>
      </c>
      <c r="C42" s="381">
        <f>'[26]Summary - LDC'!F19*1000</f>
        <v>415552.6948728204</v>
      </c>
      <c r="D42" s="381">
        <f>'[26]Summary - LDC'!G19*1000</f>
        <v>415552.6948728204</v>
      </c>
      <c r="E42" s="381">
        <f>'[26]Summary - LDC'!H19*1000</f>
        <v>415552.6948728204</v>
      </c>
      <c r="F42" s="381">
        <f>'[26]Summary - LDC'!I19*1000</f>
        <v>72172.301702875498</v>
      </c>
      <c r="G42" s="381">
        <f>'[26]Summary - LDC'!J19*1000</f>
        <v>72172.301702875498</v>
      </c>
      <c r="H42" s="381">
        <f>'[26]Summary - LDC'!K19*1000</f>
        <v>66018.00672684735</v>
      </c>
      <c r="I42" s="381">
        <f>'[26]Summary - LDC'!L19*1000</f>
        <v>66018.00672684735</v>
      </c>
      <c r="J42" s="382">
        <f>'[26]Summary - LDC'!M19*1000</f>
        <v>62034.088982352689</v>
      </c>
      <c r="K42" s="381">
        <f>'[26]Summary - LDC'!N19*1000</f>
        <v>62034.088982352689</v>
      </c>
      <c r="L42" s="381">
        <f>'[26]Summary - LDC'!O19*1000</f>
        <v>58608.530728798214</v>
      </c>
      <c r="M42" s="381">
        <f>'[26]Summary - LDC'!P19*1000</f>
        <v>58608.530728798214</v>
      </c>
    </row>
    <row r="43" spans="1:17">
      <c r="A43" s="197" t="s">
        <v>169</v>
      </c>
      <c r="B43" s="385"/>
      <c r="C43" s="381">
        <f>'[26]Summary - LDC'!F20*1000</f>
        <v>333553.57076283672</v>
      </c>
      <c r="D43" s="381">
        <f>'[26]Summary - LDC'!G20*1000</f>
        <v>237974.83517482443</v>
      </c>
      <c r="E43" s="381">
        <f>'[26]Summary - LDC'!H20*1000</f>
        <v>226154.19241683211</v>
      </c>
      <c r="F43" s="381">
        <f>'[26]Summary - LDC'!I20*1000</f>
        <v>226154.19241683211</v>
      </c>
      <c r="G43" s="381">
        <f>'[26]Summary - LDC'!J20*1000</f>
        <v>225998.92110914437</v>
      </c>
      <c r="H43" s="381">
        <f>'[26]Summary - LDC'!K20*1000</f>
        <v>219866.94770573743</v>
      </c>
      <c r="I43" s="381">
        <f>'[26]Summary - LDC'!L20*1000</f>
        <v>219866.94770573743</v>
      </c>
      <c r="J43" s="382">
        <f>'[26]Summary - LDC'!M20*1000</f>
        <v>219866.94770573743</v>
      </c>
      <c r="K43" s="381">
        <f>'[26]Summary - LDC'!N20*1000</f>
        <v>85173.205446111926</v>
      </c>
      <c r="L43" s="381">
        <f>'[26]Summary - LDC'!O20*1000</f>
        <v>51547.191357416938</v>
      </c>
      <c r="M43" s="381">
        <f>'[26]Summary - LDC'!P20*1000</f>
        <v>29476.56582669025</v>
      </c>
    </row>
    <row r="44" spans="1:17">
      <c r="A44" s="197" t="s">
        <v>170</v>
      </c>
      <c r="B44" s="385"/>
      <c r="C44" s="385"/>
      <c r="D44" s="381">
        <f>'[26]Summary - LDC'!G21*1000</f>
        <v>386161.37392585818</v>
      </c>
      <c r="E44" s="381">
        <f>'[26]Summary - LDC'!H21*1000</f>
        <v>336576.25334211515</v>
      </c>
      <c r="F44" s="381">
        <f>'[26]Summary - LDC'!I21*1000</f>
        <v>336576.25334211515</v>
      </c>
      <c r="G44" s="381">
        <f>'[26]Summary - LDC'!J21*1000</f>
        <v>336576.25334211515</v>
      </c>
      <c r="H44" s="381">
        <f>'[26]Summary - LDC'!K21*1000</f>
        <v>316589.93506054528</v>
      </c>
      <c r="I44" s="381">
        <f>'[26]Summary - LDC'!L21*1000</f>
        <v>316164.41506054532</v>
      </c>
      <c r="J44" s="382">
        <f>'[26]Summary - LDC'!M21*1000</f>
        <v>295795.24860914104</v>
      </c>
      <c r="K44" s="381">
        <f>'[26]Summary - LDC'!N21*1000</f>
        <v>280577.75641037466</v>
      </c>
      <c r="L44" s="381">
        <f>'[26]Summary - LDC'!O21*1000</f>
        <v>217809.13852963698</v>
      </c>
      <c r="M44" s="381">
        <f>'[26]Summary - LDC'!P21*1000</f>
        <v>158815.80765487292</v>
      </c>
    </row>
    <row r="45" spans="1:17">
      <c r="A45" s="197" t="s">
        <v>171</v>
      </c>
      <c r="B45" s="385"/>
      <c r="C45" s="385"/>
      <c r="D45" s="385"/>
      <c r="E45" s="381">
        <f>'[26]Summary - LDC'!H22*1000</f>
        <v>823886.74545574235</v>
      </c>
      <c r="F45" s="381">
        <f>'[26]Summary - LDC'!I22*1000</f>
        <v>753946.71894111647</v>
      </c>
      <c r="G45" s="381">
        <f>'[26]Summary - LDC'!J22*1000</f>
        <v>753946.71894111647</v>
      </c>
      <c r="H45" s="381">
        <f>'[26]Summary - LDC'!K22*1000</f>
        <v>753116.27831212443</v>
      </c>
      <c r="I45" s="381">
        <f>'[26]Summary - LDC'!L22*1000</f>
        <v>725050.40238512959</v>
      </c>
      <c r="J45" s="382">
        <f>'[26]Summary - LDC'!M22*1000</f>
        <v>654150.1252715888</v>
      </c>
      <c r="K45" s="381">
        <f>'[26]Summary - LDC'!N22*1000</f>
        <v>643460.90401315992</v>
      </c>
      <c r="L45" s="381">
        <f>'[26]Summary - LDC'!O22*1000</f>
        <v>643227.67287644988</v>
      </c>
      <c r="M45" s="381">
        <f>'[26]Summary - LDC'!P22*1000</f>
        <v>501236.61844084819</v>
      </c>
    </row>
    <row r="46" spans="1:17">
      <c r="A46" s="199" t="s">
        <v>172</v>
      </c>
      <c r="B46" s="386"/>
      <c r="C46" s="386"/>
      <c r="D46" s="386"/>
      <c r="E46" s="386"/>
      <c r="F46" s="383">
        <f>'[26]Summary - LDC'!I23*1000</f>
        <v>490659.22630354261</v>
      </c>
      <c r="G46" s="383">
        <f>'[26]Summary - LDC'!J23*1000</f>
        <v>372935.92627486284</v>
      </c>
      <c r="H46" s="383">
        <f>'[26]Summary - LDC'!K23*1000</f>
        <v>372355.19439150492</v>
      </c>
      <c r="I46" s="383">
        <f>'[26]Summary - LDC'!L23*1000</f>
        <v>372086.38908714731</v>
      </c>
      <c r="J46" s="384">
        <f>'[26]Summary - LDC'!M23*1000</f>
        <v>350309.73119312461</v>
      </c>
      <c r="K46" s="383">
        <f>'[26]Summary - LDC'!N23*1000</f>
        <v>286647.10263024451</v>
      </c>
      <c r="L46" s="383">
        <f>'[26]Summary - LDC'!O23*1000</f>
        <v>284496.86309639667</v>
      </c>
      <c r="M46" s="383">
        <f>'[26]Summary - LDC'!P23*1000</f>
        <v>221568.72263942673</v>
      </c>
      <c r="N46" s="197"/>
    </row>
    <row r="47" spans="1:17">
      <c r="A47" s="197" t="s">
        <v>88</v>
      </c>
      <c r="B47" s="179"/>
      <c r="C47" s="179"/>
      <c r="D47" s="179"/>
      <c r="E47" s="179"/>
      <c r="F47" s="179"/>
      <c r="G47" s="423">
        <v>1014385.9173395393</v>
      </c>
      <c r="H47" s="423">
        <v>1014385.9173395393</v>
      </c>
      <c r="I47" s="423">
        <v>1014385.9173395393</v>
      </c>
      <c r="J47" s="423">
        <v>928229.32605543907</v>
      </c>
      <c r="K47" s="423">
        <v>909865.31750513613</v>
      </c>
      <c r="L47" s="423">
        <v>875222.21168693912</v>
      </c>
      <c r="M47" s="423">
        <v>701688.18523600686</v>
      </c>
      <c r="O47" s="170">
        <v>1000</v>
      </c>
    </row>
    <row r="48" spans="1:17">
      <c r="A48" s="197" t="s">
        <v>89</v>
      </c>
      <c r="B48" s="179"/>
      <c r="C48" s="179"/>
      <c r="D48" s="179"/>
      <c r="E48" s="179"/>
      <c r="F48" s="179"/>
      <c r="G48" s="423">
        <v>-147227.3066758416</v>
      </c>
      <c r="H48" s="423">
        <v>478863.45390440646</v>
      </c>
      <c r="I48" s="423">
        <v>475181.59685863019</v>
      </c>
      <c r="J48" s="423">
        <v>474984.35225522006</v>
      </c>
      <c r="K48" s="423">
        <v>412294.40483059047</v>
      </c>
      <c r="L48" s="423">
        <v>388032.54988997406</v>
      </c>
      <c r="M48" s="423">
        <v>207865.83003768139</v>
      </c>
    </row>
    <row r="49" spans="1:16">
      <c r="A49" s="197" t="s">
        <v>90</v>
      </c>
      <c r="B49" s="179"/>
      <c r="C49" s="179"/>
      <c r="D49" s="179"/>
      <c r="E49" s="179"/>
      <c r="F49" s="179"/>
      <c r="G49" s="179"/>
      <c r="H49" s="423">
        <v>7495.7899601791878</v>
      </c>
      <c r="I49" s="423">
        <v>286042.35024129495</v>
      </c>
      <c r="J49" s="423">
        <v>279541.14066109498</v>
      </c>
      <c r="K49" s="423">
        <v>277984.78199620696</v>
      </c>
      <c r="L49" s="423">
        <v>268189.13914155297</v>
      </c>
      <c r="M49" s="423">
        <v>242020.86374508106</v>
      </c>
    </row>
    <row r="50" spans="1:16">
      <c r="A50" s="199" t="s">
        <v>91</v>
      </c>
      <c r="B50" s="200"/>
      <c r="C50" s="200"/>
      <c r="D50" s="200"/>
      <c r="E50" s="200"/>
      <c r="F50" s="200"/>
      <c r="G50" s="423">
        <v>883</v>
      </c>
      <c r="H50" s="423">
        <v>99006.279999999984</v>
      </c>
      <c r="I50" s="423">
        <v>126270.99147539999</v>
      </c>
      <c r="J50" s="423">
        <v>1210842.7630167839</v>
      </c>
      <c r="K50" s="423">
        <v>1187807.5671537837</v>
      </c>
      <c r="L50" s="423">
        <v>1085776.5313428841</v>
      </c>
      <c r="M50" s="423">
        <v>1016068.1580642839</v>
      </c>
    </row>
    <row r="51" spans="1:16">
      <c r="A51" s="197" t="s">
        <v>123</v>
      </c>
      <c r="B51" s="179"/>
      <c r="C51" s="179"/>
      <c r="D51" s="179"/>
      <c r="E51" s="179"/>
      <c r="F51" s="179"/>
      <c r="G51" s="179"/>
      <c r="H51" s="179"/>
      <c r="I51" s="179"/>
      <c r="J51" s="198"/>
      <c r="K51" s="317">
        <v>1433296</v>
      </c>
      <c r="L51" s="317">
        <v>1394436</v>
      </c>
      <c r="M51" s="176">
        <v>1382364</v>
      </c>
      <c r="N51" s="177"/>
      <c r="O51" s="177"/>
      <c r="P51" s="177"/>
    </row>
    <row r="52" spans="1:16">
      <c r="A52" s="197" t="s">
        <v>124</v>
      </c>
      <c r="B52" s="179"/>
      <c r="C52" s="179"/>
      <c r="D52" s="179"/>
      <c r="E52" s="179"/>
      <c r="F52" s="179"/>
      <c r="J52" s="201"/>
      <c r="K52" s="177"/>
      <c r="L52" s="387">
        <f>H35</f>
        <v>717439.6</v>
      </c>
      <c r="M52" s="177">
        <f>L52</f>
        <v>717439.6</v>
      </c>
    </row>
    <row r="53" spans="1:16">
      <c r="A53" s="197" t="s">
        <v>203</v>
      </c>
      <c r="B53" s="179"/>
      <c r="C53" s="179"/>
      <c r="D53" s="179"/>
      <c r="E53" s="179"/>
      <c r="F53" s="179"/>
      <c r="J53" s="201"/>
      <c r="K53" s="177"/>
      <c r="M53" s="177">
        <f>M36</f>
        <v>717439.6</v>
      </c>
    </row>
    <row r="54" spans="1:16">
      <c r="A54" s="202" t="s">
        <v>5</v>
      </c>
      <c r="B54" s="203">
        <f t="shared" ref="B54:L54" si="13">SUM(B42:B53)</f>
        <v>415552.6948728204</v>
      </c>
      <c r="C54" s="203">
        <f t="shared" si="13"/>
        <v>749106.26563565712</v>
      </c>
      <c r="D54" s="203">
        <f t="shared" si="13"/>
        <v>1039688.903973503</v>
      </c>
      <c r="E54" s="203">
        <f t="shared" si="13"/>
        <v>1802169.88608751</v>
      </c>
      <c r="F54" s="203">
        <f t="shared" si="13"/>
        <v>1879508.692706482</v>
      </c>
      <c r="G54" s="203">
        <f t="shared" si="13"/>
        <v>2629671.732033812</v>
      </c>
      <c r="H54" s="203">
        <f t="shared" si="13"/>
        <v>3327697.8034008839</v>
      </c>
      <c r="I54" s="203">
        <f t="shared" si="13"/>
        <v>3601067.0168802715</v>
      </c>
      <c r="J54" s="203">
        <f t="shared" si="13"/>
        <v>4475753.7237504823</v>
      </c>
      <c r="K54" s="203">
        <f t="shared" si="13"/>
        <v>5579141.1289679604</v>
      </c>
      <c r="L54" s="203">
        <f t="shared" si="13"/>
        <v>5984785.4286500495</v>
      </c>
      <c r="M54" s="203">
        <f>SUM(M42:M53)</f>
        <v>5954592.4823736884</v>
      </c>
    </row>
    <row r="55" spans="1:16">
      <c r="A55" s="212"/>
      <c r="B55" s="328"/>
      <c r="C55" s="328"/>
      <c r="D55" s="328"/>
      <c r="E55" s="328"/>
      <c r="F55" s="328"/>
      <c r="G55" s="328"/>
      <c r="H55" s="328"/>
      <c r="I55" s="328"/>
      <c r="J55" s="328"/>
      <c r="K55" s="328"/>
      <c r="L55" s="328"/>
    </row>
    <row r="56" spans="1:16">
      <c r="D56" s="173"/>
      <c r="F56" s="173"/>
    </row>
    <row r="57" spans="1:16" ht="24.75" customHeight="1">
      <c r="A57" s="318"/>
      <c r="B57" s="329" t="s">
        <v>201</v>
      </c>
      <c r="C57" s="320"/>
      <c r="D57" s="320" t="s">
        <v>200</v>
      </c>
      <c r="E57" s="321"/>
      <c r="F57" s="319"/>
      <c r="G57" s="322"/>
      <c r="H57" s="319"/>
      <c r="I57" s="322"/>
    </row>
    <row r="58" spans="1:16">
      <c r="A58" s="323"/>
      <c r="B58" s="212"/>
      <c r="C58" s="212">
        <v>2011</v>
      </c>
      <c r="D58" s="324">
        <v>2012</v>
      </c>
      <c r="E58" s="212">
        <v>2013</v>
      </c>
      <c r="F58" s="212">
        <v>2014</v>
      </c>
      <c r="G58" s="212">
        <v>2015</v>
      </c>
      <c r="H58" s="212">
        <v>2016</v>
      </c>
      <c r="I58" s="201">
        <v>2017</v>
      </c>
    </row>
    <row r="59" spans="1:16">
      <c r="A59" s="323">
        <v>2016</v>
      </c>
      <c r="B59" s="489">
        <f>L52</f>
        <v>717439.6</v>
      </c>
      <c r="C59" s="324">
        <v>0</v>
      </c>
      <c r="D59" s="324">
        <v>0</v>
      </c>
      <c r="E59" s="324">
        <v>0</v>
      </c>
      <c r="F59" s="324">
        <v>0</v>
      </c>
      <c r="G59" s="552">
        <v>0</v>
      </c>
      <c r="H59" s="212">
        <v>0.5</v>
      </c>
      <c r="I59" s="201"/>
    </row>
    <row r="60" spans="1:16">
      <c r="A60" s="325">
        <v>2017</v>
      </c>
      <c r="B60" s="330">
        <f>L52*H60+M53*I60</f>
        <v>1076159.3999999999</v>
      </c>
      <c r="C60" s="326"/>
      <c r="D60" s="327"/>
      <c r="E60" s="326"/>
      <c r="F60" s="326">
        <v>0</v>
      </c>
      <c r="G60" s="553">
        <v>0</v>
      </c>
      <c r="H60" s="1149">
        <v>1</v>
      </c>
      <c r="I60" s="1150">
        <v>0.5</v>
      </c>
    </row>
    <row r="61" spans="1:16">
      <c r="D61" s="173"/>
      <c r="F61" s="173" t="s">
        <v>547</v>
      </c>
    </row>
    <row r="62" spans="1:16">
      <c r="D62" s="173"/>
      <c r="F62" s="551"/>
    </row>
    <row r="63" spans="1:16" ht="39.75" customHeight="1">
      <c r="C63" s="530" t="s">
        <v>173</v>
      </c>
      <c r="G63" s="487" t="s">
        <v>174</v>
      </c>
    </row>
    <row r="64" spans="1:16" ht="29.25" customHeight="1">
      <c r="C64" s="204" t="s">
        <v>175</v>
      </c>
      <c r="D64" s="205" t="s">
        <v>176</v>
      </c>
      <c r="E64" s="205" t="s">
        <v>177</v>
      </c>
      <c r="K64" s="396" t="s">
        <v>0</v>
      </c>
    </row>
    <row r="65" spans="1:57" ht="11.25" customHeight="1">
      <c r="C65" s="206" t="s">
        <v>165</v>
      </c>
      <c r="D65" s="205"/>
      <c r="E65" s="205"/>
      <c r="G65" s="170" t="s">
        <v>275</v>
      </c>
      <c r="K65" s="207"/>
    </row>
    <row r="66" spans="1:57" ht="12.75" customHeight="1">
      <c r="A66" s="208">
        <v>38718</v>
      </c>
      <c r="B66" s="209"/>
      <c r="C66" s="173">
        <f>$G$4</f>
        <v>2663.7993261078232</v>
      </c>
      <c r="G66" s="176">
        <f>C66*$K$66</f>
        <v>2866.2763044831449</v>
      </c>
      <c r="H66" s="176"/>
      <c r="J66" s="170">
        <v>2006</v>
      </c>
      <c r="K66" s="395">
        <f>'Rate Class Energy Model '!C4</f>
        <v>1.0760105974916543</v>
      </c>
    </row>
    <row r="67" spans="1:57">
      <c r="A67" s="208">
        <v>38749</v>
      </c>
      <c r="B67" s="210"/>
      <c r="C67" s="173">
        <f t="shared" ref="C67:C77" si="14">C66+$G$4</f>
        <v>5327.5986522156463</v>
      </c>
      <c r="G67" s="176">
        <f t="shared" ref="G67:G77" si="15">C67*$K$66</f>
        <v>5732.5526089662899</v>
      </c>
      <c r="J67" s="170">
        <v>2007</v>
      </c>
      <c r="K67" s="395">
        <f>'Rate Class Energy Model '!C5</f>
        <v>1.101430100970306</v>
      </c>
    </row>
    <row r="68" spans="1:57">
      <c r="A68" s="208">
        <v>38777</v>
      </c>
      <c r="B68" s="210"/>
      <c r="C68" s="173">
        <f t="shared" si="14"/>
        <v>7991.3979783234699</v>
      </c>
      <c r="G68" s="176">
        <f t="shared" si="15"/>
        <v>8598.8289134494353</v>
      </c>
      <c r="J68" s="170">
        <v>2008</v>
      </c>
      <c r="K68" s="395">
        <f>'Rate Class Energy Model '!C6</f>
        <v>1.0854276060712418</v>
      </c>
    </row>
    <row r="69" spans="1:57">
      <c r="A69" s="208">
        <v>38808</v>
      </c>
      <c r="B69" s="210"/>
      <c r="C69" s="173">
        <f t="shared" si="14"/>
        <v>10655.197304431293</v>
      </c>
      <c r="G69" s="176">
        <f t="shared" si="15"/>
        <v>11465.10521793258</v>
      </c>
      <c r="J69" s="170">
        <v>2009</v>
      </c>
      <c r="K69" s="395">
        <f>'Rate Class Energy Model '!C7</f>
        <v>1.0796335435033315</v>
      </c>
    </row>
    <row r="70" spans="1:57">
      <c r="A70" s="208">
        <v>38838</v>
      </c>
      <c r="B70" s="210"/>
      <c r="C70" s="173">
        <f t="shared" si="14"/>
        <v>13318.996630539115</v>
      </c>
      <c r="G70" s="176">
        <f t="shared" si="15"/>
        <v>14331.381522415724</v>
      </c>
      <c r="J70" s="170">
        <v>2010</v>
      </c>
      <c r="K70" s="395">
        <f>'Rate Class Energy Model '!C8</f>
        <v>1.0811683120293523</v>
      </c>
    </row>
    <row r="71" spans="1:57">
      <c r="A71" s="208">
        <v>38869</v>
      </c>
      <c r="B71" s="210"/>
      <c r="C71" s="173">
        <f t="shared" si="14"/>
        <v>15982.795956646938</v>
      </c>
      <c r="G71" s="176">
        <f t="shared" si="15"/>
        <v>17197.657826898867</v>
      </c>
      <c r="J71" s="170">
        <v>2011</v>
      </c>
      <c r="K71" s="395">
        <f>'Rate Class Energy Model '!C9</f>
        <v>1.0844748144207903</v>
      </c>
    </row>
    <row r="72" spans="1:57">
      <c r="A72" s="208">
        <v>38899</v>
      </c>
      <c r="B72" s="210"/>
      <c r="C72" s="173">
        <f t="shared" si="14"/>
        <v>18646.595282754763</v>
      </c>
      <c r="G72" s="176">
        <f t="shared" si="15"/>
        <v>20063.934131382015</v>
      </c>
      <c r="J72" s="170">
        <v>2012</v>
      </c>
      <c r="K72" s="395">
        <f>'Rate Class Energy Model '!C10</f>
        <v>1.0834939346930714</v>
      </c>
    </row>
    <row r="73" spans="1:57">
      <c r="A73" s="208">
        <v>38930</v>
      </c>
      <c r="B73" s="210"/>
      <c r="C73" s="173">
        <f t="shared" si="14"/>
        <v>21310.394608862585</v>
      </c>
      <c r="G73" s="176">
        <f t="shared" si="15"/>
        <v>22930.21043586516</v>
      </c>
      <c r="J73" s="170">
        <v>2013</v>
      </c>
      <c r="K73" s="395">
        <f>'Rate Class Energy Model '!C11</f>
        <v>1.0877151768064881</v>
      </c>
    </row>
    <row r="74" spans="1:57">
      <c r="A74" s="208">
        <v>38961</v>
      </c>
      <c r="B74" s="210"/>
      <c r="C74" s="173">
        <f t="shared" si="14"/>
        <v>23974.193934970408</v>
      </c>
      <c r="G74" s="176">
        <f t="shared" si="15"/>
        <v>25796.486740348304</v>
      </c>
      <c r="J74" s="170">
        <v>2014</v>
      </c>
      <c r="K74" s="395">
        <f>'Rate Class Energy Model '!C12</f>
        <v>1.0776588339607704</v>
      </c>
      <c r="BE74" s="170" t="s">
        <v>63</v>
      </c>
    </row>
    <row r="75" spans="1:57">
      <c r="A75" s="208">
        <v>38991</v>
      </c>
      <c r="B75" s="210"/>
      <c r="C75" s="173">
        <f t="shared" si="14"/>
        <v>26637.993261078231</v>
      </c>
      <c r="G75" s="176">
        <f t="shared" si="15"/>
        <v>28662.763044831448</v>
      </c>
      <c r="J75" s="170">
        <v>2015</v>
      </c>
      <c r="K75" s="395">
        <f>'Rate Class Energy Model '!$C$17</f>
        <v>1.0819000000000001</v>
      </c>
      <c r="AA75" s="177"/>
    </row>
    <row r="76" spans="1:57">
      <c r="A76" s="208">
        <v>39022</v>
      </c>
      <c r="B76" s="210"/>
      <c r="C76" s="173">
        <f t="shared" si="14"/>
        <v>29301.792587186053</v>
      </c>
      <c r="D76" s="211" t="s">
        <v>11</v>
      </c>
      <c r="G76" s="176">
        <f t="shared" si="15"/>
        <v>31529.039349314593</v>
      </c>
      <c r="H76" s="211" t="s">
        <v>11</v>
      </c>
      <c r="J76" s="170">
        <v>2016</v>
      </c>
      <c r="K76" s="395">
        <f>K75</f>
        <v>1.0819000000000001</v>
      </c>
    </row>
    <row r="77" spans="1:57">
      <c r="A77" s="389">
        <v>39052</v>
      </c>
      <c r="B77" s="389"/>
      <c r="C77" s="390">
        <f t="shared" si="14"/>
        <v>31965.591913293876</v>
      </c>
      <c r="D77" s="390">
        <f>SUM(C66:C77)</f>
        <v>207776.3474364102</v>
      </c>
      <c r="E77" s="390">
        <f>C77*12</f>
        <v>383587.10295952653</v>
      </c>
      <c r="F77" s="389"/>
      <c r="G77" s="391">
        <f t="shared" si="15"/>
        <v>34395.315653797734</v>
      </c>
      <c r="H77" s="390">
        <f>SUM(G66:G77)</f>
        <v>223569.55174968528</v>
      </c>
      <c r="I77" s="392">
        <f>H77-D77*K66</f>
        <v>0</v>
      </c>
    </row>
    <row r="78" spans="1:57">
      <c r="A78" s="208">
        <v>39083</v>
      </c>
      <c r="B78" s="208"/>
      <c r="C78" s="173">
        <f t="shared" ref="C78:C89" si="16">C77+$G$5</f>
        <v>34513.571109379933</v>
      </c>
      <c r="D78" s="176"/>
      <c r="G78" s="176">
        <f>C78*$K$67</f>
        <v>38014.286111850175</v>
      </c>
    </row>
    <row r="79" spans="1:57">
      <c r="A79" s="208">
        <v>39114</v>
      </c>
      <c r="B79" s="208"/>
      <c r="C79" s="173">
        <f t="shared" si="16"/>
        <v>37061.550305465986</v>
      </c>
      <c r="G79" s="176">
        <f t="shared" ref="G79:G89" si="17">C79*$K$67</f>
        <v>40820.707095065474</v>
      </c>
    </row>
    <row r="80" spans="1:57">
      <c r="A80" s="208">
        <v>39142</v>
      </c>
      <c r="B80" s="208"/>
      <c r="C80" s="173">
        <f t="shared" si="16"/>
        <v>39609.529501552039</v>
      </c>
      <c r="G80" s="176">
        <f t="shared" si="17"/>
        <v>43627.128078280781</v>
      </c>
    </row>
    <row r="81" spans="1:24">
      <c r="A81" s="208">
        <v>39173</v>
      </c>
      <c r="B81" s="208"/>
      <c r="C81" s="173">
        <f t="shared" si="16"/>
        <v>42157.508697638092</v>
      </c>
      <c r="G81" s="176">
        <f t="shared" si="17"/>
        <v>46433.54906149608</v>
      </c>
    </row>
    <row r="82" spans="1:24">
      <c r="A82" s="208">
        <v>39203</v>
      </c>
      <c r="B82" s="208"/>
      <c r="C82" s="173">
        <f t="shared" si="16"/>
        <v>44705.487893724145</v>
      </c>
      <c r="G82" s="176">
        <f t="shared" si="17"/>
        <v>49239.970044711379</v>
      </c>
    </row>
    <row r="83" spans="1:24">
      <c r="A83" s="208">
        <v>39234</v>
      </c>
      <c r="B83" s="208"/>
      <c r="C83" s="173">
        <f t="shared" si="16"/>
        <v>47253.467089810198</v>
      </c>
      <c r="G83" s="176">
        <f t="shared" si="17"/>
        <v>52046.391027926678</v>
      </c>
    </row>
    <row r="84" spans="1:24">
      <c r="A84" s="208">
        <v>39264</v>
      </c>
      <c r="B84" s="208"/>
      <c r="C84" s="173">
        <f t="shared" si="16"/>
        <v>49801.446285896251</v>
      </c>
      <c r="G84" s="176">
        <f t="shared" si="17"/>
        <v>54852.812011141978</v>
      </c>
    </row>
    <row r="85" spans="1:24">
      <c r="A85" s="208">
        <v>39295</v>
      </c>
      <c r="B85" s="208"/>
      <c r="C85" s="173">
        <f t="shared" si="16"/>
        <v>52349.425481982304</v>
      </c>
      <c r="G85" s="176">
        <f t="shared" si="17"/>
        <v>57659.232994357277</v>
      </c>
    </row>
    <row r="86" spans="1:24">
      <c r="A86" s="208">
        <v>39326</v>
      </c>
      <c r="B86" s="208"/>
      <c r="C86" s="173">
        <f t="shared" si="16"/>
        <v>54897.404678068357</v>
      </c>
      <c r="G86" s="176">
        <f t="shared" si="17"/>
        <v>60465.653977572583</v>
      </c>
    </row>
    <row r="87" spans="1:24">
      <c r="A87" s="208">
        <v>39356</v>
      </c>
      <c r="B87" s="208"/>
      <c r="C87" s="173">
        <f t="shared" si="16"/>
        <v>57445.38387415441</v>
      </c>
      <c r="G87" s="176">
        <f t="shared" si="17"/>
        <v>63272.074960787882</v>
      </c>
      <c r="W87" s="212"/>
    </row>
    <row r="88" spans="1:24">
      <c r="A88" s="208">
        <v>39387</v>
      </c>
      <c r="B88" s="208"/>
      <c r="C88" s="173">
        <f t="shared" si="16"/>
        <v>59993.363070240463</v>
      </c>
      <c r="D88" s="211" t="s">
        <v>11</v>
      </c>
      <c r="G88" s="176">
        <f t="shared" si="17"/>
        <v>66078.495944003182</v>
      </c>
    </row>
    <row r="89" spans="1:24">
      <c r="A89" s="389">
        <v>39417</v>
      </c>
      <c r="B89" s="389"/>
      <c r="C89" s="390">
        <f t="shared" si="16"/>
        <v>62541.342266326516</v>
      </c>
      <c r="D89" s="390">
        <f>SUM(C78:C89)</f>
        <v>582329.4802542387</v>
      </c>
      <c r="E89" s="390">
        <f>C89*12</f>
        <v>750496.10719591822</v>
      </c>
      <c r="F89" s="393"/>
      <c r="G89" s="391">
        <f t="shared" si="17"/>
        <v>68884.916927218481</v>
      </c>
      <c r="H89" s="390">
        <f>SUM(G78:G89)</f>
        <v>641395.21823441191</v>
      </c>
      <c r="I89" s="392">
        <f>H89-D89*K67</f>
        <v>0</v>
      </c>
    </row>
    <row r="90" spans="1:24">
      <c r="A90" s="208">
        <v>39448</v>
      </c>
      <c r="B90" s="208"/>
      <c r="C90" s="173">
        <f t="shared" ref="C90:C101" si="18">C89+$G$6</f>
        <v>64386.233004899106</v>
      </c>
      <c r="D90" s="176"/>
      <c r="G90" s="176">
        <f>C90*$K$68</f>
        <v>69886.594754452817</v>
      </c>
    </row>
    <row r="91" spans="1:24">
      <c r="A91" s="208">
        <v>39479</v>
      </c>
      <c r="B91" s="208"/>
      <c r="C91" s="173">
        <f t="shared" si="18"/>
        <v>66231.12374347169</v>
      </c>
      <c r="G91" s="176">
        <f t="shared" ref="G91:G101" si="19">C91*$K$68</f>
        <v>71889.090092284663</v>
      </c>
    </row>
    <row r="92" spans="1:24">
      <c r="A92" s="208">
        <v>39508</v>
      </c>
      <c r="B92" s="208"/>
      <c r="C92" s="173">
        <f t="shared" si="18"/>
        <v>68076.01448204428</v>
      </c>
      <c r="G92" s="176">
        <f t="shared" si="19"/>
        <v>73891.585430116509</v>
      </c>
    </row>
    <row r="93" spans="1:24">
      <c r="A93" s="208">
        <v>39539</v>
      </c>
      <c r="B93" s="208"/>
      <c r="C93" s="173">
        <f t="shared" si="18"/>
        <v>69920.905220616871</v>
      </c>
      <c r="G93" s="176">
        <f t="shared" si="19"/>
        <v>75894.080767948355</v>
      </c>
    </row>
    <row r="94" spans="1:24">
      <c r="A94" s="208">
        <v>39569</v>
      </c>
      <c r="B94" s="208"/>
      <c r="C94" s="173">
        <f t="shared" si="18"/>
        <v>71765.795959189461</v>
      </c>
      <c r="G94" s="176">
        <f t="shared" si="19"/>
        <v>77896.576105780216</v>
      </c>
      <c r="O94" s="177"/>
      <c r="P94" s="177"/>
      <c r="Q94" s="177"/>
      <c r="R94" s="177"/>
    </row>
    <row r="95" spans="1:24">
      <c r="A95" s="208">
        <v>39600</v>
      </c>
      <c r="B95" s="208"/>
      <c r="C95" s="173">
        <f t="shared" si="18"/>
        <v>73610.686697762052</v>
      </c>
      <c r="G95" s="176">
        <f t="shared" si="19"/>
        <v>79899.071443612062</v>
      </c>
      <c r="O95" s="213"/>
      <c r="P95" s="213"/>
      <c r="Q95" s="213"/>
      <c r="R95" s="213"/>
      <c r="S95" s="213"/>
      <c r="T95" s="177"/>
      <c r="U95" s="177"/>
      <c r="V95" s="177"/>
      <c r="W95" s="177"/>
    </row>
    <row r="96" spans="1:24">
      <c r="A96" s="208">
        <v>39630</v>
      </c>
      <c r="B96" s="208"/>
      <c r="C96" s="173">
        <f t="shared" si="18"/>
        <v>75455.577436334643</v>
      </c>
      <c r="G96" s="176">
        <f t="shared" si="19"/>
        <v>81901.566781443922</v>
      </c>
      <c r="O96" s="213"/>
      <c r="P96" s="213"/>
      <c r="Q96" s="213"/>
      <c r="R96" s="213"/>
      <c r="S96" s="213"/>
      <c r="T96" s="177"/>
      <c r="U96" s="177"/>
      <c r="V96" s="177"/>
      <c r="W96" s="177"/>
      <c r="X96" s="177"/>
    </row>
    <row r="97" spans="1:24">
      <c r="A97" s="208">
        <v>39661</v>
      </c>
      <c r="B97" s="208"/>
      <c r="C97" s="173">
        <f t="shared" si="18"/>
        <v>77300.468174907233</v>
      </c>
      <c r="G97" s="176">
        <f t="shared" si="19"/>
        <v>83904.062119275768</v>
      </c>
      <c r="O97" s="213"/>
      <c r="P97" s="213"/>
      <c r="Q97" s="213"/>
      <c r="R97" s="213"/>
      <c r="S97" s="213"/>
      <c r="T97" s="177"/>
      <c r="U97" s="177"/>
      <c r="V97" s="177"/>
      <c r="W97" s="177"/>
      <c r="X97" s="177"/>
    </row>
    <row r="98" spans="1:24">
      <c r="A98" s="208">
        <v>39692</v>
      </c>
      <c r="B98" s="208"/>
      <c r="C98" s="173">
        <f t="shared" si="18"/>
        <v>79145.358913479824</v>
      </c>
      <c r="G98" s="176">
        <f t="shared" si="19"/>
        <v>85906.557457107629</v>
      </c>
      <c r="O98" s="213"/>
      <c r="P98" s="213"/>
      <c r="Q98" s="213"/>
      <c r="R98" s="213"/>
      <c r="S98" s="213"/>
      <c r="T98" s="177"/>
      <c r="U98" s="177"/>
      <c r="V98" s="177"/>
      <c r="W98" s="177"/>
      <c r="X98" s="177"/>
    </row>
    <row r="99" spans="1:24">
      <c r="A99" s="208">
        <v>39722</v>
      </c>
      <c r="B99" s="208"/>
      <c r="C99" s="173">
        <f t="shared" si="18"/>
        <v>80990.249652052415</v>
      </c>
      <c r="G99" s="176">
        <f t="shared" si="19"/>
        <v>87909.052794939475</v>
      </c>
      <c r="O99" s="213"/>
      <c r="P99" s="213"/>
      <c r="Q99" s="213"/>
      <c r="R99" s="213"/>
      <c r="S99" s="213"/>
      <c r="T99" s="177"/>
      <c r="U99" s="177"/>
      <c r="V99" s="177"/>
      <c r="W99" s="177"/>
      <c r="X99" s="177"/>
    </row>
    <row r="100" spans="1:24">
      <c r="A100" s="208">
        <v>39753</v>
      </c>
      <c r="B100" s="208"/>
      <c r="C100" s="173">
        <f t="shared" si="18"/>
        <v>82835.140390625005</v>
      </c>
      <c r="G100" s="176">
        <f t="shared" si="19"/>
        <v>89911.548132771321</v>
      </c>
      <c r="U100" s="177"/>
      <c r="V100" s="177"/>
      <c r="W100" s="177"/>
      <c r="X100" s="177"/>
    </row>
    <row r="101" spans="1:24">
      <c r="A101" s="389">
        <v>39783</v>
      </c>
      <c r="B101" s="389"/>
      <c r="C101" s="390">
        <f t="shared" si="18"/>
        <v>84680.031129197596</v>
      </c>
      <c r="D101" s="390">
        <f>SUM(C90:C101)</f>
        <v>894397.58480458008</v>
      </c>
      <c r="E101" s="390">
        <f>C101*12</f>
        <v>1016160.3735503712</v>
      </c>
      <c r="F101" s="393"/>
      <c r="G101" s="391">
        <f t="shared" si="19"/>
        <v>91914.043470603181</v>
      </c>
      <c r="H101" s="390">
        <f>SUM(G90:G101)</f>
        <v>970803.82935033587</v>
      </c>
      <c r="I101" s="394">
        <f>H101-D101*K68</f>
        <v>0</v>
      </c>
      <c r="O101" s="179"/>
      <c r="P101" s="179"/>
      <c r="Q101" s="179"/>
      <c r="R101" s="179"/>
      <c r="S101" s="179"/>
      <c r="V101" s="177"/>
      <c r="W101" s="177"/>
      <c r="X101" s="177"/>
    </row>
    <row r="102" spans="1:24">
      <c r="A102" s="208">
        <v>39814</v>
      </c>
      <c r="B102" s="208"/>
      <c r="C102" s="173">
        <f t="shared" ref="C102:C113" si="20">C101+$G$7</f>
        <v>89869.377558430104</v>
      </c>
      <c r="D102" s="176"/>
      <c r="G102" s="176">
        <f>C102*$K$69</f>
        <v>97025.994545846668</v>
      </c>
      <c r="O102" s="179"/>
      <c r="P102" s="179"/>
      <c r="Q102" s="179"/>
      <c r="R102" s="179"/>
      <c r="S102" s="179"/>
      <c r="U102" s="177"/>
      <c r="V102" s="177"/>
      <c r="W102" s="177"/>
      <c r="X102" s="177"/>
    </row>
    <row r="103" spans="1:24">
      <c r="A103" s="208">
        <v>39845</v>
      </c>
      <c r="B103" s="208"/>
      <c r="C103" s="173">
        <f t="shared" si="20"/>
        <v>95058.723987662612</v>
      </c>
      <c r="G103" s="176">
        <f t="shared" ref="G103:G113" si="21">C103*$K$69</f>
        <v>102628.58701970533</v>
      </c>
      <c r="O103" s="179"/>
      <c r="P103" s="179"/>
      <c r="Q103" s="179"/>
      <c r="R103" s="179"/>
      <c r="S103" s="179"/>
      <c r="W103" s="177"/>
      <c r="X103" s="177"/>
    </row>
    <row r="104" spans="1:24">
      <c r="A104" s="208">
        <v>39873</v>
      </c>
      <c r="B104" s="208"/>
      <c r="C104" s="173">
        <f t="shared" si="20"/>
        <v>100248.07041689512</v>
      </c>
      <c r="G104" s="176">
        <f t="shared" si="21"/>
        <v>108231.17949356398</v>
      </c>
      <c r="O104" s="179"/>
      <c r="P104" s="179"/>
      <c r="Q104" s="179"/>
      <c r="R104" s="179"/>
      <c r="S104" s="179"/>
      <c r="X104" s="177"/>
    </row>
    <row r="105" spans="1:24">
      <c r="A105" s="208">
        <v>39904</v>
      </c>
      <c r="B105" s="208"/>
      <c r="C105" s="173">
        <f t="shared" si="20"/>
        <v>105437.41684612763</v>
      </c>
      <c r="G105" s="176">
        <f t="shared" si="21"/>
        <v>113833.77196742262</v>
      </c>
      <c r="O105" s="179"/>
      <c r="P105" s="179"/>
      <c r="Q105" s="179"/>
      <c r="R105" s="179"/>
      <c r="S105" s="179"/>
      <c r="T105" s="177"/>
      <c r="U105" s="177"/>
      <c r="V105" s="177"/>
      <c r="W105" s="177"/>
      <c r="X105" s="177"/>
    </row>
    <row r="106" spans="1:24">
      <c r="A106" s="208">
        <v>39934</v>
      </c>
      <c r="B106" s="208"/>
      <c r="C106" s="173">
        <f t="shared" si="20"/>
        <v>110626.76327536014</v>
      </c>
      <c r="G106" s="176">
        <f t="shared" si="21"/>
        <v>119436.36444128129</v>
      </c>
    </row>
    <row r="107" spans="1:24">
      <c r="A107" s="208">
        <v>39965</v>
      </c>
      <c r="B107" s="208"/>
      <c r="C107" s="173">
        <f t="shared" si="20"/>
        <v>115816.10970459264</v>
      </c>
      <c r="G107" s="176">
        <f t="shared" si="21"/>
        <v>125038.95691513993</v>
      </c>
    </row>
    <row r="108" spans="1:24">
      <c r="A108" s="208">
        <v>39995</v>
      </c>
      <c r="B108" s="208"/>
      <c r="C108" s="173">
        <f t="shared" si="20"/>
        <v>121005.45613382515</v>
      </c>
      <c r="G108" s="176">
        <f t="shared" si="21"/>
        <v>130641.5493889986</v>
      </c>
    </row>
    <row r="109" spans="1:24">
      <c r="A109" s="208">
        <v>40026</v>
      </c>
      <c r="B109" s="208"/>
      <c r="C109" s="173">
        <f t="shared" si="20"/>
        <v>126194.80256305766</v>
      </c>
      <c r="G109" s="176">
        <f t="shared" si="21"/>
        <v>136244.14186285724</v>
      </c>
    </row>
    <row r="110" spans="1:24">
      <c r="A110" s="208">
        <v>40057</v>
      </c>
      <c r="B110" s="208"/>
      <c r="C110" s="173">
        <f t="shared" si="20"/>
        <v>131384.14899229017</v>
      </c>
      <c r="G110" s="176">
        <f t="shared" si="21"/>
        <v>141846.73433671589</v>
      </c>
    </row>
    <row r="111" spans="1:24">
      <c r="A111" s="208">
        <v>40087</v>
      </c>
      <c r="B111" s="208"/>
      <c r="C111" s="173">
        <f t="shared" si="20"/>
        <v>136573.49542152268</v>
      </c>
      <c r="G111" s="176">
        <f t="shared" si="21"/>
        <v>147449.32681057454</v>
      </c>
    </row>
    <row r="112" spans="1:24">
      <c r="A112" s="208">
        <v>40118</v>
      </c>
      <c r="B112" s="208"/>
      <c r="C112" s="173">
        <f t="shared" si="20"/>
        <v>141762.84185075518</v>
      </c>
      <c r="G112" s="176">
        <f t="shared" si="21"/>
        <v>153051.91928443321</v>
      </c>
    </row>
    <row r="113" spans="1:9">
      <c r="A113" s="389">
        <v>40148</v>
      </c>
      <c r="B113" s="389"/>
      <c r="C113" s="390">
        <f t="shared" si="20"/>
        <v>146952.18827998769</v>
      </c>
      <c r="D113" s="390">
        <f>SUM(C102:C113)</f>
        <v>1420929.3950305069</v>
      </c>
      <c r="E113" s="390">
        <f>C113*12</f>
        <v>1763426.2593598524</v>
      </c>
      <c r="F113" s="393"/>
      <c r="G113" s="391">
        <f t="shared" si="21"/>
        <v>158654.51175829186</v>
      </c>
      <c r="H113" s="390">
        <f>SUM(G102:G113)</f>
        <v>1534083.0378248312</v>
      </c>
      <c r="I113" s="394">
        <f>H113-D113*K69</f>
        <v>0</v>
      </c>
    </row>
    <row r="114" spans="1:9">
      <c r="A114" s="208">
        <v>40179</v>
      </c>
      <c r="B114" s="208"/>
      <c r="C114" s="173">
        <f t="shared" ref="C114:C125" si="22">C113+$G$8</f>
        <v>147944.66302405365</v>
      </c>
      <c r="D114" s="176"/>
      <c r="G114" s="176">
        <f>C114*$K$70</f>
        <v>159953.0815954674</v>
      </c>
    </row>
    <row r="115" spans="1:9">
      <c r="A115" s="208">
        <v>40210</v>
      </c>
      <c r="B115" s="208"/>
      <c r="C115" s="173">
        <f t="shared" si="22"/>
        <v>148937.1377681196</v>
      </c>
      <c r="G115" s="176">
        <f t="shared" ref="G115:G125" si="23">C115*$K$70</f>
        <v>161026.11383924095</v>
      </c>
    </row>
    <row r="116" spans="1:9">
      <c r="A116" s="208">
        <v>40238</v>
      </c>
      <c r="B116" s="208"/>
      <c r="C116" s="173">
        <f t="shared" si="22"/>
        <v>149929.61251218556</v>
      </c>
      <c r="G116" s="176">
        <f t="shared" si="23"/>
        <v>162099.14608301452</v>
      </c>
    </row>
    <row r="117" spans="1:9">
      <c r="A117" s="208">
        <v>40269</v>
      </c>
      <c r="B117" s="208"/>
      <c r="C117" s="173">
        <f t="shared" si="22"/>
        <v>150922.08725625151</v>
      </c>
      <c r="G117" s="176">
        <f t="shared" si="23"/>
        <v>163172.17832678807</v>
      </c>
    </row>
    <row r="118" spans="1:9">
      <c r="A118" s="208">
        <v>40299</v>
      </c>
      <c r="B118" s="208"/>
      <c r="C118" s="173">
        <f t="shared" si="22"/>
        <v>151914.56200031747</v>
      </c>
      <c r="G118" s="176">
        <f t="shared" si="23"/>
        <v>164245.21057056161</v>
      </c>
    </row>
    <row r="119" spans="1:9">
      <c r="A119" s="208">
        <v>40330</v>
      </c>
      <c r="B119" s="208"/>
      <c r="C119" s="173">
        <f t="shared" si="22"/>
        <v>152907.03674438343</v>
      </c>
      <c r="G119" s="176">
        <f t="shared" si="23"/>
        <v>165318.24281433516</v>
      </c>
    </row>
    <row r="120" spans="1:9">
      <c r="A120" s="208">
        <v>40360</v>
      </c>
      <c r="B120" s="208"/>
      <c r="C120" s="173">
        <f t="shared" si="22"/>
        <v>153899.51148844938</v>
      </c>
      <c r="G120" s="176">
        <f t="shared" si="23"/>
        <v>166391.27505810873</v>
      </c>
    </row>
    <row r="121" spans="1:9">
      <c r="A121" s="208">
        <v>40391</v>
      </c>
      <c r="B121" s="208"/>
      <c r="C121" s="173">
        <f t="shared" si="22"/>
        <v>154891.98623251534</v>
      </c>
      <c r="G121" s="176">
        <f t="shared" si="23"/>
        <v>167464.30730188228</v>
      </c>
    </row>
    <row r="122" spans="1:9">
      <c r="A122" s="208">
        <v>40422</v>
      </c>
      <c r="B122" s="208"/>
      <c r="C122" s="173">
        <f t="shared" si="22"/>
        <v>155884.46097658129</v>
      </c>
      <c r="G122" s="176">
        <f t="shared" si="23"/>
        <v>168537.33954565582</v>
      </c>
    </row>
    <row r="123" spans="1:9">
      <c r="A123" s="208">
        <v>40452</v>
      </c>
      <c r="B123" s="208"/>
      <c r="C123" s="173">
        <f t="shared" si="22"/>
        <v>156876.93572064725</v>
      </c>
      <c r="G123" s="176">
        <f t="shared" si="23"/>
        <v>169610.37178942939</v>
      </c>
    </row>
    <row r="124" spans="1:9">
      <c r="A124" s="208">
        <v>40483</v>
      </c>
      <c r="B124" s="208"/>
      <c r="C124" s="173">
        <f t="shared" si="22"/>
        <v>157869.4104647132</v>
      </c>
      <c r="G124" s="176">
        <f t="shared" si="23"/>
        <v>170683.40403320294</v>
      </c>
    </row>
    <row r="125" spans="1:9">
      <c r="A125" s="389">
        <v>40513</v>
      </c>
      <c r="B125" s="389"/>
      <c r="C125" s="390">
        <f t="shared" si="22"/>
        <v>158861.88520877916</v>
      </c>
      <c r="D125" s="390">
        <f>SUM(C114:C125)</f>
        <v>1840839.2893969968</v>
      </c>
      <c r="E125" s="390">
        <f>C125*12</f>
        <v>1906342.62250535</v>
      </c>
      <c r="F125" s="393"/>
      <c r="G125" s="391">
        <f t="shared" si="23"/>
        <v>171756.43627697648</v>
      </c>
      <c r="H125" s="390">
        <f>SUM(G114:G125)</f>
        <v>1990257.1072346633</v>
      </c>
      <c r="I125" s="394">
        <f>H125-D125*K70</f>
        <v>0</v>
      </c>
    </row>
    <row r="126" spans="1:9">
      <c r="A126" s="208">
        <v>40544</v>
      </c>
      <c r="B126" s="208"/>
      <c r="C126" s="173">
        <f t="shared" ref="C126:C137" si="24">C125+$G$9</f>
        <v>163326.59789935348</v>
      </c>
      <c r="D126" s="176"/>
      <c r="G126" s="176">
        <f>C126*$K$71</f>
        <v>177123.58194688041</v>
      </c>
    </row>
    <row r="127" spans="1:9">
      <c r="A127" s="208">
        <v>40575</v>
      </c>
      <c r="B127" s="208"/>
      <c r="C127" s="173">
        <f t="shared" si="24"/>
        <v>167791.3105899278</v>
      </c>
      <c r="G127" s="176">
        <f t="shared" ref="G127:G137" si="25">C127*$K$71</f>
        <v>181965.45041343314</v>
      </c>
    </row>
    <row r="128" spans="1:9">
      <c r="A128" s="208">
        <v>40603</v>
      </c>
      <c r="B128" s="208"/>
      <c r="C128" s="173">
        <f t="shared" si="24"/>
        <v>172256.02328050212</v>
      </c>
      <c r="G128" s="176">
        <f t="shared" si="25"/>
        <v>186807.31887998586</v>
      </c>
    </row>
    <row r="129" spans="1:9">
      <c r="A129" s="208">
        <v>40634</v>
      </c>
      <c r="B129" s="208"/>
      <c r="C129" s="173">
        <f t="shared" si="24"/>
        <v>176720.73597107644</v>
      </c>
      <c r="G129" s="176">
        <f t="shared" si="25"/>
        <v>191649.18734653862</v>
      </c>
    </row>
    <row r="130" spans="1:9">
      <c r="A130" s="208">
        <v>40664</v>
      </c>
      <c r="B130" s="208"/>
      <c r="C130" s="173">
        <f t="shared" si="24"/>
        <v>181185.44866165076</v>
      </c>
      <c r="G130" s="176">
        <f t="shared" si="25"/>
        <v>196491.05581309134</v>
      </c>
    </row>
    <row r="131" spans="1:9">
      <c r="A131" s="208">
        <v>40695</v>
      </c>
      <c r="B131" s="208"/>
      <c r="C131" s="173">
        <f t="shared" si="24"/>
        <v>185650.16135222508</v>
      </c>
      <c r="G131" s="176">
        <f t="shared" si="25"/>
        <v>201332.92427964407</v>
      </c>
    </row>
    <row r="132" spans="1:9">
      <c r="A132" s="208">
        <v>40725</v>
      </c>
      <c r="B132" s="208"/>
      <c r="C132" s="173">
        <f t="shared" si="24"/>
        <v>190114.87404279941</v>
      </c>
      <c r="G132" s="176">
        <f t="shared" si="25"/>
        <v>206174.79274619682</v>
      </c>
    </row>
    <row r="133" spans="1:9">
      <c r="A133" s="208">
        <v>40756</v>
      </c>
      <c r="B133" s="208"/>
      <c r="C133" s="173">
        <f t="shared" si="24"/>
        <v>194579.58673337373</v>
      </c>
      <c r="G133" s="176">
        <f t="shared" si="25"/>
        <v>211016.66121274955</v>
      </c>
    </row>
    <row r="134" spans="1:9">
      <c r="A134" s="208">
        <v>40787</v>
      </c>
      <c r="B134" s="208"/>
      <c r="C134" s="173">
        <f t="shared" si="24"/>
        <v>199044.29942394805</v>
      </c>
      <c r="G134" s="176">
        <f t="shared" si="25"/>
        <v>215858.52967930227</v>
      </c>
    </row>
    <row r="135" spans="1:9">
      <c r="A135" s="208">
        <v>40817</v>
      </c>
      <c r="B135" s="208"/>
      <c r="C135" s="173">
        <f t="shared" si="24"/>
        <v>203509.01211452237</v>
      </c>
      <c r="G135" s="176">
        <f t="shared" si="25"/>
        <v>220700.398145855</v>
      </c>
    </row>
    <row r="136" spans="1:9">
      <c r="A136" s="208">
        <v>40848</v>
      </c>
      <c r="B136" s="208"/>
      <c r="C136" s="173">
        <f t="shared" si="24"/>
        <v>207973.72480509669</v>
      </c>
      <c r="G136" s="176">
        <f t="shared" si="25"/>
        <v>225542.26661240775</v>
      </c>
    </row>
    <row r="137" spans="1:9">
      <c r="A137" s="389">
        <v>40878</v>
      </c>
      <c r="B137" s="389"/>
      <c r="C137" s="390">
        <f t="shared" si="24"/>
        <v>212438.43749567101</v>
      </c>
      <c r="D137" s="390">
        <f>SUM(C126:C137)</f>
        <v>2254590.212370147</v>
      </c>
      <c r="E137" s="390">
        <f>C137*12</f>
        <v>2549261.2499480522</v>
      </c>
      <c r="F137" s="393"/>
      <c r="G137" s="391">
        <f t="shared" si="25"/>
        <v>230384.13507896048</v>
      </c>
      <c r="H137" s="390">
        <f>SUM(G126:G137)</f>
        <v>2445046.3021550453</v>
      </c>
      <c r="I137" s="394">
        <f>H137-D137*K71</f>
        <v>0</v>
      </c>
    </row>
    <row r="138" spans="1:9">
      <c r="A138" s="208">
        <v>40909</v>
      </c>
      <c r="B138" s="208"/>
      <c r="C138" s="173">
        <f t="shared" ref="C138:C149" si="26">C137+$G$10</f>
        <v>217943.86721066199</v>
      </c>
      <c r="D138" s="176"/>
      <c r="G138" s="176">
        <f>C138*$K$72</f>
        <v>236140.85822630444</v>
      </c>
    </row>
    <row r="139" spans="1:9">
      <c r="A139" s="208">
        <v>40940</v>
      </c>
      <c r="B139" s="208"/>
      <c r="C139" s="173">
        <f t="shared" si="26"/>
        <v>223449.29692565298</v>
      </c>
      <c r="G139" s="176">
        <f t="shared" ref="G139:G149" si="27">C139*$K$72</f>
        <v>242105.95793037617</v>
      </c>
    </row>
    <row r="140" spans="1:9">
      <c r="A140" s="208">
        <v>40969</v>
      </c>
      <c r="B140" s="208"/>
      <c r="C140" s="173">
        <f t="shared" si="26"/>
        <v>228954.72664064396</v>
      </c>
      <c r="G140" s="176">
        <f t="shared" si="27"/>
        <v>248071.05763444791</v>
      </c>
    </row>
    <row r="141" spans="1:9">
      <c r="A141" s="208">
        <v>41000</v>
      </c>
      <c r="B141" s="208"/>
      <c r="C141" s="173">
        <f t="shared" si="26"/>
        <v>234460.15635563494</v>
      </c>
      <c r="G141" s="176">
        <f t="shared" si="27"/>
        <v>254036.15733851964</v>
      </c>
    </row>
    <row r="142" spans="1:9">
      <c r="A142" s="208">
        <v>41030</v>
      </c>
      <c r="B142" s="208"/>
      <c r="C142" s="173">
        <f t="shared" si="26"/>
        <v>239965.58607062593</v>
      </c>
      <c r="G142" s="176">
        <f t="shared" si="27"/>
        <v>260001.25704259137</v>
      </c>
    </row>
    <row r="143" spans="1:9">
      <c r="A143" s="208">
        <v>41061</v>
      </c>
      <c r="B143" s="208"/>
      <c r="C143" s="173">
        <f t="shared" si="26"/>
        <v>245471.01578561691</v>
      </c>
      <c r="G143" s="176">
        <f t="shared" si="27"/>
        <v>265966.35674666311</v>
      </c>
    </row>
    <row r="144" spans="1:9">
      <c r="A144" s="208">
        <v>41091</v>
      </c>
      <c r="B144" s="208"/>
      <c r="C144" s="173">
        <f t="shared" si="26"/>
        <v>250976.44550060789</v>
      </c>
      <c r="G144" s="176">
        <f t="shared" si="27"/>
        <v>271931.45645073487</v>
      </c>
    </row>
    <row r="145" spans="1:9">
      <c r="A145" s="208">
        <v>41122</v>
      </c>
      <c r="B145" s="208"/>
      <c r="C145" s="173">
        <f t="shared" si="26"/>
        <v>256481.87521559888</v>
      </c>
      <c r="G145" s="176">
        <f t="shared" si="27"/>
        <v>277896.55615480657</v>
      </c>
    </row>
    <row r="146" spans="1:9">
      <c r="A146" s="208">
        <v>41153</v>
      </c>
      <c r="B146" s="208"/>
      <c r="C146" s="173">
        <f t="shared" si="26"/>
        <v>261987.30493058986</v>
      </c>
      <c r="G146" s="176">
        <f t="shared" si="27"/>
        <v>283861.65585887834</v>
      </c>
    </row>
    <row r="147" spans="1:9">
      <c r="A147" s="208">
        <v>41183</v>
      </c>
      <c r="B147" s="208"/>
      <c r="C147" s="173">
        <f t="shared" si="26"/>
        <v>267492.73464558081</v>
      </c>
      <c r="G147" s="176">
        <f t="shared" si="27"/>
        <v>289826.75556295004</v>
      </c>
    </row>
    <row r="148" spans="1:9">
      <c r="A148" s="208">
        <v>41214</v>
      </c>
      <c r="B148" s="208"/>
      <c r="C148" s="173">
        <f t="shared" si="26"/>
        <v>272998.16436057177</v>
      </c>
      <c r="G148" s="176">
        <f t="shared" si="27"/>
        <v>295791.85526702175</v>
      </c>
    </row>
    <row r="149" spans="1:9">
      <c r="A149" s="389">
        <v>41244</v>
      </c>
      <c r="B149" s="389"/>
      <c r="C149" s="390">
        <f t="shared" si="26"/>
        <v>278503.59407556272</v>
      </c>
      <c r="D149" s="390">
        <f>SUM(C138:C149)</f>
        <v>2978684.7677173489</v>
      </c>
      <c r="E149" s="390">
        <f>C149*12</f>
        <v>3342043.1289067529</v>
      </c>
      <c r="F149" s="393"/>
      <c r="G149" s="391">
        <f t="shared" si="27"/>
        <v>301756.95497109345</v>
      </c>
      <c r="H149" s="390">
        <f>SUM(G138:G149)</f>
        <v>3227386.8791843876</v>
      </c>
      <c r="I149" s="394">
        <f>H149-D149*K72</f>
        <v>0</v>
      </c>
    </row>
    <row r="150" spans="1:9">
      <c r="A150" s="208">
        <v>41275</v>
      </c>
      <c r="B150" s="208"/>
      <c r="C150" s="173">
        <f t="shared" ref="C150:C161" si="28">C149+$G$11</f>
        <v>280072.04639907333</v>
      </c>
      <c r="D150" s="176"/>
      <c r="G150" s="176">
        <f>C150*$K$73</f>
        <v>304638.61546752299</v>
      </c>
    </row>
    <row r="151" spans="1:9">
      <c r="A151" s="208">
        <v>41306</v>
      </c>
      <c r="B151" s="208"/>
      <c r="C151" s="173">
        <f t="shared" si="28"/>
        <v>281640.49872258393</v>
      </c>
      <c r="G151" s="176">
        <f t="shared" ref="G151:G161" si="29">C151*$K$73</f>
        <v>306344.64486390288</v>
      </c>
    </row>
    <row r="152" spans="1:9">
      <c r="A152" s="208">
        <v>41334</v>
      </c>
      <c r="B152" s="208"/>
      <c r="C152" s="173">
        <f t="shared" si="28"/>
        <v>283208.95104609453</v>
      </c>
      <c r="G152" s="176">
        <f t="shared" si="29"/>
        <v>308050.67426028277</v>
      </c>
    </row>
    <row r="153" spans="1:9">
      <c r="A153" s="208">
        <v>41365</v>
      </c>
      <c r="B153" s="208"/>
      <c r="C153" s="173">
        <f t="shared" si="28"/>
        <v>284777.40336960513</v>
      </c>
      <c r="G153" s="176">
        <f t="shared" si="29"/>
        <v>309756.7036566626</v>
      </c>
    </row>
    <row r="154" spans="1:9">
      <c r="A154" s="208">
        <v>41395</v>
      </c>
      <c r="B154" s="208"/>
      <c r="C154" s="173">
        <f t="shared" si="28"/>
        <v>286345.85569311574</v>
      </c>
      <c r="G154" s="176">
        <f t="shared" si="29"/>
        <v>311462.7330530425</v>
      </c>
    </row>
    <row r="155" spans="1:9">
      <c r="A155" s="208">
        <v>41426</v>
      </c>
      <c r="B155" s="208"/>
      <c r="C155" s="173">
        <f t="shared" si="28"/>
        <v>287914.30801662634</v>
      </c>
      <c r="G155" s="176">
        <f t="shared" si="29"/>
        <v>313168.76244942239</v>
      </c>
    </row>
    <row r="156" spans="1:9">
      <c r="A156" s="208">
        <v>41456</v>
      </c>
      <c r="B156" s="208"/>
      <c r="C156" s="173">
        <f t="shared" si="28"/>
        <v>289482.76034013694</v>
      </c>
      <c r="G156" s="176">
        <f t="shared" si="29"/>
        <v>314874.79184580228</v>
      </c>
    </row>
    <row r="157" spans="1:9">
      <c r="A157" s="208">
        <v>41487</v>
      </c>
      <c r="B157" s="208"/>
      <c r="C157" s="173">
        <f t="shared" si="28"/>
        <v>291051.21266364754</v>
      </c>
      <c r="G157" s="176">
        <f t="shared" si="29"/>
        <v>316580.82124218217</v>
      </c>
    </row>
    <row r="158" spans="1:9">
      <c r="A158" s="208">
        <v>41518</v>
      </c>
      <c r="B158" s="208"/>
      <c r="C158" s="173">
        <f t="shared" si="28"/>
        <v>292619.66498715815</v>
      </c>
      <c r="G158" s="176">
        <f t="shared" si="29"/>
        <v>318286.85063856206</v>
      </c>
    </row>
    <row r="159" spans="1:9">
      <c r="A159" s="208">
        <v>41548</v>
      </c>
      <c r="B159" s="208"/>
      <c r="C159" s="173">
        <f t="shared" si="28"/>
        <v>294188.11731066875</v>
      </c>
      <c r="G159" s="176">
        <f t="shared" si="29"/>
        <v>319992.88003494195</v>
      </c>
    </row>
    <row r="160" spans="1:9">
      <c r="A160" s="208">
        <v>41579</v>
      </c>
      <c r="B160" s="208"/>
      <c r="C160" s="173">
        <f t="shared" si="28"/>
        <v>295756.56963417935</v>
      </c>
      <c r="G160" s="176">
        <f t="shared" si="29"/>
        <v>321698.90943132178</v>
      </c>
    </row>
    <row r="161" spans="1:9">
      <c r="A161" s="389">
        <v>41609</v>
      </c>
      <c r="B161" s="389"/>
      <c r="C161" s="390">
        <f t="shared" si="28"/>
        <v>297325.02195768995</v>
      </c>
      <c r="D161" s="390">
        <f>SUM(C150:C161)</f>
        <v>3464382.4101405796</v>
      </c>
      <c r="E161" s="390">
        <f>C161*12</f>
        <v>3567900.2634922797</v>
      </c>
      <c r="F161" s="393"/>
      <c r="G161" s="391">
        <f t="shared" si="29"/>
        <v>323404.93882770167</v>
      </c>
      <c r="H161" s="390">
        <f>SUM(G150:G161)</f>
        <v>3768261.3257713476</v>
      </c>
      <c r="I161" s="394">
        <f>H161-D161*K73</f>
        <v>0</v>
      </c>
    </row>
    <row r="162" spans="1:9">
      <c r="A162" s="208">
        <v>41640</v>
      </c>
      <c r="C162" s="176">
        <f t="shared" ref="C162:C173" si="30">C161+$G$12</f>
        <v>303357.20281439635</v>
      </c>
      <c r="D162" s="176"/>
      <c r="G162" s="176">
        <f>C162*$K$74</f>
        <v>326915.56945856335</v>
      </c>
    </row>
    <row r="163" spans="1:9">
      <c r="A163" s="208">
        <v>41671</v>
      </c>
      <c r="C163" s="176">
        <f t="shared" si="30"/>
        <v>309389.38367110275</v>
      </c>
      <c r="G163" s="176">
        <f t="shared" ref="G163:G173" si="31">C163*$K$74</f>
        <v>333416.20244684204</v>
      </c>
    </row>
    <row r="164" spans="1:9">
      <c r="A164" s="208">
        <v>41699</v>
      </c>
      <c r="C164" s="176">
        <f t="shared" si="30"/>
        <v>315421.56452780915</v>
      </c>
      <c r="G164" s="176">
        <f t="shared" si="31"/>
        <v>339916.83543512074</v>
      </c>
    </row>
    <row r="165" spans="1:9">
      <c r="A165" s="208">
        <v>41730</v>
      </c>
      <c r="C165" s="176">
        <f t="shared" si="30"/>
        <v>321453.74538451555</v>
      </c>
      <c r="G165" s="176">
        <f t="shared" si="31"/>
        <v>346417.46842339943</v>
      </c>
    </row>
    <row r="166" spans="1:9">
      <c r="A166" s="208">
        <v>41760</v>
      </c>
      <c r="C166" s="176">
        <f t="shared" si="30"/>
        <v>327485.92624122195</v>
      </c>
      <c r="G166" s="176">
        <f t="shared" si="31"/>
        <v>352918.10141167813</v>
      </c>
    </row>
    <row r="167" spans="1:9">
      <c r="A167" s="208">
        <v>41791</v>
      </c>
      <c r="C167" s="176">
        <f t="shared" si="30"/>
        <v>333518.10709792835</v>
      </c>
      <c r="G167" s="176">
        <f t="shared" si="31"/>
        <v>359418.73439995683</v>
      </c>
    </row>
    <row r="168" spans="1:9">
      <c r="A168" s="208">
        <v>41821</v>
      </c>
      <c r="C168" s="176">
        <f t="shared" si="30"/>
        <v>339550.28795463475</v>
      </c>
      <c r="G168" s="176">
        <f t="shared" si="31"/>
        <v>365919.36738823552</v>
      </c>
    </row>
    <row r="169" spans="1:9">
      <c r="A169" s="208">
        <v>41852</v>
      </c>
      <c r="C169" s="176">
        <f t="shared" si="30"/>
        <v>345582.46881134115</v>
      </c>
      <c r="G169" s="176">
        <f t="shared" si="31"/>
        <v>372420.00037651422</v>
      </c>
    </row>
    <row r="170" spans="1:9">
      <c r="A170" s="208">
        <v>41883</v>
      </c>
      <c r="C170" s="176">
        <f t="shared" si="30"/>
        <v>351614.64966804755</v>
      </c>
      <c r="G170" s="176">
        <f t="shared" si="31"/>
        <v>378920.63336479291</v>
      </c>
    </row>
    <row r="171" spans="1:9">
      <c r="A171" s="208">
        <v>41913</v>
      </c>
      <c r="C171" s="176">
        <f t="shared" si="30"/>
        <v>357646.83052475395</v>
      </c>
      <c r="G171" s="176">
        <f t="shared" si="31"/>
        <v>385421.26635307161</v>
      </c>
    </row>
    <row r="172" spans="1:9">
      <c r="A172" s="208">
        <v>41944</v>
      </c>
      <c r="C172" s="176">
        <f t="shared" si="30"/>
        <v>363679.01138146035</v>
      </c>
      <c r="G172" s="176">
        <f t="shared" si="31"/>
        <v>391921.8993413503</v>
      </c>
    </row>
    <row r="173" spans="1:9">
      <c r="A173" s="389">
        <v>41974</v>
      </c>
      <c r="B173" s="393"/>
      <c r="C173" s="391">
        <f t="shared" si="30"/>
        <v>369711.19223816675</v>
      </c>
      <c r="D173" s="390">
        <f>SUM(C162:C173)</f>
        <v>4038410.3703153785</v>
      </c>
      <c r="E173" s="390">
        <f>C173*12</f>
        <v>4436534.3068580013</v>
      </c>
      <c r="F173" s="393"/>
      <c r="G173" s="391">
        <f t="shared" si="31"/>
        <v>398422.532329629</v>
      </c>
      <c r="H173" s="390">
        <f>SUM(G162:G173)</f>
        <v>4352028.6107291542</v>
      </c>
      <c r="I173" s="394">
        <f>H173-D173*K74</f>
        <v>0</v>
      </c>
    </row>
    <row r="174" spans="1:9">
      <c r="A174" s="208">
        <v>42005</v>
      </c>
      <c r="C174" s="176">
        <f t="shared" ref="C174:C185" si="32">C173+$G$13</f>
        <v>377287.00146254135</v>
      </c>
      <c r="D174" s="176"/>
      <c r="G174" s="176">
        <f>C174*$K$75</f>
        <v>408186.80688232352</v>
      </c>
    </row>
    <row r="175" spans="1:9">
      <c r="A175" s="208">
        <v>42036</v>
      </c>
      <c r="C175" s="176">
        <f t="shared" si="32"/>
        <v>384862.81068691594</v>
      </c>
      <c r="G175" s="176">
        <f t="shared" ref="G175:G185" si="33">C175*$K$75</f>
        <v>416383.07488217438</v>
      </c>
    </row>
    <row r="176" spans="1:9">
      <c r="A176" s="208">
        <v>42064</v>
      </c>
      <c r="C176" s="176">
        <f t="shared" si="32"/>
        <v>392438.61991129053</v>
      </c>
      <c r="G176" s="176">
        <f t="shared" si="33"/>
        <v>424579.34288202523</v>
      </c>
    </row>
    <row r="177" spans="1:9">
      <c r="A177" s="208">
        <v>42095</v>
      </c>
      <c r="C177" s="176">
        <f t="shared" si="32"/>
        <v>400014.42913566512</v>
      </c>
      <c r="G177" s="176">
        <f t="shared" si="33"/>
        <v>432775.61088187614</v>
      </c>
    </row>
    <row r="178" spans="1:9">
      <c r="A178" s="208">
        <v>42125</v>
      </c>
      <c r="C178" s="176">
        <f t="shared" si="32"/>
        <v>407590.23836003972</v>
      </c>
      <c r="G178" s="176">
        <f t="shared" si="33"/>
        <v>440971.878881727</v>
      </c>
    </row>
    <row r="179" spans="1:9">
      <c r="A179" s="208">
        <v>42156</v>
      </c>
      <c r="C179" s="176">
        <f t="shared" si="32"/>
        <v>415166.04758441431</v>
      </c>
      <c r="G179" s="176">
        <f t="shared" si="33"/>
        <v>449168.14688157785</v>
      </c>
    </row>
    <row r="180" spans="1:9">
      <c r="A180" s="208">
        <v>42186</v>
      </c>
      <c r="C180" s="176">
        <f t="shared" si="32"/>
        <v>422741.8568087889</v>
      </c>
      <c r="G180" s="176">
        <f t="shared" si="33"/>
        <v>457364.41488142876</v>
      </c>
    </row>
    <row r="181" spans="1:9">
      <c r="A181" s="208">
        <v>42217</v>
      </c>
      <c r="C181" s="176">
        <f t="shared" si="32"/>
        <v>430317.66603316349</v>
      </c>
      <c r="G181" s="176">
        <f t="shared" si="33"/>
        <v>465560.68288127962</v>
      </c>
    </row>
    <row r="182" spans="1:9">
      <c r="A182" s="208">
        <v>42248</v>
      </c>
      <c r="C182" s="176">
        <f t="shared" si="32"/>
        <v>437893.47525753808</v>
      </c>
      <c r="G182" s="176">
        <f t="shared" si="33"/>
        <v>473756.95088113047</v>
      </c>
    </row>
    <row r="183" spans="1:9">
      <c r="A183" s="208">
        <v>42278</v>
      </c>
      <c r="C183" s="176">
        <f t="shared" si="32"/>
        <v>445469.28448191268</v>
      </c>
      <c r="G183" s="176">
        <f t="shared" si="33"/>
        <v>481953.21888098138</v>
      </c>
    </row>
    <row r="184" spans="1:9">
      <c r="A184" s="208">
        <v>42309</v>
      </c>
      <c r="C184" s="176">
        <f t="shared" si="32"/>
        <v>453045.09370628727</v>
      </c>
      <c r="G184" s="176">
        <f t="shared" si="33"/>
        <v>490149.48688083224</v>
      </c>
    </row>
    <row r="185" spans="1:9">
      <c r="A185" s="389">
        <v>42339</v>
      </c>
      <c r="B185" s="393"/>
      <c r="C185" s="391">
        <f t="shared" si="32"/>
        <v>460620.90293066186</v>
      </c>
      <c r="D185" s="390">
        <f>SUM(C174:C185)</f>
        <v>5027447.4263592204</v>
      </c>
      <c r="E185" s="390">
        <f>C185*12</f>
        <v>5527450.8351679426</v>
      </c>
      <c r="F185" s="393"/>
      <c r="G185" s="391">
        <f t="shared" si="33"/>
        <v>498345.75488068309</v>
      </c>
      <c r="H185" s="390">
        <f>SUM(G174:G185)</f>
        <v>5439195.3705780404</v>
      </c>
      <c r="I185" s="394">
        <f>H185-D185*K75</f>
        <v>0</v>
      </c>
    </row>
    <row r="186" spans="1:9">
      <c r="A186" s="208">
        <v>42370</v>
      </c>
      <c r="C186" s="176">
        <f t="shared" ref="C186:C197" si="34">C185+$G$14</f>
        <v>459284.91118247033</v>
      </c>
      <c r="D186" s="176"/>
      <c r="G186" s="176">
        <f>C186*$K$76</f>
        <v>496900.34540831466</v>
      </c>
    </row>
    <row r="187" spans="1:9">
      <c r="A187" s="208">
        <v>42401</v>
      </c>
      <c r="C187" s="176">
        <f t="shared" si="34"/>
        <v>457948.9194342788</v>
      </c>
      <c r="G187" s="176">
        <f t="shared" ref="G187:G197" si="35">C187*$K$76</f>
        <v>495454.93593594624</v>
      </c>
    </row>
    <row r="188" spans="1:9">
      <c r="A188" s="208">
        <v>42430</v>
      </c>
      <c r="C188" s="176">
        <f t="shared" si="34"/>
        <v>456612.92768608726</v>
      </c>
      <c r="G188" s="176">
        <f t="shared" si="35"/>
        <v>494009.52646357787</v>
      </c>
    </row>
    <row r="189" spans="1:9">
      <c r="A189" s="208">
        <v>42461</v>
      </c>
      <c r="C189" s="176">
        <f t="shared" si="34"/>
        <v>455276.93593789573</v>
      </c>
      <c r="G189" s="176">
        <f t="shared" si="35"/>
        <v>492564.11699120945</v>
      </c>
    </row>
    <row r="190" spans="1:9">
      <c r="A190" s="208">
        <v>42491</v>
      </c>
      <c r="C190" s="176">
        <f t="shared" si="34"/>
        <v>453940.9441897042</v>
      </c>
      <c r="G190" s="176">
        <f t="shared" si="35"/>
        <v>491118.70751884102</v>
      </c>
    </row>
    <row r="191" spans="1:9">
      <c r="A191" s="208">
        <v>42522</v>
      </c>
      <c r="C191" s="176">
        <f t="shared" si="34"/>
        <v>452604.95244151267</v>
      </c>
      <c r="G191" s="176">
        <f t="shared" si="35"/>
        <v>489673.2980464726</v>
      </c>
    </row>
    <row r="192" spans="1:9">
      <c r="A192" s="208">
        <v>42552</v>
      </c>
      <c r="C192" s="176">
        <f t="shared" si="34"/>
        <v>451268.96069332113</v>
      </c>
      <c r="G192" s="176">
        <f t="shared" si="35"/>
        <v>488227.88857410417</v>
      </c>
    </row>
    <row r="193" spans="1:9">
      <c r="A193" s="208">
        <v>42583</v>
      </c>
      <c r="C193" s="176">
        <f t="shared" si="34"/>
        <v>449932.9689451296</v>
      </c>
      <c r="G193" s="176">
        <f t="shared" si="35"/>
        <v>486782.47910173575</v>
      </c>
    </row>
    <row r="194" spans="1:9">
      <c r="A194" s="208">
        <v>42614</v>
      </c>
      <c r="C194" s="176">
        <f t="shared" si="34"/>
        <v>448596.97719693807</v>
      </c>
      <c r="G194" s="176">
        <f t="shared" si="35"/>
        <v>485337.06962936732</v>
      </c>
    </row>
    <row r="195" spans="1:9">
      <c r="A195" s="208">
        <v>42644</v>
      </c>
      <c r="C195" s="176">
        <f t="shared" si="34"/>
        <v>447260.98544874653</v>
      </c>
      <c r="G195" s="176">
        <f t="shared" si="35"/>
        <v>483891.6601569989</v>
      </c>
    </row>
    <row r="196" spans="1:9">
      <c r="A196" s="208">
        <v>42675</v>
      </c>
      <c r="C196" s="176">
        <f t="shared" si="34"/>
        <v>445924.993700555</v>
      </c>
      <c r="G196" s="176">
        <f t="shared" si="35"/>
        <v>482446.25068463048</v>
      </c>
    </row>
    <row r="197" spans="1:9">
      <c r="A197" s="389">
        <v>42705</v>
      </c>
      <c r="B197" s="393"/>
      <c r="C197" s="391">
        <f t="shared" si="34"/>
        <v>444589.00195236347</v>
      </c>
      <c r="D197" s="390">
        <f>SUM(C186:C197)</f>
        <v>5423243.4788090019</v>
      </c>
      <c r="E197" s="390">
        <f>C197*12</f>
        <v>5335068.0234283619</v>
      </c>
      <c r="F197" s="393"/>
      <c r="G197" s="391">
        <f t="shared" si="35"/>
        <v>481000.84121226205</v>
      </c>
      <c r="H197" s="390">
        <f>SUM(G186:G197)</f>
        <v>5867407.1197234606</v>
      </c>
      <c r="I197" s="394">
        <f>H197-D197*K76</f>
        <v>0</v>
      </c>
    </row>
    <row r="198" spans="1:9">
      <c r="A198" s="1152">
        <v>42736</v>
      </c>
      <c r="C198" s="176">
        <f>C197+$G$15</f>
        <v>438928.25236369047</v>
      </c>
      <c r="D198" s="176"/>
    </row>
    <row r="199" spans="1:9">
      <c r="A199" s="1152">
        <v>42767</v>
      </c>
      <c r="C199" s="176">
        <f t="shared" ref="C199:C209" si="36">C198+$G$15</f>
        <v>433267.50277501746</v>
      </c>
    </row>
    <row r="200" spans="1:9">
      <c r="A200" s="1152">
        <v>42795</v>
      </c>
      <c r="C200" s="176">
        <f t="shared" si="36"/>
        <v>427606.75318634446</v>
      </c>
    </row>
    <row r="201" spans="1:9">
      <c r="A201" s="1152">
        <v>42826</v>
      </c>
      <c r="C201" s="176">
        <f t="shared" si="36"/>
        <v>421946.00359767146</v>
      </c>
    </row>
    <row r="202" spans="1:9">
      <c r="A202" s="1152">
        <v>42856</v>
      </c>
      <c r="C202" s="176">
        <f t="shared" si="36"/>
        <v>416285.25400899845</v>
      </c>
    </row>
    <row r="203" spans="1:9">
      <c r="A203" s="1152">
        <v>42887</v>
      </c>
      <c r="C203" s="176">
        <f t="shared" si="36"/>
        <v>410624.50442032545</v>
      </c>
    </row>
    <row r="204" spans="1:9">
      <c r="A204" s="1152">
        <v>42917</v>
      </c>
      <c r="C204" s="176">
        <f t="shared" si="36"/>
        <v>404963.75483165245</v>
      </c>
    </row>
    <row r="205" spans="1:9">
      <c r="A205" s="1152">
        <v>42948</v>
      </c>
      <c r="C205" s="176">
        <f t="shared" si="36"/>
        <v>399303.00524297945</v>
      </c>
    </row>
    <row r="206" spans="1:9">
      <c r="A206" s="1152">
        <v>42979</v>
      </c>
      <c r="C206" s="176">
        <f t="shared" si="36"/>
        <v>393642.25565430644</v>
      </c>
    </row>
    <row r="207" spans="1:9">
      <c r="A207" s="1152">
        <v>43009</v>
      </c>
      <c r="C207" s="176">
        <f t="shared" si="36"/>
        <v>387981.50606563344</v>
      </c>
    </row>
    <row r="208" spans="1:9">
      <c r="A208" s="1152">
        <v>43040</v>
      </c>
      <c r="C208" s="176">
        <f t="shared" si="36"/>
        <v>382320.75647696044</v>
      </c>
    </row>
    <row r="209" spans="1:5">
      <c r="A209" s="389">
        <v>43070</v>
      </c>
      <c r="C209" s="391">
        <f t="shared" si="36"/>
        <v>376660.00688828743</v>
      </c>
      <c r="D209" s="390">
        <f>SUM(C198:C209)</f>
        <v>4893529.5555118676</v>
      </c>
      <c r="E209" s="390">
        <f>C209*12</f>
        <v>4519920.0826594494</v>
      </c>
    </row>
  </sheetData>
  <mergeCells count="2">
    <mergeCell ref="G22:H26"/>
    <mergeCell ref="A33:H33"/>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vt:i4>
      </vt:variant>
    </vt:vector>
  </HeadingPairs>
  <TitlesOfParts>
    <vt:vector size="21" baseType="lpstr">
      <vt:lpstr>Exhibit 3 Tables 1</vt:lpstr>
      <vt:lpstr>Exhibit 3 Tables 2</vt:lpstr>
      <vt:lpstr>Sheet1</vt:lpstr>
      <vt:lpstr>Summary</vt:lpstr>
      <vt:lpstr>Purchased Power Model</vt:lpstr>
      <vt:lpstr>Rate Class Energy Model </vt:lpstr>
      <vt:lpstr>Rate Class Customer Model</vt:lpstr>
      <vt:lpstr>Rate Class Load Model</vt:lpstr>
      <vt:lpstr>CDM Activity</vt:lpstr>
      <vt:lpstr>LRAMVA</vt:lpstr>
      <vt:lpstr>HDD &amp; CDD</vt:lpstr>
      <vt:lpstr>2017 COP Forecast</vt:lpstr>
      <vt:lpstr>Commodity Price</vt:lpstr>
      <vt:lpstr>Regression Senarios</vt:lpstr>
      <vt:lpstr>2015 COP Forecast</vt:lpstr>
      <vt:lpstr>App.2-R_Loss Factors</vt:lpstr>
      <vt:lpstr>Sheet2</vt:lpstr>
      <vt:lpstr>'App.2-R_Loss Factors'!Print_Area</vt:lpstr>
      <vt:lpstr>'Rate Class Customer Model'!Print_Area</vt:lpstr>
      <vt:lpstr>'Rate Class Energy Model '!Print_Area</vt:lpstr>
      <vt:lpstr>'Rate Class Load Model'!Print_Area</vt:lpstr>
    </vt:vector>
  </TitlesOfParts>
  <Company>London Hydro</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Bruce Bacon</dc:creator>
  <cp:lastModifiedBy>psoules</cp:lastModifiedBy>
  <cp:lastPrinted>2017-04-27T19:22:38Z</cp:lastPrinted>
  <dcterms:created xsi:type="dcterms:W3CDTF">2008-02-06T18:24:44Z</dcterms:created>
  <dcterms:modified xsi:type="dcterms:W3CDTF">2017-05-05T18:16:42Z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ies>
</file>