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20730" windowHeight="11760" firstSheet="1" activeTab="5"/>
  </bookViews>
  <sheets>
    <sheet name="Nuclear Liabilities Summary" sheetId="2" r:id="rId1"/>
    <sheet name="Appendix A" sheetId="1" r:id="rId2"/>
    <sheet name="Capital Funded in Rates" sheetId="3" r:id="rId3"/>
    <sheet name="OPG WAPA Proposal" sheetId="4" r:id="rId4"/>
    <sheet name="Revised OPG Table 2" sheetId="5" r:id="rId5"/>
    <sheet name="SEC Table 2 Proposal" sheetId="6" r:id="rId6"/>
  </sheets>
  <calcPr calcId="145621"/>
</workbook>
</file>

<file path=xl/calcChain.xml><?xml version="1.0" encoding="utf-8"?>
<calcChain xmlns="http://schemas.openxmlformats.org/spreadsheetml/2006/main">
  <c r="D31" i="6" l="1"/>
  <c r="D27" i="6"/>
  <c r="I16" i="6"/>
  <c r="H16" i="6"/>
  <c r="G16" i="6"/>
  <c r="F16" i="6"/>
  <c r="C16" i="6"/>
  <c r="E15" i="6"/>
  <c r="D15" i="6"/>
  <c r="D32" i="6" s="1"/>
  <c r="O14" i="6"/>
  <c r="E14" i="6"/>
  <c r="E16" i="6" s="1"/>
  <c r="D14" i="6"/>
  <c r="D16" i="6" s="1"/>
  <c r="D19" i="6" s="1"/>
  <c r="P13" i="6"/>
  <c r="P14" i="6" s="1"/>
  <c r="O13" i="6"/>
  <c r="N13" i="6"/>
  <c r="N14" i="6" s="1"/>
  <c r="M13" i="6"/>
  <c r="M14" i="6" s="1"/>
  <c r="M15" i="6" s="1"/>
  <c r="L13" i="6"/>
  <c r="L12" i="6"/>
  <c r="L14" i="6" s="1"/>
  <c r="L15" i="6" s="1"/>
  <c r="D12" i="6"/>
  <c r="D23" i="6" s="1"/>
  <c r="C12" i="6"/>
  <c r="C19" i="6" s="1"/>
  <c r="M11" i="6"/>
  <c r="N11" i="6" s="1"/>
  <c r="O11" i="6" s="1"/>
  <c r="P11" i="6" s="1"/>
  <c r="G10" i="6"/>
  <c r="D7" i="6"/>
  <c r="F5" i="6"/>
  <c r="E5" i="6"/>
  <c r="D28" i="6" s="1"/>
  <c r="C5" i="6"/>
  <c r="G5" i="6" s="1"/>
  <c r="I16" i="5"/>
  <c r="H16" i="5"/>
  <c r="G16" i="5"/>
  <c r="F16" i="5"/>
  <c r="C16" i="5"/>
  <c r="E15" i="5"/>
  <c r="D15" i="5"/>
  <c r="D32" i="5" s="1"/>
  <c r="E14" i="5"/>
  <c r="E16" i="5" s="1"/>
  <c r="D14" i="5"/>
  <c r="D16" i="5" s="1"/>
  <c r="D12" i="5"/>
  <c r="D23" i="5" s="1"/>
  <c r="C12" i="5"/>
  <c r="C19" i="5" s="1"/>
  <c r="G10" i="5"/>
  <c r="D7" i="5"/>
  <c r="F5" i="5"/>
  <c r="E5" i="5"/>
  <c r="C5" i="5"/>
  <c r="G5" i="5" s="1"/>
  <c r="N15" i="6" l="1"/>
  <c r="H5" i="6"/>
  <c r="O15" i="6"/>
  <c r="D29" i="6"/>
  <c r="D30" i="6" s="1"/>
  <c r="E6" i="6" s="1"/>
  <c r="P15" i="6"/>
  <c r="D33" i="6"/>
  <c r="D34" i="6" s="1"/>
  <c r="E11" i="6" s="1"/>
  <c r="C7" i="6"/>
  <c r="C18" i="6" s="1"/>
  <c r="C20" i="6" s="1"/>
  <c r="H10" i="6"/>
  <c r="D18" i="6"/>
  <c r="D20" i="6" s="1"/>
  <c r="D24" i="6" s="1"/>
  <c r="H5" i="5"/>
  <c r="D19" i="5"/>
  <c r="D27" i="5"/>
  <c r="D31" i="5"/>
  <c r="D33" i="5" s="1"/>
  <c r="D34" i="5" s="1"/>
  <c r="E11" i="5" s="1"/>
  <c r="C7" i="5"/>
  <c r="C18" i="5" s="1"/>
  <c r="C20" i="5" s="1"/>
  <c r="H10" i="5"/>
  <c r="D18" i="5"/>
  <c r="D20" i="5" s="1"/>
  <c r="D24" i="5" s="1"/>
  <c r="D28" i="5"/>
  <c r="H12" i="6" l="1"/>
  <c r="I10" i="6"/>
  <c r="I12" i="6" s="1"/>
  <c r="H7" i="6"/>
  <c r="I5" i="6"/>
  <c r="I7" i="6" s="1"/>
  <c r="E7" i="6"/>
  <c r="F6" i="6"/>
  <c r="F11" i="6"/>
  <c r="E12" i="6"/>
  <c r="D22" i="6"/>
  <c r="D29" i="5"/>
  <c r="D30" i="5" s="1"/>
  <c r="E6" i="5" s="1"/>
  <c r="H12" i="5"/>
  <c r="I10" i="5"/>
  <c r="I12" i="5" s="1"/>
  <c r="D22" i="5"/>
  <c r="H7" i="5"/>
  <c r="I5" i="5"/>
  <c r="I7" i="5" s="1"/>
  <c r="E12" i="5"/>
  <c r="F11" i="5"/>
  <c r="E22" i="6" l="1"/>
  <c r="E18" i="6"/>
  <c r="E20" i="6" s="1"/>
  <c r="H19" i="6"/>
  <c r="E19" i="6"/>
  <c r="E23" i="6"/>
  <c r="I22" i="6"/>
  <c r="I18" i="6"/>
  <c r="F12" i="6"/>
  <c r="G11" i="6"/>
  <c r="G12" i="6" s="1"/>
  <c r="H23" i="6" s="1"/>
  <c r="H18" i="6"/>
  <c r="H20" i="6" s="1"/>
  <c r="F7" i="6"/>
  <c r="G6" i="6"/>
  <c r="G7" i="6" s="1"/>
  <c r="H22" i="6" s="1"/>
  <c r="I23" i="6"/>
  <c r="I19" i="6"/>
  <c r="F12" i="5"/>
  <c r="G11" i="5"/>
  <c r="G12" i="5" s="1"/>
  <c r="E19" i="5"/>
  <c r="E23" i="5"/>
  <c r="I19" i="5"/>
  <c r="I23" i="5"/>
  <c r="I22" i="5"/>
  <c r="I18" i="5"/>
  <c r="I20" i="5" s="1"/>
  <c r="H23" i="5"/>
  <c r="H19" i="5"/>
  <c r="H18" i="5"/>
  <c r="H20" i="5" s="1"/>
  <c r="F6" i="5"/>
  <c r="E7" i="5"/>
  <c r="H25" i="6" l="1"/>
  <c r="H24" i="6"/>
  <c r="I20" i="6"/>
  <c r="E25" i="6"/>
  <c r="E24" i="6"/>
  <c r="G22" i="6"/>
  <c r="G18" i="6"/>
  <c r="G20" i="6" s="1"/>
  <c r="G19" i="6"/>
  <c r="G23" i="6"/>
  <c r="F22" i="6"/>
  <c r="F18" i="6"/>
  <c r="F20" i="6" s="1"/>
  <c r="F19" i="6"/>
  <c r="F23" i="6"/>
  <c r="I25" i="5"/>
  <c r="I24" i="5"/>
  <c r="E22" i="5"/>
  <c r="E18" i="5"/>
  <c r="E20" i="5" s="1"/>
  <c r="G19" i="5"/>
  <c r="G23" i="5"/>
  <c r="G6" i="5"/>
  <c r="G7" i="5" s="1"/>
  <c r="F7" i="5"/>
  <c r="F19" i="5"/>
  <c r="F23" i="5"/>
  <c r="F24" i="6" l="1"/>
  <c r="F25" i="6"/>
  <c r="G25" i="6"/>
  <c r="G24" i="6"/>
  <c r="I25" i="6"/>
  <c r="I24" i="6"/>
  <c r="G22" i="5"/>
  <c r="G18" i="5"/>
  <c r="G20" i="5" s="1"/>
  <c r="H22" i="5"/>
  <c r="E25" i="5"/>
  <c r="E24" i="5"/>
  <c r="F22" i="5"/>
  <c r="F18" i="5"/>
  <c r="F20" i="5" s="1"/>
  <c r="F24" i="5" l="1"/>
  <c r="F25" i="5"/>
  <c r="G25" i="5"/>
  <c r="G24" i="5"/>
  <c r="H25" i="5"/>
  <c r="H24" i="5"/>
  <c r="E9" i="4"/>
  <c r="C9" i="4"/>
  <c r="E8" i="4"/>
  <c r="C8" i="4"/>
  <c r="E7" i="4"/>
  <c r="C7" i="4"/>
  <c r="E6" i="4"/>
  <c r="C6" i="4"/>
  <c r="E5" i="4"/>
  <c r="C5" i="4"/>
  <c r="A5" i="4"/>
  <c r="A6" i="4" s="1"/>
  <c r="A7" i="4" s="1"/>
  <c r="A8" i="4" s="1"/>
  <c r="A9" i="4" s="1"/>
  <c r="G22" i="3" l="1"/>
  <c r="F22" i="3"/>
  <c r="E22" i="3"/>
  <c r="D22" i="3"/>
  <c r="C22" i="3"/>
  <c r="H22" i="3" s="1"/>
  <c r="C21" i="3"/>
  <c r="D18" i="3"/>
  <c r="D25" i="3" s="1"/>
  <c r="C18" i="3"/>
  <c r="C25" i="3" s="1"/>
  <c r="E17" i="3"/>
  <c r="F17" i="3" s="1"/>
  <c r="G17" i="3" s="1"/>
  <c r="D17" i="3"/>
  <c r="C15" i="3"/>
  <c r="C14" i="3"/>
  <c r="C26" i="3" l="1"/>
  <c r="D27" i="3"/>
  <c r="C23" i="3"/>
  <c r="D21" i="3" s="1"/>
  <c r="D23" i="3" s="1"/>
  <c r="E21" i="3" s="1"/>
  <c r="E23" i="3" s="1"/>
  <c r="F21" i="3" s="1"/>
  <c r="F23" i="3" s="1"/>
  <c r="G21" i="3" s="1"/>
  <c r="G23" i="3" s="1"/>
  <c r="E18" i="3"/>
  <c r="E25" i="3" l="1"/>
  <c r="E27" i="3" s="1"/>
  <c r="E26" i="3" s="1"/>
  <c r="F18" i="3"/>
  <c r="C27" i="3"/>
  <c r="D26" i="3" s="1"/>
  <c r="G18" i="3" l="1"/>
  <c r="F25" i="3"/>
  <c r="F27" i="3" s="1"/>
  <c r="F26" i="3" s="1"/>
  <c r="H26" i="3" l="1"/>
  <c r="G25" i="3"/>
  <c r="G27" i="3" s="1"/>
  <c r="G26" i="3" s="1"/>
  <c r="H18" i="3"/>
  <c r="D20" i="2" l="1"/>
  <c r="C20" i="2"/>
  <c r="B20" i="2"/>
  <c r="F18" i="2"/>
  <c r="E18" i="2"/>
  <c r="D18" i="2"/>
  <c r="C18" i="2"/>
  <c r="B18" i="2"/>
  <c r="G18" i="2" s="1"/>
  <c r="F16" i="2"/>
  <c r="E16" i="2"/>
  <c r="D16" i="2"/>
  <c r="C16" i="2"/>
  <c r="B16" i="2"/>
  <c r="F17" i="2"/>
  <c r="E17" i="2"/>
  <c r="D17" i="2"/>
  <c r="C17" i="2"/>
  <c r="B17" i="2"/>
  <c r="F15" i="2"/>
  <c r="E15" i="2"/>
  <c r="D15" i="2"/>
  <c r="C15" i="2"/>
  <c r="B15" i="2"/>
  <c r="D12" i="2"/>
  <c r="C12" i="2"/>
  <c r="B12" i="2"/>
  <c r="F11" i="2"/>
  <c r="E11" i="2"/>
  <c r="D11" i="2"/>
  <c r="C11" i="2"/>
  <c r="B11" i="2"/>
  <c r="G11" i="2" s="1"/>
  <c r="D10" i="2"/>
  <c r="C10" i="2"/>
  <c r="B10" i="2"/>
  <c r="F9" i="2"/>
  <c r="E9" i="2"/>
  <c r="D9" i="2"/>
  <c r="C9" i="2"/>
  <c r="B9" i="2"/>
  <c r="F8" i="2"/>
  <c r="E8" i="2"/>
  <c r="D8" i="2"/>
  <c r="C8" i="2"/>
  <c r="B8" i="2"/>
  <c r="F7" i="2"/>
  <c r="E7" i="2"/>
  <c r="D7" i="2"/>
  <c r="C7" i="2"/>
  <c r="B7" i="2"/>
  <c r="D6" i="2"/>
  <c r="C6" i="2"/>
  <c r="B6" i="2"/>
  <c r="G15" i="2"/>
  <c r="C4" i="2"/>
  <c r="D4" i="2" s="1"/>
  <c r="E4" i="2" s="1"/>
  <c r="F4" i="2" s="1"/>
  <c r="G54" i="1"/>
  <c r="F54" i="1"/>
  <c r="I53" i="1"/>
  <c r="H53" i="1"/>
  <c r="G53" i="1"/>
  <c r="F53" i="1"/>
  <c r="E54" i="1"/>
  <c r="E53" i="1"/>
  <c r="G55" i="1"/>
  <c r="F55" i="1"/>
  <c r="J53" i="1"/>
  <c r="G33" i="1"/>
  <c r="F33" i="1"/>
  <c r="F34" i="1" s="1"/>
  <c r="H32" i="1"/>
  <c r="G32" i="1"/>
  <c r="G34" i="1" s="1"/>
  <c r="F32" i="1"/>
  <c r="E33" i="1"/>
  <c r="E32" i="1"/>
  <c r="I28" i="1"/>
  <c r="J28" i="1" s="1"/>
  <c r="H28" i="1"/>
  <c r="H30" i="1" s="1"/>
  <c r="G28" i="1"/>
  <c r="G30" i="1" s="1"/>
  <c r="F28" i="1"/>
  <c r="F30" i="1" s="1"/>
  <c r="E28" i="1"/>
  <c r="J29" i="1"/>
  <c r="I30" i="1"/>
  <c r="I50" i="1"/>
  <c r="H50" i="1"/>
  <c r="G50" i="1"/>
  <c r="F50" i="1"/>
  <c r="I49" i="1"/>
  <c r="I51" i="1" s="1"/>
  <c r="H49" i="1"/>
  <c r="G49" i="1"/>
  <c r="G51" i="1" s="1"/>
  <c r="F49" i="1"/>
  <c r="E50" i="1"/>
  <c r="E49" i="1"/>
  <c r="F51" i="1"/>
  <c r="H51" i="1"/>
  <c r="I47" i="1"/>
  <c r="H47" i="1"/>
  <c r="G47" i="1"/>
  <c r="F47" i="1"/>
  <c r="E47" i="1"/>
  <c r="J46" i="1"/>
  <c r="J45" i="1"/>
  <c r="I25" i="1"/>
  <c r="I33" i="1" s="1"/>
  <c r="I54" i="1" s="1"/>
  <c r="I55" i="1" s="1"/>
  <c r="H25" i="1"/>
  <c r="H33" i="1" s="1"/>
  <c r="G25" i="1"/>
  <c r="F25" i="1"/>
  <c r="E25" i="1"/>
  <c r="I24" i="1"/>
  <c r="I32" i="1" s="1"/>
  <c r="H24" i="1"/>
  <c r="G24" i="1"/>
  <c r="F24" i="1"/>
  <c r="E24" i="1"/>
  <c r="I43" i="1"/>
  <c r="H43" i="1"/>
  <c r="G43" i="1"/>
  <c r="F43" i="1"/>
  <c r="E43" i="1"/>
  <c r="J42" i="1"/>
  <c r="J41" i="1"/>
  <c r="I39" i="1"/>
  <c r="H39" i="1"/>
  <c r="G39" i="1"/>
  <c r="F39" i="1"/>
  <c r="E39" i="1"/>
  <c r="G26" i="1"/>
  <c r="F26" i="1"/>
  <c r="I22" i="1"/>
  <c r="H22" i="1"/>
  <c r="G22" i="1"/>
  <c r="F22" i="1"/>
  <c r="E22" i="1"/>
  <c r="I21" i="1"/>
  <c r="H21" i="1"/>
  <c r="G21" i="1"/>
  <c r="F21" i="1"/>
  <c r="E21" i="1"/>
  <c r="I16" i="1"/>
  <c r="H16" i="1"/>
  <c r="G16" i="1"/>
  <c r="F16" i="1"/>
  <c r="E16" i="1"/>
  <c r="J16" i="1" s="1"/>
  <c r="I12" i="1"/>
  <c r="H12" i="1"/>
  <c r="G12" i="1"/>
  <c r="F12" i="1"/>
  <c r="E12" i="1"/>
  <c r="J12" i="1" s="1"/>
  <c r="I10" i="1"/>
  <c r="H10" i="1"/>
  <c r="G10" i="1"/>
  <c r="F10" i="1"/>
  <c r="E10" i="1"/>
  <c r="I8" i="1"/>
  <c r="F6" i="2" s="1"/>
  <c r="H8" i="1"/>
  <c r="E6" i="2" s="1"/>
  <c r="G8" i="1"/>
  <c r="F8" i="1"/>
  <c r="J38" i="1"/>
  <c r="J37" i="1"/>
  <c r="J25" i="1"/>
  <c r="J24" i="1"/>
  <c r="J22" i="1"/>
  <c r="J21" i="1"/>
  <c r="J20" i="1"/>
  <c r="J19" i="1"/>
  <c r="J18" i="1"/>
  <c r="J15" i="1"/>
  <c r="J14" i="1"/>
  <c r="J11" i="1"/>
  <c r="J7" i="1"/>
  <c r="E8" i="1"/>
  <c r="J6" i="1"/>
  <c r="F4" i="1"/>
  <c r="G4" i="1" s="1"/>
  <c r="H4" i="1" s="1"/>
  <c r="I4" i="1" s="1"/>
  <c r="I26" i="1" l="1"/>
  <c r="F10" i="2" s="1"/>
  <c r="H54" i="1"/>
  <c r="H34" i="1"/>
  <c r="E12" i="2" s="1"/>
  <c r="E20" i="2" s="1"/>
  <c r="H26" i="1"/>
  <c r="E10" i="2" s="1"/>
  <c r="G16" i="2"/>
  <c r="G17" i="2"/>
  <c r="G9" i="2"/>
  <c r="G10" i="2"/>
  <c r="G8" i="2"/>
  <c r="G6" i="2"/>
  <c r="G7" i="2"/>
  <c r="E55" i="1"/>
  <c r="I34" i="1"/>
  <c r="F12" i="2" s="1"/>
  <c r="F20" i="2" s="1"/>
  <c r="J32" i="1"/>
  <c r="J8" i="1"/>
  <c r="J33" i="1"/>
  <c r="E34" i="1"/>
  <c r="J34" i="1" s="1"/>
  <c r="E30" i="1"/>
  <c r="J30" i="1" s="1"/>
  <c r="J50" i="1"/>
  <c r="E51" i="1"/>
  <c r="J51" i="1" s="1"/>
  <c r="J49" i="1"/>
  <c r="J47" i="1"/>
  <c r="E26" i="1"/>
  <c r="J26" i="1"/>
  <c r="J43" i="1"/>
  <c r="J39" i="1"/>
  <c r="J10" i="1"/>
  <c r="G12" i="2" l="1"/>
  <c r="G20" i="2" s="1"/>
  <c r="J54" i="1"/>
  <c r="H55" i="1"/>
  <c r="J55" i="1" s="1"/>
</calcChain>
</file>

<file path=xl/sharedStrings.xml><?xml version="1.0" encoding="utf-8"?>
<sst xmlns="http://schemas.openxmlformats.org/spreadsheetml/2006/main" count="193" uniqueCount="107">
  <si>
    <t>#</t>
  </si>
  <si>
    <t>Description</t>
  </si>
  <si>
    <t>Reference</t>
  </si>
  <si>
    <t>Total</t>
  </si>
  <si>
    <t>Depreciation of Asset Retirement Costs</t>
  </si>
  <si>
    <t>Prescribed</t>
  </si>
  <si>
    <t>Bruce</t>
  </si>
  <si>
    <t>Units</t>
  </si>
  <si>
    <t>N1-1-1, Table 2, Line 1</t>
  </si>
  <si>
    <t>N1-1-1, Table 2, Line 9</t>
  </si>
  <si>
    <t>N1-1-1, Table 2, Line 2 less J20.8, Chart 1, Line 2</t>
  </si>
  <si>
    <t>Used Fuel Storage Variable Expense</t>
  </si>
  <si>
    <t>Low and Int. Level Waste Mgmt. Exp.</t>
  </si>
  <si>
    <t>N1-1-1, Table 2, Line 3</t>
  </si>
  <si>
    <t>J21.2, Table 1, Line 16</t>
  </si>
  <si>
    <t>J21.2, Table 1, Line 17</t>
  </si>
  <si>
    <t>Accretion and Earnings</t>
  </si>
  <si>
    <t>Bruce - Accretion</t>
  </si>
  <si>
    <t>Bruce - Earnings</t>
  </si>
  <si>
    <t>Bruce - Net</t>
  </si>
  <si>
    <t>Line 11 minus Line 12</t>
  </si>
  <si>
    <t>J21.2, Table 1, Line 14</t>
  </si>
  <si>
    <t>J21.2, Table 1, Line 15</t>
  </si>
  <si>
    <t>Actual Expenditures</t>
  </si>
  <si>
    <t>N1-1-1, Table 3, Line 8</t>
  </si>
  <si>
    <t>N1-1-1, Table 4, Line 8</t>
  </si>
  <si>
    <t>Contributions to Seg Funds</t>
  </si>
  <si>
    <t xml:space="preserve"> J20.8, Chart 1, Line 4</t>
  </si>
  <si>
    <t xml:space="preserve"> J20.8, Chart 1, Line 12</t>
  </si>
  <si>
    <t>Recoveries from Seg Funds</t>
  </si>
  <si>
    <t>N1-1-1, Table 3, Line 15</t>
  </si>
  <si>
    <t>N1-1-1, Table 4, Line 15</t>
  </si>
  <si>
    <t>Tax Impacts</t>
  </si>
  <si>
    <t>J21.2, Table 1, Line 2+4</t>
  </si>
  <si>
    <t>Compare: J21.2, Chart 1, Line 8</t>
  </si>
  <si>
    <t>Compare: J21.2, Chart 1, Line 1</t>
  </si>
  <si>
    <t>Compare: J21.2, Chart 1, Line 5</t>
  </si>
  <si>
    <t>Compare: J21.2, Table 1, Line 14</t>
  </si>
  <si>
    <t>Compare: J21.2, Table 1, Line 6</t>
  </si>
  <si>
    <t>Compare: J21.2, Table 1, Line 8 less J20.8, Chart 1, Line 14</t>
  </si>
  <si>
    <t>Compare: J20.8, Chart 1, Line 7 plus J21.2, Chart 1, Line 2+4</t>
  </si>
  <si>
    <t>Offsets:  See J21.2, Table 1</t>
  </si>
  <si>
    <t>Nuclear Liabilities Summary GAAP vs. ONFA (After Tax Impacts)</t>
  </si>
  <si>
    <t>GAAP Amounts</t>
  </si>
  <si>
    <t>ONFA Amounts</t>
  </si>
  <si>
    <t>GAAP Less ONFA - Difference</t>
  </si>
  <si>
    <t>Total GAAP Amounts (Pre-Tax)</t>
  </si>
  <si>
    <t>Total GAAP Amounts (After tax)</t>
  </si>
  <si>
    <t>Net ONFA Amounts</t>
  </si>
  <si>
    <t>Capital Funded in Rates</t>
  </si>
  <si>
    <t>Escalator</t>
  </si>
  <si>
    <t>Rate Base at Start</t>
  </si>
  <si>
    <t>Capital Envelope Built Into Base Rates</t>
  </si>
  <si>
    <t>Depreciation/Amortization</t>
  </si>
  <si>
    <t>Cost of Debt</t>
  </si>
  <si>
    <t>ROE</t>
  </si>
  <si>
    <t>PILs</t>
  </si>
  <si>
    <t>Total in Base Rates</t>
  </si>
  <si>
    <t>Percentage of Rate Base</t>
  </si>
  <si>
    <t>Funding Envelope</t>
  </si>
  <si>
    <t>Rate Base Without Additions</t>
  </si>
  <si>
    <t>Opening</t>
  </si>
  <si>
    <t>Depreciation</t>
  </si>
  <si>
    <t>Closing</t>
  </si>
  <si>
    <t>Rate Base Funded</t>
  </si>
  <si>
    <t>Available Capital Additions</t>
  </si>
  <si>
    <t>Cumulative Additions</t>
  </si>
  <si>
    <t>WAPA Proposal by OPG</t>
  </si>
  <si>
    <t>Year</t>
  </si>
  <si>
    <t>WAPA</t>
  </si>
  <si>
    <t>% Inc.</t>
  </si>
  <si>
    <t>NPA</t>
  </si>
  <si>
    <t>Revised OPG Table 2 from N3-1-1</t>
  </si>
  <si>
    <t>Ln.</t>
  </si>
  <si>
    <t>Jan to Sept, 2017</t>
  </si>
  <si>
    <t>Oct to Dec., 2017</t>
  </si>
  <si>
    <t>Hydroelectric Pmt Amt (HPA)</t>
  </si>
  <si>
    <t>Hydroelectric Pmt Rider (HPR)</t>
  </si>
  <si>
    <t>Hydroelectric Rev. Shortfall Rider</t>
  </si>
  <si>
    <t>Total Hydroelectric</t>
  </si>
  <si>
    <t>Nuclear Pmt Amt (NPA)</t>
  </si>
  <si>
    <t>Nuclear Pmt Rider (NPR)</t>
  </si>
  <si>
    <t>Nuclear Rev. Shortfall Rider</t>
  </si>
  <si>
    <t>Total Nuclear</t>
  </si>
  <si>
    <t>Hydroelectric Prod. Forecast (HPF)</t>
  </si>
  <si>
    <t>Nuclear Production Forecast (NPF)</t>
  </si>
  <si>
    <t>Total Production</t>
  </si>
  <si>
    <t>Hydroelectric Portion of WAPA</t>
  </si>
  <si>
    <t>Nuclear Portion of WAPA</t>
  </si>
  <si>
    <t>% change in Hydroelectric</t>
  </si>
  <si>
    <t>% change in Nuclear</t>
  </si>
  <si>
    <t>% change in WAPA</t>
  </si>
  <si>
    <t>Annual % increase</t>
  </si>
  <si>
    <t>Hydroelectric PA Shortfall</t>
  </si>
  <si>
    <t>Hydroelectric Rider Shortfall</t>
  </si>
  <si>
    <t>Total Hydroelectric Shortfall ($M)</t>
  </si>
  <si>
    <t>Shortfall Rider - Hydroelectric ($/Mwh)</t>
  </si>
  <si>
    <t>Nuclear PA Shortfall</t>
  </si>
  <si>
    <t>Nuclear Rider Shortfall</t>
  </si>
  <si>
    <t>Total Nuclear Shortfall ($M)</t>
  </si>
  <si>
    <t>Shortfall Rider - Nuclear ($/Mwh)</t>
  </si>
  <si>
    <t>Revised OPG Table 2 from N3-1-1 - SEC Proposal</t>
  </si>
  <si>
    <t>Deferred Revenue Calculation</t>
  </si>
  <si>
    <t>RR</t>
  </si>
  <si>
    <t>Rev</t>
  </si>
  <si>
    <t>RSVA</t>
  </si>
  <si>
    <t>Cum.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</si>
</sst>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$&quot;#,##0.00"/>
    <numFmt numFmtId="167" formatCode="&quot;$&quot;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164" fontId="4" fillId="2" borderId="1" xfId="0" applyNumberFormat="1" applyFont="1" applyFill="1" applyBorder="1"/>
    <xf numFmtId="164" fontId="0" fillId="0" borderId="1" xfId="0" applyNumberFormat="1" applyFont="1" applyBorder="1"/>
    <xf numFmtId="0" fontId="5" fillId="0" borderId="0" xfId="0" applyFont="1"/>
    <xf numFmtId="10" fontId="0" fillId="0" borderId="0" xfId="0" applyNumberFormat="1"/>
    <xf numFmtId="165" fontId="0" fillId="0" borderId="0" xfId="0" applyNumberFormat="1"/>
    <xf numFmtId="0" fontId="6" fillId="0" borderId="0" xfId="0" applyFont="1"/>
    <xf numFmtId="0" fontId="0" fillId="0" borderId="0" xfId="0" applyFont="1"/>
    <xf numFmtId="165" fontId="0" fillId="0" borderId="0" xfId="0" applyNumberFormat="1" applyFont="1" applyFill="1" applyBorder="1"/>
    <xf numFmtId="0" fontId="0" fillId="0" borderId="0" xfId="0" applyFont="1" applyFill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6" fontId="0" fillId="0" borderId="1" xfId="0" applyNumberFormat="1" applyBorder="1"/>
    <xf numFmtId="10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5" fontId="0" fillId="0" borderId="1" xfId="0" applyNumberFormat="1" applyBorder="1"/>
    <xf numFmtId="10" fontId="0" fillId="3" borderId="1" xfId="0" applyNumberFormat="1" applyFill="1" applyBorder="1"/>
    <xf numFmtId="167" fontId="0" fillId="0" borderId="1" xfId="0" applyNumberFormat="1" applyBorder="1"/>
    <xf numFmtId="167" fontId="0" fillId="0" borderId="0" xfId="0" applyNumberFormat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/>
    <xf numFmtId="0" fontId="0" fillId="0" borderId="6" xfId="0" applyBorder="1" applyAlignment="1"/>
    <xf numFmtId="0" fontId="0" fillId="0" borderId="9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7" xfId="0" applyBorder="1" applyAlignment="1"/>
    <xf numFmtId="0" fontId="0" fillId="0" borderId="0" xfId="0" applyAlignment="1"/>
    <xf numFmtId="0" fontId="0" fillId="0" borderId="8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L15" sqref="L14:L15"/>
    </sheetView>
  </sheetViews>
  <sheetFormatPr defaultRowHeight="15" x14ac:dyDescent="0.25"/>
  <cols>
    <col min="1" max="1" width="36.140625" customWidth="1"/>
  </cols>
  <sheetData>
    <row r="2" spans="1:7" ht="21" x14ac:dyDescent="0.35">
      <c r="A2" s="3" t="s">
        <v>42</v>
      </c>
      <c r="B2" s="4"/>
      <c r="C2" s="4"/>
      <c r="D2" s="4"/>
      <c r="E2" s="4"/>
      <c r="F2" s="4"/>
      <c r="G2" s="4"/>
    </row>
    <row r="4" spans="1:7" ht="15.75" x14ac:dyDescent="0.25">
      <c r="A4" s="11" t="s">
        <v>1</v>
      </c>
      <c r="B4" s="11">
        <v>2017</v>
      </c>
      <c r="C4" s="11">
        <f>+B4+1</f>
        <v>2018</v>
      </c>
      <c r="D4" s="11">
        <f t="shared" ref="D4:F4" si="0">+C4+1</f>
        <v>2019</v>
      </c>
      <c r="E4" s="11">
        <f t="shared" si="0"/>
        <v>2020</v>
      </c>
      <c r="F4" s="11">
        <f t="shared" si="0"/>
        <v>2021</v>
      </c>
      <c r="G4" s="11" t="s">
        <v>3</v>
      </c>
    </row>
    <row r="5" spans="1:7" ht="15.75" x14ac:dyDescent="0.25">
      <c r="A5" s="10" t="s">
        <v>43</v>
      </c>
      <c r="B5" s="5"/>
      <c r="C5" s="5"/>
      <c r="D5" s="5"/>
      <c r="E5" s="5"/>
      <c r="F5" s="5"/>
      <c r="G5" s="5"/>
    </row>
    <row r="6" spans="1:7" x14ac:dyDescent="0.25">
      <c r="A6" s="5" t="s">
        <v>4</v>
      </c>
      <c r="B6" s="14">
        <f>+'Appendix A'!E8</f>
        <v>145.89999999999998</v>
      </c>
      <c r="C6" s="14">
        <f>+'Appendix A'!F8</f>
        <v>145.89999999999998</v>
      </c>
      <c r="D6" s="14">
        <f>+'Appendix A'!G8</f>
        <v>145.89999999999998</v>
      </c>
      <c r="E6" s="14">
        <f>+'Appendix A'!H8</f>
        <v>145.69999999999999</v>
      </c>
      <c r="F6" s="14">
        <f>+'Appendix A'!I8</f>
        <v>76.300000000000011</v>
      </c>
      <c r="G6" s="14">
        <f t="shared" ref="G6:G18" si="1">SUM(B6:F6)</f>
        <v>659.69999999999982</v>
      </c>
    </row>
    <row r="7" spans="1:7" x14ac:dyDescent="0.25">
      <c r="A7" s="5" t="s">
        <v>11</v>
      </c>
      <c r="B7" s="14">
        <f>+'Appendix A'!E12</f>
        <v>93.4</v>
      </c>
      <c r="C7" s="14">
        <f>+'Appendix A'!F12</f>
        <v>93.4</v>
      </c>
      <c r="D7" s="14">
        <f>+'Appendix A'!G12</f>
        <v>108.2</v>
      </c>
      <c r="E7" s="14">
        <f>+'Appendix A'!H12</f>
        <v>102.80000000000001</v>
      </c>
      <c r="F7" s="14">
        <f>+'Appendix A'!I12</f>
        <v>94.8</v>
      </c>
      <c r="G7" s="14">
        <f t="shared" si="1"/>
        <v>492.6</v>
      </c>
    </row>
    <row r="8" spans="1:7" x14ac:dyDescent="0.25">
      <c r="A8" s="5" t="s">
        <v>12</v>
      </c>
      <c r="B8" s="14">
        <f>+'Appendix A'!E16</f>
        <v>15</v>
      </c>
      <c r="C8" s="14">
        <f>+'Appendix A'!F16</f>
        <v>13.1</v>
      </c>
      <c r="D8" s="14">
        <f>+'Appendix A'!G16</f>
        <v>15</v>
      </c>
      <c r="E8" s="14">
        <f>+'Appendix A'!H16</f>
        <v>17.399999999999999</v>
      </c>
      <c r="F8" s="14">
        <f>+'Appendix A'!I16</f>
        <v>20.5</v>
      </c>
      <c r="G8" s="14">
        <f t="shared" si="1"/>
        <v>81</v>
      </c>
    </row>
    <row r="9" spans="1:7" x14ac:dyDescent="0.25">
      <c r="A9" s="5" t="s">
        <v>16</v>
      </c>
      <c r="B9" s="14">
        <f>+'Appendix A'!E22</f>
        <v>91.500000000000028</v>
      </c>
      <c r="C9" s="14">
        <f>+'Appendix A'!F22</f>
        <v>83.499999999999972</v>
      </c>
      <c r="D9" s="14">
        <f>+'Appendix A'!G22</f>
        <v>83.3</v>
      </c>
      <c r="E9" s="14">
        <f>+'Appendix A'!H22</f>
        <v>84.100000000000023</v>
      </c>
      <c r="F9" s="14">
        <f>+'Appendix A'!I22</f>
        <v>88.799999999999983</v>
      </c>
      <c r="G9" s="14">
        <f t="shared" si="1"/>
        <v>431.20000000000005</v>
      </c>
    </row>
    <row r="10" spans="1:7" x14ac:dyDescent="0.25">
      <c r="A10" s="5" t="s">
        <v>46</v>
      </c>
      <c r="B10" s="8">
        <f>+'Appendix A'!E26</f>
        <v>345.8</v>
      </c>
      <c r="C10" s="8">
        <f>+'Appendix A'!F26</f>
        <v>335.9</v>
      </c>
      <c r="D10" s="8">
        <f>+'Appendix A'!G26</f>
        <v>352.4</v>
      </c>
      <c r="E10" s="8">
        <f>+'Appendix A'!H26</f>
        <v>350.00000000000006</v>
      </c>
      <c r="F10" s="8">
        <f>+'Appendix A'!I26</f>
        <v>280.39999999999998</v>
      </c>
      <c r="G10" s="8">
        <f t="shared" si="1"/>
        <v>1664.5</v>
      </c>
    </row>
    <row r="11" spans="1:7" x14ac:dyDescent="0.25">
      <c r="A11" s="5" t="s">
        <v>32</v>
      </c>
      <c r="B11" s="14">
        <f>+'Appendix A'!E30</f>
        <v>-27.9</v>
      </c>
      <c r="C11" s="14">
        <f>+'Appendix A'!F30</f>
        <v>-32.299999999999997</v>
      </c>
      <c r="D11" s="14">
        <f>+'Appendix A'!G30</f>
        <v>-19.5</v>
      </c>
      <c r="E11" s="14">
        <f>+'Appendix A'!H30</f>
        <v>-30</v>
      </c>
      <c r="F11" s="14">
        <f>+'Appendix A'!I30</f>
        <v>-49</v>
      </c>
      <c r="G11" s="14">
        <f t="shared" si="1"/>
        <v>-158.69999999999999</v>
      </c>
    </row>
    <row r="12" spans="1:7" ht="15.75" x14ac:dyDescent="0.25">
      <c r="A12" s="5" t="s">
        <v>47</v>
      </c>
      <c r="B12" s="12">
        <f>+'Appendix A'!E34</f>
        <v>317.89999999999998</v>
      </c>
      <c r="C12" s="12">
        <f>+'Appendix A'!F34</f>
        <v>303.59999999999997</v>
      </c>
      <c r="D12" s="12">
        <f>+'Appendix A'!G34</f>
        <v>332.9</v>
      </c>
      <c r="E12" s="12">
        <f>+'Appendix A'!H34</f>
        <v>320.00000000000006</v>
      </c>
      <c r="F12" s="12">
        <f>+'Appendix A'!I34</f>
        <v>231.39999999999998</v>
      </c>
      <c r="G12" s="12">
        <f t="shared" si="1"/>
        <v>1505.8000000000002</v>
      </c>
    </row>
    <row r="13" spans="1:7" x14ac:dyDescent="0.25">
      <c r="A13" s="5"/>
      <c r="B13" s="7"/>
      <c r="C13" s="7"/>
      <c r="D13" s="7"/>
      <c r="E13" s="7"/>
      <c r="F13" s="7"/>
      <c r="G13" s="7"/>
    </row>
    <row r="14" spans="1:7" ht="15.75" x14ac:dyDescent="0.25">
      <c r="A14" s="10" t="s">
        <v>44</v>
      </c>
      <c r="B14" s="7"/>
      <c r="C14" s="7"/>
      <c r="D14" s="7"/>
      <c r="E14" s="7"/>
      <c r="F14" s="7"/>
      <c r="G14" s="7"/>
    </row>
    <row r="15" spans="1:7" x14ac:dyDescent="0.25">
      <c r="A15" s="5" t="s">
        <v>23</v>
      </c>
      <c r="B15" s="7">
        <f>+'Appendix A'!E39</f>
        <v>374.5</v>
      </c>
      <c r="C15" s="7">
        <f>+'Appendix A'!F39</f>
        <v>392.1</v>
      </c>
      <c r="D15" s="7">
        <f>+'Appendix A'!G39</f>
        <v>431.4</v>
      </c>
      <c r="E15" s="7">
        <f>+'Appendix A'!H39</f>
        <v>484.6</v>
      </c>
      <c r="F15" s="7">
        <f>+'Appendix A'!I39</f>
        <v>532.70000000000005</v>
      </c>
      <c r="G15" s="7">
        <f t="shared" si="1"/>
        <v>2215.3000000000002</v>
      </c>
    </row>
    <row r="16" spans="1:7" x14ac:dyDescent="0.25">
      <c r="A16" s="5" t="s">
        <v>26</v>
      </c>
      <c r="B16" s="7">
        <f>+'Appendix A'!E43</f>
        <v>0</v>
      </c>
      <c r="C16" s="7">
        <f>+'Appendix A'!F43</f>
        <v>0</v>
      </c>
      <c r="D16" s="7">
        <f>+'Appendix A'!G43</f>
        <v>0</v>
      </c>
      <c r="E16" s="7">
        <f>+'Appendix A'!H43</f>
        <v>0</v>
      </c>
      <c r="F16" s="7">
        <f>+'Appendix A'!I43</f>
        <v>0</v>
      </c>
      <c r="G16" s="7">
        <f t="shared" si="1"/>
        <v>0</v>
      </c>
    </row>
    <row r="17" spans="1:7" x14ac:dyDescent="0.25">
      <c r="A17" s="5" t="s">
        <v>29</v>
      </c>
      <c r="B17" s="14">
        <f>+'Appendix A'!E47</f>
        <v>154.9</v>
      </c>
      <c r="C17" s="14">
        <f>+'Appendix A'!F47</f>
        <v>156.60000000000002</v>
      </c>
      <c r="D17" s="14">
        <f>+'Appendix A'!G47</f>
        <v>214.10000000000002</v>
      </c>
      <c r="E17" s="14">
        <f>+'Appendix A'!H47</f>
        <v>271.7</v>
      </c>
      <c r="F17" s="14">
        <f>+'Appendix A'!I47</f>
        <v>338</v>
      </c>
      <c r="G17" s="7">
        <f t="shared" si="1"/>
        <v>1135.3</v>
      </c>
    </row>
    <row r="18" spans="1:7" ht="15.75" x14ac:dyDescent="0.25">
      <c r="A18" s="5" t="s">
        <v>48</v>
      </c>
      <c r="B18" s="12">
        <f>+'Appendix A'!E51</f>
        <v>219.6</v>
      </c>
      <c r="C18" s="12">
        <f>+'Appendix A'!F51</f>
        <v>235.49999999999997</v>
      </c>
      <c r="D18" s="12">
        <f>+'Appendix A'!G51</f>
        <v>217.3</v>
      </c>
      <c r="E18" s="12">
        <f>+'Appendix A'!H51</f>
        <v>212.90000000000003</v>
      </c>
      <c r="F18" s="12">
        <f>+'Appendix A'!I51</f>
        <v>194.7</v>
      </c>
      <c r="G18" s="12">
        <f t="shared" si="1"/>
        <v>1080</v>
      </c>
    </row>
    <row r="19" spans="1:7" x14ac:dyDescent="0.25">
      <c r="A19" s="5"/>
      <c r="B19" s="5"/>
      <c r="C19" s="5"/>
      <c r="D19" s="5"/>
      <c r="E19" s="5"/>
      <c r="F19" s="5"/>
      <c r="G19" s="7"/>
    </row>
    <row r="20" spans="1:7" ht="15.75" x14ac:dyDescent="0.25">
      <c r="A20" s="10" t="s">
        <v>45</v>
      </c>
      <c r="B20" s="12">
        <f>+B12-B18</f>
        <v>98.299999999999983</v>
      </c>
      <c r="C20" s="12">
        <f t="shared" ref="C20:G20" si="2">+C12-C18</f>
        <v>68.099999999999994</v>
      </c>
      <c r="D20" s="12">
        <f t="shared" si="2"/>
        <v>115.59999999999997</v>
      </c>
      <c r="E20" s="12">
        <f t="shared" si="2"/>
        <v>107.10000000000002</v>
      </c>
      <c r="F20" s="12">
        <f t="shared" si="2"/>
        <v>36.699999999999989</v>
      </c>
      <c r="G20" s="12">
        <f t="shared" si="2"/>
        <v>425.80000000000018</v>
      </c>
    </row>
    <row r="21" spans="1:7" x14ac:dyDescent="0.25">
      <c r="G21" s="1"/>
    </row>
    <row r="22" spans="1:7" x14ac:dyDescent="0.25">
      <c r="G2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topLeftCell="A32" workbookViewId="0">
      <selection activeCell="B46" sqref="B46"/>
    </sheetView>
  </sheetViews>
  <sheetFormatPr defaultRowHeight="15" x14ac:dyDescent="0.25"/>
  <cols>
    <col min="1" max="1" width="2.85546875" customWidth="1"/>
    <col min="2" max="2" width="33.140625" customWidth="1"/>
    <col min="3" max="3" width="15" customWidth="1"/>
    <col min="4" max="4" width="22.85546875" customWidth="1"/>
    <col min="5" max="5" width="7.42578125" customWidth="1"/>
    <col min="6" max="7" width="7.140625" customWidth="1"/>
    <col min="8" max="8" width="6.85546875" customWidth="1"/>
    <col min="9" max="9" width="7.140625" customWidth="1"/>
  </cols>
  <sheetData>
    <row r="2" spans="1:10" ht="21" x14ac:dyDescent="0.35">
      <c r="A2" s="3" t="s">
        <v>42</v>
      </c>
      <c r="B2" s="4"/>
      <c r="C2" s="4"/>
      <c r="D2" s="4"/>
      <c r="E2" s="4"/>
      <c r="F2" s="4"/>
      <c r="G2" s="4"/>
      <c r="H2" s="4"/>
      <c r="I2" s="4"/>
      <c r="J2" s="4"/>
    </row>
    <row r="4" spans="1:10" ht="15.75" x14ac:dyDescent="0.25">
      <c r="A4" s="11" t="s">
        <v>0</v>
      </c>
      <c r="B4" s="11" t="s">
        <v>1</v>
      </c>
      <c r="C4" s="11" t="s">
        <v>7</v>
      </c>
      <c r="D4" s="11" t="s">
        <v>2</v>
      </c>
      <c r="E4" s="11">
        <v>2017</v>
      </c>
      <c r="F4" s="11">
        <f>+E4+1</f>
        <v>2018</v>
      </c>
      <c r="G4" s="11">
        <f t="shared" ref="G4:I4" si="0">+F4+1</f>
        <v>2019</v>
      </c>
      <c r="H4" s="11">
        <f t="shared" si="0"/>
        <v>2020</v>
      </c>
      <c r="I4" s="11">
        <f t="shared" si="0"/>
        <v>2021</v>
      </c>
      <c r="J4" s="11" t="s">
        <v>3</v>
      </c>
    </row>
    <row r="5" spans="1:10" ht="15.75" x14ac:dyDescent="0.25">
      <c r="A5" s="5"/>
      <c r="B5" s="10" t="s">
        <v>43</v>
      </c>
      <c r="C5" s="5"/>
      <c r="D5" s="5"/>
      <c r="E5" s="5"/>
      <c r="F5" s="5"/>
      <c r="G5" s="5"/>
      <c r="H5" s="5"/>
      <c r="I5" s="5"/>
      <c r="J5" s="5"/>
    </row>
    <row r="6" spans="1:10" x14ac:dyDescent="0.25">
      <c r="A6" s="5">
        <v>1</v>
      </c>
      <c r="B6" s="5" t="s">
        <v>4</v>
      </c>
      <c r="C6" s="5" t="s">
        <v>5</v>
      </c>
      <c r="D6" s="6" t="s">
        <v>8</v>
      </c>
      <c r="E6" s="7">
        <v>77.3</v>
      </c>
      <c r="F6" s="7">
        <v>77.3</v>
      </c>
      <c r="G6" s="7">
        <v>77.3</v>
      </c>
      <c r="H6" s="7">
        <v>77.3</v>
      </c>
      <c r="I6" s="7">
        <v>7.9</v>
      </c>
      <c r="J6" s="7">
        <f>SUM(E6:I6)</f>
        <v>317.09999999999997</v>
      </c>
    </row>
    <row r="7" spans="1:10" x14ac:dyDescent="0.25">
      <c r="A7" s="5">
        <v>2</v>
      </c>
      <c r="B7" s="5"/>
      <c r="C7" s="5" t="s">
        <v>6</v>
      </c>
      <c r="D7" s="6" t="s">
        <v>9</v>
      </c>
      <c r="E7" s="7">
        <v>68.599999999999994</v>
      </c>
      <c r="F7" s="7">
        <v>68.599999999999994</v>
      </c>
      <c r="G7" s="7">
        <v>68.599999999999994</v>
      </c>
      <c r="H7" s="7">
        <v>68.400000000000006</v>
      </c>
      <c r="I7" s="7">
        <v>68.400000000000006</v>
      </c>
      <c r="J7" s="7">
        <f t="shared" ref="J7:J47" si="1">SUM(E7:I7)</f>
        <v>342.6</v>
      </c>
    </row>
    <row r="8" spans="1:10" ht="15.75" x14ac:dyDescent="0.25">
      <c r="A8" s="5">
        <v>3</v>
      </c>
      <c r="B8" s="5"/>
      <c r="C8" s="5" t="s">
        <v>3</v>
      </c>
      <c r="D8" s="6"/>
      <c r="E8" s="12">
        <f>+E6+E7</f>
        <v>145.89999999999998</v>
      </c>
      <c r="F8" s="12">
        <f t="shared" ref="F8:I8" si="2">+F6+F7</f>
        <v>145.89999999999998</v>
      </c>
      <c r="G8" s="12">
        <f t="shared" si="2"/>
        <v>145.89999999999998</v>
      </c>
      <c r="H8" s="12">
        <f t="shared" si="2"/>
        <v>145.69999999999999</v>
      </c>
      <c r="I8" s="12">
        <f t="shared" si="2"/>
        <v>76.300000000000011</v>
      </c>
      <c r="J8" s="12">
        <f t="shared" si="1"/>
        <v>659.69999999999982</v>
      </c>
    </row>
    <row r="9" spans="1:10" x14ac:dyDescent="0.25">
      <c r="A9" s="5"/>
      <c r="B9" s="5"/>
      <c r="C9" s="5"/>
      <c r="D9" s="6"/>
      <c r="E9" s="7"/>
      <c r="F9" s="7"/>
      <c r="G9" s="7"/>
      <c r="H9" s="7"/>
      <c r="I9" s="7"/>
      <c r="J9" s="7"/>
    </row>
    <row r="10" spans="1:10" ht="24.75" x14ac:dyDescent="0.25">
      <c r="A10" s="5">
        <v>4</v>
      </c>
      <c r="B10" s="5" t="s">
        <v>11</v>
      </c>
      <c r="C10" s="5" t="s">
        <v>5</v>
      </c>
      <c r="D10" s="9" t="s">
        <v>10</v>
      </c>
      <c r="E10" s="7">
        <f>51.4-15</f>
        <v>36.4</v>
      </c>
      <c r="F10" s="7">
        <f>53.1-14.7</f>
        <v>38.400000000000006</v>
      </c>
      <c r="G10" s="7">
        <f>65.7-16.8</f>
        <v>48.900000000000006</v>
      </c>
      <c r="H10" s="7">
        <f>52.5-13.9</f>
        <v>38.6</v>
      </c>
      <c r="I10" s="7">
        <f>52.9-10.3</f>
        <v>42.599999999999994</v>
      </c>
      <c r="J10" s="7">
        <f t="shared" si="1"/>
        <v>204.9</v>
      </c>
    </row>
    <row r="11" spans="1:10" x14ac:dyDescent="0.25">
      <c r="A11" s="5">
        <v>5</v>
      </c>
      <c r="B11" s="5"/>
      <c r="C11" s="5" t="s">
        <v>6</v>
      </c>
      <c r="D11" s="6" t="s">
        <v>14</v>
      </c>
      <c r="E11" s="7">
        <v>57</v>
      </c>
      <c r="F11" s="7">
        <v>55</v>
      </c>
      <c r="G11" s="7">
        <v>59.3</v>
      </c>
      <c r="H11" s="7">
        <v>64.2</v>
      </c>
      <c r="I11" s="7">
        <v>52.2</v>
      </c>
      <c r="J11" s="7">
        <f t="shared" si="1"/>
        <v>287.7</v>
      </c>
    </row>
    <row r="12" spans="1:10" ht="15.75" x14ac:dyDescent="0.25">
      <c r="A12" s="5">
        <v>6</v>
      </c>
      <c r="B12" s="5"/>
      <c r="C12" s="5" t="s">
        <v>3</v>
      </c>
      <c r="D12" s="6"/>
      <c r="E12" s="12">
        <f>+E10+E11</f>
        <v>93.4</v>
      </c>
      <c r="F12" s="12">
        <f t="shared" ref="F12" si="3">+F10+F11</f>
        <v>93.4</v>
      </c>
      <c r="G12" s="12">
        <f t="shared" ref="G12" si="4">+G10+G11</f>
        <v>108.2</v>
      </c>
      <c r="H12" s="12">
        <f t="shared" ref="H12" si="5">+H10+H11</f>
        <v>102.80000000000001</v>
      </c>
      <c r="I12" s="12">
        <f t="shared" ref="I12" si="6">+I10+I11</f>
        <v>94.8</v>
      </c>
      <c r="J12" s="12">
        <f t="shared" si="1"/>
        <v>492.6</v>
      </c>
    </row>
    <row r="13" spans="1:10" x14ac:dyDescent="0.25">
      <c r="A13" s="5"/>
      <c r="B13" s="5"/>
      <c r="C13" s="5"/>
      <c r="D13" s="6"/>
      <c r="E13" s="7"/>
      <c r="F13" s="7"/>
      <c r="G13" s="7"/>
      <c r="H13" s="7"/>
      <c r="I13" s="7"/>
      <c r="J13" s="7"/>
    </row>
    <row r="14" spans="1:10" x14ac:dyDescent="0.25">
      <c r="A14" s="5">
        <v>7</v>
      </c>
      <c r="B14" s="5" t="s">
        <v>12</v>
      </c>
      <c r="C14" s="5" t="s">
        <v>5</v>
      </c>
      <c r="D14" s="6" t="s">
        <v>13</v>
      </c>
      <c r="E14" s="7">
        <v>12.5</v>
      </c>
      <c r="F14" s="7">
        <v>10.1</v>
      </c>
      <c r="G14" s="7">
        <v>12.2</v>
      </c>
      <c r="H14" s="7">
        <v>14</v>
      </c>
      <c r="I14" s="7">
        <v>15.9</v>
      </c>
      <c r="J14" s="7">
        <f t="shared" si="1"/>
        <v>64.7</v>
      </c>
    </row>
    <row r="15" spans="1:10" x14ac:dyDescent="0.25">
      <c r="A15" s="5">
        <v>8</v>
      </c>
      <c r="B15" s="5"/>
      <c r="C15" s="5" t="s">
        <v>6</v>
      </c>
      <c r="D15" s="6" t="s">
        <v>15</v>
      </c>
      <c r="E15" s="7">
        <v>2.5</v>
      </c>
      <c r="F15" s="7">
        <v>3</v>
      </c>
      <c r="G15" s="7">
        <v>2.8</v>
      </c>
      <c r="H15" s="7">
        <v>3.4</v>
      </c>
      <c r="I15" s="7">
        <v>4.5999999999999996</v>
      </c>
      <c r="J15" s="7">
        <f t="shared" si="1"/>
        <v>16.3</v>
      </c>
    </row>
    <row r="16" spans="1:10" ht="15.75" x14ac:dyDescent="0.25">
      <c r="A16" s="5">
        <v>9</v>
      </c>
      <c r="B16" s="5"/>
      <c r="C16" s="5" t="s">
        <v>3</v>
      </c>
      <c r="D16" s="6"/>
      <c r="E16" s="12">
        <f>+E14+E15</f>
        <v>15</v>
      </c>
      <c r="F16" s="12">
        <f t="shared" ref="F16" si="7">+F14+F15</f>
        <v>13.1</v>
      </c>
      <c r="G16" s="12">
        <f t="shared" ref="G16" si="8">+G14+G15</f>
        <v>15</v>
      </c>
      <c r="H16" s="12">
        <f t="shared" ref="H16" si="9">+H14+H15</f>
        <v>17.399999999999999</v>
      </c>
      <c r="I16" s="12">
        <f t="shared" ref="I16" si="10">+I14+I15</f>
        <v>20.5</v>
      </c>
      <c r="J16" s="12">
        <f t="shared" ref="J16" si="11">SUM(E16:I16)</f>
        <v>81</v>
      </c>
    </row>
    <row r="17" spans="1:10" x14ac:dyDescent="0.25">
      <c r="A17" s="5"/>
      <c r="B17" s="5"/>
      <c r="C17" s="5"/>
      <c r="D17" s="6"/>
      <c r="E17" s="7"/>
      <c r="F17" s="7"/>
      <c r="G17" s="7"/>
      <c r="H17" s="7"/>
      <c r="I17" s="7"/>
      <c r="J17" s="7"/>
    </row>
    <row r="18" spans="1:10" x14ac:dyDescent="0.25">
      <c r="A18" s="5">
        <v>10</v>
      </c>
      <c r="B18" s="5" t="s">
        <v>16</v>
      </c>
      <c r="C18" s="5" t="s">
        <v>5</v>
      </c>
      <c r="D18" s="6" t="s">
        <v>8</v>
      </c>
      <c r="E18" s="7">
        <v>25.9</v>
      </c>
      <c r="F18" s="7">
        <v>22.1</v>
      </c>
      <c r="G18" s="7">
        <v>18.3</v>
      </c>
      <c r="H18" s="7">
        <v>14.5</v>
      </c>
      <c r="I18" s="7">
        <v>12.4</v>
      </c>
      <c r="J18" s="7">
        <f t="shared" si="1"/>
        <v>93.2</v>
      </c>
    </row>
    <row r="19" spans="1:10" x14ac:dyDescent="0.25">
      <c r="A19" s="5">
        <v>11</v>
      </c>
      <c r="B19" s="5"/>
      <c r="C19" s="5" t="s">
        <v>17</v>
      </c>
      <c r="D19" s="6" t="s">
        <v>21</v>
      </c>
      <c r="E19" s="7">
        <v>458.6</v>
      </c>
      <c r="F19" s="7">
        <v>465.7</v>
      </c>
      <c r="G19" s="7">
        <v>480.6</v>
      </c>
      <c r="H19" s="7">
        <v>495.8</v>
      </c>
      <c r="I19" s="7">
        <v>512.4</v>
      </c>
      <c r="J19" s="7">
        <f t="shared" si="1"/>
        <v>2413.1</v>
      </c>
    </row>
    <row r="20" spans="1:10" x14ac:dyDescent="0.25">
      <c r="A20" s="5">
        <v>12</v>
      </c>
      <c r="B20" s="5"/>
      <c r="C20" s="5" t="s">
        <v>18</v>
      </c>
      <c r="D20" s="6" t="s">
        <v>22</v>
      </c>
      <c r="E20" s="7">
        <v>393</v>
      </c>
      <c r="F20" s="7">
        <v>404.3</v>
      </c>
      <c r="G20" s="7">
        <v>415.6</v>
      </c>
      <c r="H20" s="7">
        <v>426.2</v>
      </c>
      <c r="I20" s="7">
        <v>436</v>
      </c>
      <c r="J20" s="7">
        <f t="shared" si="1"/>
        <v>2075.1000000000004</v>
      </c>
    </row>
    <row r="21" spans="1:10" x14ac:dyDescent="0.25">
      <c r="A21" s="5">
        <v>13</v>
      </c>
      <c r="B21" s="5"/>
      <c r="C21" s="5" t="s">
        <v>19</v>
      </c>
      <c r="D21" s="6" t="s">
        <v>20</v>
      </c>
      <c r="E21" s="7">
        <f>+E19-E20</f>
        <v>65.600000000000023</v>
      </c>
      <c r="F21" s="7">
        <f t="shared" ref="F21:I21" si="12">+F19-F20</f>
        <v>61.399999999999977</v>
      </c>
      <c r="G21" s="7">
        <f t="shared" si="12"/>
        <v>65</v>
      </c>
      <c r="H21" s="7">
        <f t="shared" si="12"/>
        <v>69.600000000000023</v>
      </c>
      <c r="I21" s="7">
        <f t="shared" si="12"/>
        <v>76.399999999999977</v>
      </c>
      <c r="J21" s="7">
        <f t="shared" si="1"/>
        <v>338</v>
      </c>
    </row>
    <row r="22" spans="1:10" ht="15.75" x14ac:dyDescent="0.25">
      <c r="A22" s="5">
        <v>14</v>
      </c>
      <c r="B22" s="5"/>
      <c r="C22" s="5" t="s">
        <v>3</v>
      </c>
      <c r="D22" s="6"/>
      <c r="E22" s="12">
        <f>+E18+E21</f>
        <v>91.500000000000028</v>
      </c>
      <c r="F22" s="12">
        <f t="shared" ref="F22:I22" si="13">+F18+F21</f>
        <v>83.499999999999972</v>
      </c>
      <c r="G22" s="12">
        <f t="shared" si="13"/>
        <v>83.3</v>
      </c>
      <c r="H22" s="12">
        <f t="shared" si="13"/>
        <v>84.100000000000023</v>
      </c>
      <c r="I22" s="12">
        <f t="shared" si="13"/>
        <v>88.799999999999983</v>
      </c>
      <c r="J22" s="12">
        <f t="shared" si="1"/>
        <v>431.20000000000005</v>
      </c>
    </row>
    <row r="23" spans="1:10" x14ac:dyDescent="0.25">
      <c r="A23" s="5"/>
      <c r="B23" s="5"/>
      <c r="C23" s="5"/>
      <c r="D23" s="6"/>
      <c r="E23" s="7"/>
      <c r="F23" s="7"/>
      <c r="G23" s="7"/>
      <c r="H23" s="7"/>
      <c r="I23" s="7"/>
      <c r="J23" s="7"/>
    </row>
    <row r="24" spans="1:10" x14ac:dyDescent="0.25">
      <c r="A24" s="5">
        <v>15</v>
      </c>
      <c r="B24" s="5" t="s">
        <v>46</v>
      </c>
      <c r="C24" s="5" t="s">
        <v>5</v>
      </c>
      <c r="D24" s="6" t="s">
        <v>35</v>
      </c>
      <c r="E24" s="7">
        <f>+E6+E10+E14+E18</f>
        <v>152.1</v>
      </c>
      <c r="F24" s="7">
        <f t="shared" ref="F24:I24" si="14">+F6+F10+F14+F18</f>
        <v>147.9</v>
      </c>
      <c r="G24" s="7">
        <f t="shared" si="14"/>
        <v>156.70000000000002</v>
      </c>
      <c r="H24" s="7">
        <f t="shared" si="14"/>
        <v>144.4</v>
      </c>
      <c r="I24" s="7">
        <f t="shared" si="14"/>
        <v>78.8</v>
      </c>
      <c r="J24" s="7">
        <f t="shared" si="1"/>
        <v>679.9</v>
      </c>
    </row>
    <row r="25" spans="1:10" x14ac:dyDescent="0.25">
      <c r="A25" s="5">
        <v>16</v>
      </c>
      <c r="B25" s="5"/>
      <c r="C25" s="5" t="s">
        <v>6</v>
      </c>
      <c r="D25" s="6" t="s">
        <v>34</v>
      </c>
      <c r="E25" s="7">
        <f>+E7+E11+E15+E21</f>
        <v>193.70000000000002</v>
      </c>
      <c r="F25" s="7">
        <f t="shared" ref="F25:I25" si="15">+F7+F11+F15+F21</f>
        <v>187.99999999999997</v>
      </c>
      <c r="G25" s="7">
        <f t="shared" si="15"/>
        <v>195.7</v>
      </c>
      <c r="H25" s="7">
        <f t="shared" si="15"/>
        <v>205.60000000000005</v>
      </c>
      <c r="I25" s="7">
        <f t="shared" si="15"/>
        <v>201.59999999999997</v>
      </c>
      <c r="J25" s="7">
        <f t="shared" si="1"/>
        <v>984.59999999999991</v>
      </c>
    </row>
    <row r="26" spans="1:10" ht="15.75" x14ac:dyDescent="0.25">
      <c r="A26" s="5">
        <v>17</v>
      </c>
      <c r="B26" s="5"/>
      <c r="C26" s="5" t="s">
        <v>3</v>
      </c>
      <c r="D26" s="6"/>
      <c r="E26" s="12">
        <f>+E24+E25</f>
        <v>345.8</v>
      </c>
      <c r="F26" s="12">
        <f t="shared" ref="F26" si="16">+F24+F25</f>
        <v>335.9</v>
      </c>
      <c r="G26" s="12">
        <f t="shared" ref="G26" si="17">+G24+G25</f>
        <v>352.4</v>
      </c>
      <c r="H26" s="12">
        <f t="shared" ref="H26" si="18">+H24+H25</f>
        <v>350.00000000000006</v>
      </c>
      <c r="I26" s="12">
        <f t="shared" ref="I26" si="19">+I24+I25</f>
        <v>280.39999999999998</v>
      </c>
      <c r="J26" s="12">
        <f t="shared" si="1"/>
        <v>1664.5</v>
      </c>
    </row>
    <row r="27" spans="1:10" x14ac:dyDescent="0.25">
      <c r="A27" s="5"/>
      <c r="B27" s="5"/>
      <c r="C27" s="5"/>
      <c r="D27" s="6"/>
      <c r="E27" s="8"/>
      <c r="F27" s="8"/>
      <c r="G27" s="8"/>
      <c r="H27" s="8"/>
      <c r="I27" s="8"/>
      <c r="J27" s="8"/>
    </row>
    <row r="28" spans="1:10" x14ac:dyDescent="0.25">
      <c r="A28" s="5">
        <v>18</v>
      </c>
      <c r="B28" s="5" t="s">
        <v>32</v>
      </c>
      <c r="C28" s="5" t="s">
        <v>5</v>
      </c>
      <c r="D28" s="6" t="s">
        <v>33</v>
      </c>
      <c r="E28" s="7">
        <f>16.5-44.4</f>
        <v>-27.9</v>
      </c>
      <c r="F28" s="7">
        <f>15.1-47.4</f>
        <v>-32.299999999999997</v>
      </c>
      <c r="G28" s="7">
        <f>18-37.5</f>
        <v>-19.5</v>
      </c>
      <c r="H28" s="7">
        <f>13.9-43.9</f>
        <v>-30</v>
      </c>
      <c r="I28" s="7">
        <f>-7.9-41.1</f>
        <v>-49</v>
      </c>
      <c r="J28" s="7">
        <f t="shared" ref="J28:J30" si="20">SUM(E28:I28)</f>
        <v>-158.69999999999999</v>
      </c>
    </row>
    <row r="29" spans="1:10" x14ac:dyDescent="0.25">
      <c r="A29" s="5">
        <v>19</v>
      </c>
      <c r="B29" s="5"/>
      <c r="C29" s="5" t="s">
        <v>6</v>
      </c>
      <c r="D29" s="6" t="s">
        <v>41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f t="shared" si="20"/>
        <v>0</v>
      </c>
    </row>
    <row r="30" spans="1:10" ht="15.75" x14ac:dyDescent="0.25">
      <c r="A30" s="5">
        <v>20</v>
      </c>
      <c r="B30" s="5"/>
      <c r="C30" s="5" t="s">
        <v>3</v>
      </c>
      <c r="D30" s="6"/>
      <c r="E30" s="12">
        <f>+E28+E29</f>
        <v>-27.9</v>
      </c>
      <c r="F30" s="12">
        <f t="shared" ref="F30" si="21">+F28+F29</f>
        <v>-32.299999999999997</v>
      </c>
      <c r="G30" s="12">
        <f t="shared" ref="G30" si="22">+G28+G29</f>
        <v>-19.5</v>
      </c>
      <c r="H30" s="12">
        <f t="shared" ref="H30" si="23">+H28+H29</f>
        <v>-30</v>
      </c>
      <c r="I30" s="12">
        <f t="shared" ref="I30" si="24">+I28+I29</f>
        <v>-49</v>
      </c>
      <c r="J30" s="12">
        <f t="shared" si="20"/>
        <v>-158.69999999999999</v>
      </c>
    </row>
    <row r="31" spans="1:10" ht="14.45" x14ac:dyDescent="0.3">
      <c r="A31" s="5"/>
      <c r="B31" s="5"/>
      <c r="C31" s="5"/>
      <c r="D31" s="6"/>
      <c r="E31" s="8"/>
      <c r="F31" s="8"/>
      <c r="G31" s="8"/>
      <c r="H31" s="8"/>
      <c r="I31" s="8"/>
      <c r="J31" s="8"/>
    </row>
    <row r="32" spans="1:10" ht="14.45" x14ac:dyDescent="0.3">
      <c r="A32" s="5">
        <v>21</v>
      </c>
      <c r="B32" s="5" t="s">
        <v>47</v>
      </c>
      <c r="C32" s="5" t="s">
        <v>5</v>
      </c>
      <c r="D32" s="6" t="s">
        <v>36</v>
      </c>
      <c r="E32" s="7">
        <f>+E24+E28</f>
        <v>124.19999999999999</v>
      </c>
      <c r="F32" s="7">
        <f t="shared" ref="F32:I32" si="25">+F24+F28</f>
        <v>115.60000000000001</v>
      </c>
      <c r="G32" s="7">
        <f t="shared" si="25"/>
        <v>137.20000000000002</v>
      </c>
      <c r="H32" s="7">
        <f t="shared" si="25"/>
        <v>114.4</v>
      </c>
      <c r="I32" s="7">
        <f t="shared" si="25"/>
        <v>29.799999999999997</v>
      </c>
      <c r="J32" s="7">
        <f t="shared" ref="J32:J34" si="26">SUM(E32:I32)</f>
        <v>521.19999999999993</v>
      </c>
    </row>
    <row r="33" spans="1:10" ht="14.45" x14ac:dyDescent="0.3">
      <c r="A33" s="5">
        <v>22</v>
      </c>
      <c r="B33" s="5"/>
      <c r="C33" s="5" t="s">
        <v>6</v>
      </c>
      <c r="D33" s="6" t="s">
        <v>34</v>
      </c>
      <c r="E33" s="7">
        <f>+E25+E29</f>
        <v>193.70000000000002</v>
      </c>
      <c r="F33" s="7">
        <f t="shared" ref="F33:I33" si="27">+F25+F29</f>
        <v>187.99999999999997</v>
      </c>
      <c r="G33" s="7">
        <f t="shared" si="27"/>
        <v>195.7</v>
      </c>
      <c r="H33" s="7">
        <f t="shared" si="27"/>
        <v>205.60000000000005</v>
      </c>
      <c r="I33" s="7">
        <f t="shared" si="27"/>
        <v>201.59999999999997</v>
      </c>
      <c r="J33" s="7">
        <f t="shared" si="26"/>
        <v>984.59999999999991</v>
      </c>
    </row>
    <row r="34" spans="1:10" ht="15.6" x14ac:dyDescent="0.3">
      <c r="A34" s="5">
        <v>23</v>
      </c>
      <c r="B34" s="5"/>
      <c r="C34" s="5" t="s">
        <v>3</v>
      </c>
      <c r="D34" s="6"/>
      <c r="E34" s="12">
        <f>+E32+E33</f>
        <v>317.89999999999998</v>
      </c>
      <c r="F34" s="12">
        <f t="shared" ref="F34" si="28">+F32+F33</f>
        <v>303.59999999999997</v>
      </c>
      <c r="G34" s="12">
        <f t="shared" ref="G34" si="29">+G32+G33</f>
        <v>332.9</v>
      </c>
      <c r="H34" s="12">
        <f t="shared" ref="H34" si="30">+H32+H33</f>
        <v>320.00000000000006</v>
      </c>
      <c r="I34" s="12">
        <f t="shared" ref="I34" si="31">+I32+I33</f>
        <v>231.39999999999998</v>
      </c>
      <c r="J34" s="12">
        <f t="shared" si="26"/>
        <v>1505.8000000000002</v>
      </c>
    </row>
    <row r="35" spans="1:10" ht="14.45" x14ac:dyDescent="0.3">
      <c r="A35" s="5"/>
      <c r="B35" s="5"/>
      <c r="C35" s="5"/>
      <c r="D35" s="6"/>
      <c r="E35" s="7"/>
      <c r="F35" s="7"/>
      <c r="G35" s="7"/>
      <c r="H35" s="7"/>
      <c r="I35" s="7"/>
      <c r="J35" s="7"/>
    </row>
    <row r="36" spans="1:10" ht="15.6" x14ac:dyDescent="0.3">
      <c r="A36" s="5"/>
      <c r="B36" s="10" t="s">
        <v>44</v>
      </c>
      <c r="C36" s="5"/>
      <c r="D36" s="6"/>
      <c r="E36" s="7"/>
      <c r="F36" s="7"/>
      <c r="G36" s="7"/>
      <c r="H36" s="7"/>
      <c r="I36" s="7"/>
      <c r="J36" s="7"/>
    </row>
    <row r="37" spans="1:10" ht="14.45" x14ac:dyDescent="0.3">
      <c r="A37" s="5">
        <v>24</v>
      </c>
      <c r="B37" s="5" t="s">
        <v>23</v>
      </c>
      <c r="C37" s="5" t="s">
        <v>5</v>
      </c>
      <c r="D37" s="6" t="s">
        <v>24</v>
      </c>
      <c r="E37" s="7">
        <v>217.5</v>
      </c>
      <c r="F37" s="7">
        <v>227.9</v>
      </c>
      <c r="G37" s="7">
        <v>232.8</v>
      </c>
      <c r="H37" s="7">
        <v>283.60000000000002</v>
      </c>
      <c r="I37" s="7">
        <v>317</v>
      </c>
      <c r="J37" s="7">
        <f t="shared" si="1"/>
        <v>1278.8000000000002</v>
      </c>
    </row>
    <row r="38" spans="1:10" ht="14.45" x14ac:dyDescent="0.3">
      <c r="A38" s="5">
        <v>25</v>
      </c>
      <c r="B38" s="5"/>
      <c r="C38" s="5" t="s">
        <v>6</v>
      </c>
      <c r="D38" s="6" t="s">
        <v>25</v>
      </c>
      <c r="E38" s="7">
        <v>157</v>
      </c>
      <c r="F38" s="7">
        <v>164.2</v>
      </c>
      <c r="G38" s="7">
        <v>198.6</v>
      </c>
      <c r="H38" s="7">
        <v>201</v>
      </c>
      <c r="I38" s="7">
        <v>215.7</v>
      </c>
      <c r="J38" s="7">
        <f t="shared" si="1"/>
        <v>936.5</v>
      </c>
    </row>
    <row r="39" spans="1:10" ht="15.6" x14ac:dyDescent="0.3">
      <c r="A39" s="5">
        <v>26</v>
      </c>
      <c r="B39" s="5"/>
      <c r="C39" s="5" t="s">
        <v>3</v>
      </c>
      <c r="D39" s="6"/>
      <c r="E39" s="12">
        <f>+E37+E38</f>
        <v>374.5</v>
      </c>
      <c r="F39" s="12">
        <f t="shared" ref="F39" si="32">+F37+F38</f>
        <v>392.1</v>
      </c>
      <c r="G39" s="12">
        <f t="shared" ref="G39" si="33">+G37+G38</f>
        <v>431.4</v>
      </c>
      <c r="H39" s="12">
        <f t="shared" ref="H39" si="34">+H37+H38</f>
        <v>484.6</v>
      </c>
      <c r="I39" s="12">
        <f t="shared" ref="I39" si="35">+I37+I38</f>
        <v>532.70000000000005</v>
      </c>
      <c r="J39" s="12">
        <f t="shared" ref="J39" si="36">SUM(E39:I39)</f>
        <v>2215.3000000000002</v>
      </c>
    </row>
    <row r="40" spans="1:10" ht="14.45" x14ac:dyDescent="0.3">
      <c r="A40" s="5"/>
      <c r="B40" s="5"/>
      <c r="C40" s="5"/>
      <c r="D40" s="6"/>
      <c r="E40" s="7"/>
      <c r="F40" s="7"/>
      <c r="G40" s="7"/>
      <c r="H40" s="7"/>
      <c r="I40" s="7"/>
      <c r="J40" s="7"/>
    </row>
    <row r="41" spans="1:10" ht="14.45" x14ac:dyDescent="0.3">
      <c r="A41" s="5">
        <v>27</v>
      </c>
      <c r="B41" s="5" t="s">
        <v>26</v>
      </c>
      <c r="C41" s="5" t="s">
        <v>5</v>
      </c>
      <c r="D41" s="6" t="s">
        <v>27</v>
      </c>
      <c r="E41" s="7">
        <v>102.5</v>
      </c>
      <c r="F41" s="7">
        <v>102.5</v>
      </c>
      <c r="G41" s="7">
        <v>102.5</v>
      </c>
      <c r="H41" s="7">
        <v>102.5</v>
      </c>
      <c r="I41" s="7">
        <v>102.5</v>
      </c>
      <c r="J41" s="7">
        <f t="shared" ref="J41:J43" si="37">SUM(E41:I41)</f>
        <v>512.5</v>
      </c>
    </row>
    <row r="42" spans="1:10" ht="14.45" x14ac:dyDescent="0.3">
      <c r="A42" s="5">
        <v>28</v>
      </c>
      <c r="B42" s="5"/>
      <c r="C42" s="5" t="s">
        <v>6</v>
      </c>
      <c r="D42" s="6" t="s">
        <v>28</v>
      </c>
      <c r="E42" s="7">
        <v>-102.5</v>
      </c>
      <c r="F42" s="7">
        <v>-102.5</v>
      </c>
      <c r="G42" s="7">
        <v>-102.5</v>
      </c>
      <c r="H42" s="7">
        <v>-102.5</v>
      </c>
      <c r="I42" s="7">
        <v>-102.5</v>
      </c>
      <c r="J42" s="7">
        <f t="shared" si="37"/>
        <v>-512.5</v>
      </c>
    </row>
    <row r="43" spans="1:10" ht="15.6" x14ac:dyDescent="0.3">
      <c r="A43" s="5">
        <v>29</v>
      </c>
      <c r="B43" s="5"/>
      <c r="C43" s="5" t="s">
        <v>3</v>
      </c>
      <c r="D43" s="6"/>
      <c r="E43" s="12">
        <f>+E41+E42</f>
        <v>0</v>
      </c>
      <c r="F43" s="12">
        <f t="shared" ref="F43" si="38">+F41+F42</f>
        <v>0</v>
      </c>
      <c r="G43" s="12">
        <f t="shared" ref="G43" si="39">+G41+G42</f>
        <v>0</v>
      </c>
      <c r="H43" s="12">
        <f t="shared" ref="H43" si="40">+H41+H42</f>
        <v>0</v>
      </c>
      <c r="I43" s="12">
        <f t="shared" ref="I43" si="41">+I41+I42</f>
        <v>0</v>
      </c>
      <c r="J43" s="12">
        <f t="shared" si="37"/>
        <v>0</v>
      </c>
    </row>
    <row r="44" spans="1:10" ht="14.45" x14ac:dyDescent="0.3">
      <c r="A44" s="5"/>
      <c r="B44" s="5"/>
      <c r="C44" s="5"/>
      <c r="D44" s="6"/>
      <c r="E44" s="7"/>
      <c r="F44" s="7"/>
      <c r="G44" s="7"/>
      <c r="H44" s="7"/>
      <c r="I44" s="7"/>
      <c r="J44" s="7"/>
    </row>
    <row r="45" spans="1:10" ht="14.45" x14ac:dyDescent="0.3">
      <c r="A45" s="5">
        <v>30</v>
      </c>
      <c r="B45" s="5" t="s">
        <v>29</v>
      </c>
      <c r="C45" s="5" t="s">
        <v>5</v>
      </c>
      <c r="D45" s="6" t="s">
        <v>30</v>
      </c>
      <c r="E45" s="7">
        <v>84.4</v>
      </c>
      <c r="F45" s="7">
        <v>85.7</v>
      </c>
      <c r="G45" s="7">
        <v>120.4</v>
      </c>
      <c r="H45" s="7">
        <v>152</v>
      </c>
      <c r="I45" s="7">
        <v>193.7</v>
      </c>
      <c r="J45" s="7">
        <f t="shared" si="1"/>
        <v>636.20000000000005</v>
      </c>
    </row>
    <row r="46" spans="1:10" ht="14.45" x14ac:dyDescent="0.3">
      <c r="A46" s="5">
        <v>31</v>
      </c>
      <c r="B46" s="5"/>
      <c r="C46" s="5" t="s">
        <v>6</v>
      </c>
      <c r="D46" s="6" t="s">
        <v>31</v>
      </c>
      <c r="E46" s="7">
        <v>70.5</v>
      </c>
      <c r="F46" s="7">
        <v>70.900000000000006</v>
      </c>
      <c r="G46" s="7">
        <v>93.7</v>
      </c>
      <c r="H46" s="7">
        <v>119.7</v>
      </c>
      <c r="I46" s="7">
        <v>144.30000000000001</v>
      </c>
      <c r="J46" s="7">
        <f t="shared" si="1"/>
        <v>499.1</v>
      </c>
    </row>
    <row r="47" spans="1:10" ht="15.6" x14ac:dyDescent="0.3">
      <c r="A47" s="5">
        <v>32</v>
      </c>
      <c r="B47" s="5"/>
      <c r="C47" s="5" t="s">
        <v>3</v>
      </c>
      <c r="D47" s="6"/>
      <c r="E47" s="12">
        <f>+E45+E46</f>
        <v>154.9</v>
      </c>
      <c r="F47" s="12">
        <f t="shared" ref="F47" si="42">+F45+F46</f>
        <v>156.60000000000002</v>
      </c>
      <c r="G47" s="12">
        <f t="shared" ref="G47" si="43">+G45+G46</f>
        <v>214.10000000000002</v>
      </c>
      <c r="H47" s="12">
        <f t="shared" ref="H47" si="44">+H45+H46</f>
        <v>271.7</v>
      </c>
      <c r="I47" s="12">
        <f t="shared" ref="I47" si="45">+I45+I46</f>
        <v>338</v>
      </c>
      <c r="J47" s="12">
        <f t="shared" si="1"/>
        <v>1135.3</v>
      </c>
    </row>
    <row r="48" spans="1:10" ht="14.45" x14ac:dyDescent="0.3">
      <c r="A48" s="5"/>
      <c r="B48" s="5"/>
      <c r="C48" s="5"/>
      <c r="D48" s="6"/>
      <c r="E48" s="5"/>
      <c r="F48" s="5"/>
      <c r="G48" s="5"/>
      <c r="H48" s="5"/>
      <c r="I48" s="5"/>
      <c r="J48" s="7"/>
    </row>
    <row r="49" spans="1:10" ht="14.45" x14ac:dyDescent="0.3">
      <c r="A49" s="5">
        <v>33</v>
      </c>
      <c r="B49" s="5" t="s">
        <v>48</v>
      </c>
      <c r="C49" s="5" t="s">
        <v>5</v>
      </c>
      <c r="D49" s="6" t="s">
        <v>38</v>
      </c>
      <c r="E49" s="7">
        <f>+E37+E41-E45</f>
        <v>235.6</v>
      </c>
      <c r="F49" s="7">
        <f t="shared" ref="F49:I49" si="46">+F37+F41-F45</f>
        <v>244.7</v>
      </c>
      <c r="G49" s="7">
        <f t="shared" si="46"/>
        <v>214.9</v>
      </c>
      <c r="H49" s="7">
        <f t="shared" si="46"/>
        <v>234.10000000000002</v>
      </c>
      <c r="I49" s="7">
        <f t="shared" si="46"/>
        <v>225.8</v>
      </c>
      <c r="J49" s="7">
        <f t="shared" ref="J49:J51" si="47">SUM(E49:I49)</f>
        <v>1155.0999999999999</v>
      </c>
    </row>
    <row r="50" spans="1:10" ht="14.45" x14ac:dyDescent="0.3">
      <c r="A50" s="5">
        <v>34</v>
      </c>
      <c r="B50" s="5"/>
      <c r="C50" s="5" t="s">
        <v>6</v>
      </c>
      <c r="D50" s="6" t="s">
        <v>37</v>
      </c>
      <c r="E50" s="7">
        <f>+E38+E42-E46</f>
        <v>-16</v>
      </c>
      <c r="F50" s="7">
        <f t="shared" ref="F50:I50" si="48">+F38+F42-F46</f>
        <v>-9.2000000000000171</v>
      </c>
      <c r="G50" s="7">
        <f t="shared" si="48"/>
        <v>2.3999999999999915</v>
      </c>
      <c r="H50" s="7">
        <f t="shared" si="48"/>
        <v>-21.200000000000003</v>
      </c>
      <c r="I50" s="7">
        <f t="shared" si="48"/>
        <v>-31.100000000000023</v>
      </c>
      <c r="J50" s="7">
        <f t="shared" si="47"/>
        <v>-75.100000000000051</v>
      </c>
    </row>
    <row r="51" spans="1:10" ht="15.6" x14ac:dyDescent="0.3">
      <c r="A51" s="5">
        <v>35</v>
      </c>
      <c r="B51" s="5"/>
      <c r="C51" s="5" t="s">
        <v>3</v>
      </c>
      <c r="D51" s="6"/>
      <c r="E51" s="12">
        <f>+E49+E50</f>
        <v>219.6</v>
      </c>
      <c r="F51" s="12">
        <f t="shared" ref="F51" si="49">+F49+F50</f>
        <v>235.49999999999997</v>
      </c>
      <c r="G51" s="12">
        <f t="shared" ref="G51" si="50">+G49+G50</f>
        <v>217.3</v>
      </c>
      <c r="H51" s="12">
        <f t="shared" ref="H51" si="51">+H49+H50</f>
        <v>212.90000000000003</v>
      </c>
      <c r="I51" s="12">
        <f t="shared" ref="I51" si="52">+I49+I50</f>
        <v>194.7</v>
      </c>
      <c r="J51" s="12">
        <f t="shared" si="47"/>
        <v>1080</v>
      </c>
    </row>
    <row r="52" spans="1:10" ht="14.45" x14ac:dyDescent="0.3">
      <c r="A52" s="5"/>
      <c r="B52" s="5"/>
      <c r="C52" s="5"/>
      <c r="D52" s="6"/>
      <c r="E52" s="5"/>
      <c r="F52" s="5"/>
      <c r="G52" s="5"/>
      <c r="H52" s="5"/>
      <c r="I52" s="5"/>
      <c r="J52" s="7"/>
    </row>
    <row r="53" spans="1:10" ht="24.6" x14ac:dyDescent="0.3">
      <c r="A53" s="5">
        <v>36</v>
      </c>
      <c r="B53" s="10" t="s">
        <v>45</v>
      </c>
      <c r="C53" s="5" t="s">
        <v>5</v>
      </c>
      <c r="D53" s="9" t="s">
        <v>40</v>
      </c>
      <c r="E53" s="7">
        <f>+E32-E49</f>
        <v>-111.4</v>
      </c>
      <c r="F53" s="7">
        <f t="shared" ref="F53:I53" si="53">+F32-F49</f>
        <v>-129.09999999999997</v>
      </c>
      <c r="G53" s="7">
        <f t="shared" si="53"/>
        <v>-77.699999999999989</v>
      </c>
      <c r="H53" s="7">
        <f t="shared" si="53"/>
        <v>-119.70000000000002</v>
      </c>
      <c r="I53" s="7">
        <f t="shared" si="53"/>
        <v>-196</v>
      </c>
      <c r="J53" s="7">
        <f t="shared" ref="J53:J55" si="54">SUM(E53:I53)</f>
        <v>-633.9</v>
      </c>
    </row>
    <row r="54" spans="1:10" ht="24.6" x14ac:dyDescent="0.3">
      <c r="A54" s="5">
        <v>37</v>
      </c>
      <c r="B54" s="5"/>
      <c r="C54" s="5" t="s">
        <v>6</v>
      </c>
      <c r="D54" s="9" t="s">
        <v>39</v>
      </c>
      <c r="E54" s="7">
        <f>+E33-E50</f>
        <v>209.70000000000002</v>
      </c>
      <c r="F54" s="7">
        <f t="shared" ref="F54:I54" si="55">+F33-F50</f>
        <v>197.2</v>
      </c>
      <c r="G54" s="7">
        <f t="shared" si="55"/>
        <v>193.3</v>
      </c>
      <c r="H54" s="7">
        <f t="shared" si="55"/>
        <v>226.80000000000007</v>
      </c>
      <c r="I54" s="7">
        <f t="shared" si="55"/>
        <v>232.7</v>
      </c>
      <c r="J54" s="7">
        <f t="shared" si="54"/>
        <v>1059.7</v>
      </c>
    </row>
    <row r="55" spans="1:10" ht="15.6" x14ac:dyDescent="0.3">
      <c r="A55" s="5">
        <v>38</v>
      </c>
      <c r="B55" s="5"/>
      <c r="C55" s="5" t="s">
        <v>3</v>
      </c>
      <c r="D55" s="6"/>
      <c r="E55" s="13">
        <f>+E53+E54</f>
        <v>98.300000000000011</v>
      </c>
      <c r="F55" s="13">
        <f t="shared" ref="F55" si="56">+F53+F54</f>
        <v>68.100000000000023</v>
      </c>
      <c r="G55" s="13">
        <f t="shared" ref="G55" si="57">+G53+G54</f>
        <v>115.60000000000002</v>
      </c>
      <c r="H55" s="13">
        <f t="shared" ref="H55" si="58">+H53+H54</f>
        <v>107.10000000000005</v>
      </c>
      <c r="I55" s="13">
        <f t="shared" ref="I55" si="59">+I53+I54</f>
        <v>36.699999999999989</v>
      </c>
      <c r="J55" s="13">
        <f t="shared" si="54"/>
        <v>425.80000000000013</v>
      </c>
    </row>
    <row r="56" spans="1:10" ht="14.45" x14ac:dyDescent="0.3">
      <c r="D56" s="2"/>
      <c r="J56" s="1"/>
    </row>
    <row r="57" spans="1:10" ht="14.45" x14ac:dyDescent="0.3">
      <c r="D57" s="2"/>
      <c r="J57" s="1"/>
    </row>
  </sheetData>
  <pageMargins left="0.7" right="0.7" top="0.75" bottom="0.75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7"/>
  <sheetViews>
    <sheetView workbookViewId="0">
      <selection activeCell="K18" sqref="K18"/>
    </sheetView>
  </sheetViews>
  <sheetFormatPr defaultRowHeight="15" x14ac:dyDescent="0.25"/>
  <cols>
    <col min="2" max="2" width="24.42578125" customWidth="1"/>
  </cols>
  <sheetData>
    <row r="4" spans="2:3" ht="18" x14ac:dyDescent="0.35">
      <c r="B4" s="15" t="s">
        <v>49</v>
      </c>
    </row>
    <row r="6" spans="2:3" ht="14.45" x14ac:dyDescent="0.3">
      <c r="B6" t="s">
        <v>50</v>
      </c>
      <c r="C6" s="16">
        <v>7.6E-3</v>
      </c>
    </row>
    <row r="7" spans="2:3" ht="14.45" x14ac:dyDescent="0.3">
      <c r="B7" t="s">
        <v>51</v>
      </c>
      <c r="C7" s="17">
        <v>7507.7</v>
      </c>
    </row>
    <row r="9" spans="2:3" ht="14.45" x14ac:dyDescent="0.3">
      <c r="B9" s="18" t="s">
        <v>52</v>
      </c>
    </row>
    <row r="10" spans="2:3" ht="14.45" x14ac:dyDescent="0.3">
      <c r="B10" s="19" t="s">
        <v>53</v>
      </c>
      <c r="C10" s="20">
        <v>143.26693990163335</v>
      </c>
    </row>
    <row r="11" spans="2:3" ht="14.45" x14ac:dyDescent="0.3">
      <c r="B11" s="19" t="s">
        <v>54</v>
      </c>
      <c r="C11" s="20">
        <v>199.4383135217941</v>
      </c>
    </row>
    <row r="12" spans="2:3" ht="14.45" x14ac:dyDescent="0.3">
      <c r="B12" s="21" t="s">
        <v>55</v>
      </c>
      <c r="C12" s="20">
        <v>315.21197669093482</v>
      </c>
    </row>
    <row r="13" spans="2:3" ht="14.45" x14ac:dyDescent="0.3">
      <c r="B13" s="19" t="s">
        <v>56</v>
      </c>
      <c r="C13" s="20">
        <v>78.599999999999994</v>
      </c>
    </row>
    <row r="14" spans="2:3" ht="14.45" x14ac:dyDescent="0.3">
      <c r="B14" s="18" t="s">
        <v>57</v>
      </c>
      <c r="C14" s="20">
        <f t="shared" ref="C14" si="0">SUM(C10:C13)</f>
        <v>736.51723011436229</v>
      </c>
    </row>
    <row r="15" spans="2:3" ht="14.45" x14ac:dyDescent="0.3">
      <c r="B15" s="19" t="s">
        <v>58</v>
      </c>
      <c r="C15" s="16">
        <f>+C14/C7</f>
        <v>9.8101579726728866E-2</v>
      </c>
    </row>
    <row r="16" spans="2:3" ht="14.45" x14ac:dyDescent="0.3">
      <c r="B16" s="19"/>
      <c r="C16" s="16"/>
    </row>
    <row r="17" spans="2:8" ht="14.45" x14ac:dyDescent="0.3">
      <c r="C17" s="18">
        <v>2017</v>
      </c>
      <c r="D17" s="18">
        <f>+C17+1</f>
        <v>2018</v>
      </c>
      <c r="E17" s="18">
        <f t="shared" ref="E17:G17" si="1">+D17+1</f>
        <v>2019</v>
      </c>
      <c r="F17" s="18">
        <f t="shared" si="1"/>
        <v>2020</v>
      </c>
      <c r="G17" s="18">
        <f t="shared" si="1"/>
        <v>2021</v>
      </c>
      <c r="H17" s="22" t="s">
        <v>3</v>
      </c>
    </row>
    <row r="18" spans="2:8" ht="14.45" x14ac:dyDescent="0.3">
      <c r="B18" s="18" t="s">
        <v>59</v>
      </c>
      <c r="C18" s="1">
        <f>+C14*(1+$C$6)</f>
        <v>742.11476106323153</v>
      </c>
      <c r="D18" s="1">
        <f>+C18*(1+$C$6)</f>
        <v>747.75483324731215</v>
      </c>
      <c r="E18" s="1">
        <f t="shared" ref="E18:G18" si="2">+D18*(1+$C$6)</f>
        <v>753.4377699799918</v>
      </c>
      <c r="F18" s="1">
        <f t="shared" si="2"/>
        <v>759.16389703183972</v>
      </c>
      <c r="G18" s="1">
        <f t="shared" si="2"/>
        <v>764.93354264928178</v>
      </c>
      <c r="H18" s="17">
        <f>SUM(C18:G18)</f>
        <v>3767.4048039716572</v>
      </c>
    </row>
    <row r="20" spans="2:8" ht="14.45" x14ac:dyDescent="0.3">
      <c r="B20" s="18" t="s">
        <v>60</v>
      </c>
    </row>
    <row r="21" spans="2:8" ht="14.45" x14ac:dyDescent="0.3">
      <c r="B21" t="s">
        <v>61</v>
      </c>
      <c r="C21" s="17">
        <f>+C7</f>
        <v>7507.7</v>
      </c>
      <c r="D21" s="17">
        <f>+C23</f>
        <v>7364.4330600983667</v>
      </c>
      <c r="E21" s="17">
        <f t="shared" ref="E21:G21" si="3">+D23</f>
        <v>7221.1661201967336</v>
      </c>
      <c r="F21" s="17">
        <f t="shared" si="3"/>
        <v>7077.8991802951005</v>
      </c>
      <c r="G21" s="17">
        <f t="shared" si="3"/>
        <v>6934.6322403934673</v>
      </c>
    </row>
    <row r="22" spans="2:8" ht="14.45" x14ac:dyDescent="0.3">
      <c r="B22" t="s">
        <v>62</v>
      </c>
      <c r="C22" s="17">
        <f>+$C$10</f>
        <v>143.26693990163335</v>
      </c>
      <c r="D22" s="17">
        <f>+$C$10</f>
        <v>143.26693990163335</v>
      </c>
      <c r="E22" s="17">
        <f t="shared" ref="E22:G22" si="4">+$C$10</f>
        <v>143.26693990163335</v>
      </c>
      <c r="F22" s="17">
        <f t="shared" si="4"/>
        <v>143.26693990163335</v>
      </c>
      <c r="G22" s="17">
        <f t="shared" si="4"/>
        <v>143.26693990163335</v>
      </c>
      <c r="H22" s="17">
        <f>SUM(C22:G22)</f>
        <v>716.33469950816675</v>
      </c>
    </row>
    <row r="23" spans="2:8" ht="14.45" x14ac:dyDescent="0.3">
      <c r="B23" t="s">
        <v>63</v>
      </c>
      <c r="C23" s="17">
        <f>+C21-C22</f>
        <v>7364.4330600983667</v>
      </c>
      <c r="D23" s="17">
        <f>+D21-D22</f>
        <v>7221.1661201967336</v>
      </c>
      <c r="E23" s="17">
        <f t="shared" ref="E23:G23" si="5">+E21-E22</f>
        <v>7077.8991802951005</v>
      </c>
      <c r="F23" s="17">
        <f t="shared" si="5"/>
        <v>6934.6322403934673</v>
      </c>
      <c r="G23" s="17">
        <f t="shared" si="5"/>
        <v>6791.3653004918342</v>
      </c>
    </row>
    <row r="25" spans="2:8" ht="14.45" x14ac:dyDescent="0.3">
      <c r="B25" s="18" t="s">
        <v>64</v>
      </c>
      <c r="C25" s="17">
        <f>+C18/$C$15</f>
        <v>7564.7585200000003</v>
      </c>
      <c r="D25" s="17">
        <f>+D18/$C$15</f>
        <v>7622.2506847520017</v>
      </c>
      <c r="E25" s="17">
        <f>+E18/$C$15</f>
        <v>7680.179789956117</v>
      </c>
      <c r="F25" s="17">
        <f>+F18/$C$15</f>
        <v>7738.5491563597834</v>
      </c>
      <c r="G25" s="17">
        <f>+G18/$C$15</f>
        <v>7797.3621299481183</v>
      </c>
    </row>
    <row r="26" spans="2:8" ht="14.45" x14ac:dyDescent="0.3">
      <c r="B26" t="s">
        <v>65</v>
      </c>
      <c r="C26" s="17">
        <f>+C25-C23</f>
        <v>200.32545990163362</v>
      </c>
      <c r="D26" s="17">
        <f>+D27-C27</f>
        <v>200.75910465363449</v>
      </c>
      <c r="E26" s="17">
        <f t="shared" ref="E26:G26" si="6">+E27-D27</f>
        <v>201.19604510574845</v>
      </c>
      <c r="F26" s="17">
        <f t="shared" si="6"/>
        <v>201.63630630529951</v>
      </c>
      <c r="G26" s="17">
        <f t="shared" si="6"/>
        <v>202.07991348996802</v>
      </c>
      <c r="H26" s="17">
        <f>SUM(C26:G26)</f>
        <v>1005.9968294562841</v>
      </c>
    </row>
    <row r="27" spans="2:8" ht="14.45" x14ac:dyDescent="0.3">
      <c r="B27" t="s">
        <v>66</v>
      </c>
      <c r="C27" s="17">
        <f>+C26</f>
        <v>200.32545990163362</v>
      </c>
      <c r="D27" s="17">
        <f>+D25-D23</f>
        <v>401.08456455526812</v>
      </c>
      <c r="E27" s="17">
        <f>+E25-E23</f>
        <v>602.28060966101657</v>
      </c>
      <c r="F27" s="17">
        <f>+F25-F23</f>
        <v>803.91691596631608</v>
      </c>
      <c r="G27" s="17">
        <f>+G25-G23</f>
        <v>1005.9968294562841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D19" sqref="D19"/>
    </sheetView>
  </sheetViews>
  <sheetFormatPr defaultRowHeight="15" x14ac:dyDescent="0.25"/>
  <sheetData>
    <row r="2" spans="1:5" ht="15.6" x14ac:dyDescent="0.3">
      <c r="A2" s="33" t="s">
        <v>67</v>
      </c>
      <c r="B2" s="34"/>
      <c r="C2" s="34"/>
      <c r="D2" s="34"/>
      <c r="E2" s="34"/>
    </row>
    <row r="3" spans="1:5" ht="14.45" x14ac:dyDescent="0.3">
      <c r="A3" s="23" t="s">
        <v>68</v>
      </c>
      <c r="B3" s="23" t="s">
        <v>69</v>
      </c>
      <c r="C3" s="23" t="s">
        <v>70</v>
      </c>
      <c r="D3" s="23" t="s">
        <v>71</v>
      </c>
      <c r="E3" s="23" t="s">
        <v>70</v>
      </c>
    </row>
    <row r="4" spans="1:5" ht="14.45" x14ac:dyDescent="0.3">
      <c r="A4" s="24">
        <v>2016</v>
      </c>
      <c r="B4" s="25">
        <v>60.97</v>
      </c>
      <c r="C4" s="26"/>
      <c r="D4" s="25">
        <v>59.29</v>
      </c>
      <c r="E4" s="26"/>
    </row>
    <row r="5" spans="1:5" ht="14.45" x14ac:dyDescent="0.3">
      <c r="A5" s="24">
        <f>+A4+1</f>
        <v>2017</v>
      </c>
      <c r="B5" s="25">
        <v>62.5</v>
      </c>
      <c r="C5" s="26">
        <f>+(B5-B4)/B4</f>
        <v>2.5094308676398249E-2</v>
      </c>
      <c r="D5" s="25">
        <v>76.39</v>
      </c>
      <c r="E5" s="26">
        <f>+(D5-D4)/D4</f>
        <v>0.28841288581548324</v>
      </c>
    </row>
    <row r="6" spans="1:5" ht="14.45" x14ac:dyDescent="0.3">
      <c r="A6" s="24">
        <f t="shared" ref="A6:A8" si="0">+A5+1</f>
        <v>2018</v>
      </c>
      <c r="B6" s="25">
        <v>64.06</v>
      </c>
      <c r="C6" s="26">
        <f t="shared" ref="C6:C9" si="1">+(B6-B5)/B5</f>
        <v>2.4960000000000038E-2</v>
      </c>
      <c r="D6" s="25">
        <v>78.599999999999994</v>
      </c>
      <c r="E6" s="26">
        <f t="shared" ref="E6:E9" si="2">+(D6-D5)/D5</f>
        <v>2.8930488283806698E-2</v>
      </c>
    </row>
    <row r="7" spans="1:5" ht="14.45" x14ac:dyDescent="0.3">
      <c r="A7" s="24">
        <f t="shared" si="0"/>
        <v>2019</v>
      </c>
      <c r="B7" s="25">
        <v>65.66</v>
      </c>
      <c r="C7" s="26">
        <f t="shared" si="1"/>
        <v>2.4976584452076088E-2</v>
      </c>
      <c r="D7" s="25">
        <v>84.83</v>
      </c>
      <c r="E7" s="26">
        <f t="shared" si="2"/>
        <v>7.9262086513994967E-2</v>
      </c>
    </row>
    <row r="8" spans="1:5" ht="14.45" x14ac:dyDescent="0.3">
      <c r="A8" s="24">
        <f t="shared" si="0"/>
        <v>2020</v>
      </c>
      <c r="B8" s="25">
        <v>67.3</v>
      </c>
      <c r="C8" s="26">
        <f t="shared" si="1"/>
        <v>2.4977155041120937E-2</v>
      </c>
      <c r="D8" s="25">
        <v>88.21</v>
      </c>
      <c r="E8" s="26">
        <f t="shared" si="2"/>
        <v>3.984439467169628E-2</v>
      </c>
    </row>
    <row r="9" spans="1:5" ht="14.45" x14ac:dyDescent="0.3">
      <c r="A9" s="24">
        <f>+A8+1</f>
        <v>2021</v>
      </c>
      <c r="B9" s="25">
        <v>68.98</v>
      </c>
      <c r="C9" s="26">
        <f t="shared" si="1"/>
        <v>2.4962852897474099E-2</v>
      </c>
      <c r="D9" s="25">
        <v>92.02</v>
      </c>
      <c r="E9" s="26">
        <f t="shared" si="2"/>
        <v>4.3192381816120652E-2</v>
      </c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workbookViewId="0">
      <selection activeCell="O10" sqref="O10"/>
    </sheetView>
  </sheetViews>
  <sheetFormatPr defaultRowHeight="15" x14ac:dyDescent="0.25"/>
  <cols>
    <col min="1" max="1" width="3.140625" customWidth="1"/>
    <col min="2" max="2" width="35.7109375" customWidth="1"/>
    <col min="3" max="9" width="9.7109375" customWidth="1"/>
  </cols>
  <sheetData>
    <row r="2" spans="1:9" ht="18" x14ac:dyDescent="0.35">
      <c r="A2" s="35" t="s">
        <v>72</v>
      </c>
      <c r="B2" s="35"/>
      <c r="C2" s="35"/>
      <c r="D2" s="35"/>
      <c r="E2" s="35"/>
      <c r="F2" s="35"/>
      <c r="G2" s="35"/>
      <c r="H2" s="35"/>
      <c r="I2" s="35"/>
    </row>
    <row r="3" spans="1:9" ht="43.15" x14ac:dyDescent="0.3">
      <c r="A3" s="27" t="s">
        <v>73</v>
      </c>
      <c r="B3" s="27" t="s">
        <v>1</v>
      </c>
      <c r="C3" s="27">
        <v>2016</v>
      </c>
      <c r="D3" s="28" t="s">
        <v>74</v>
      </c>
      <c r="E3" s="28" t="s">
        <v>75</v>
      </c>
      <c r="F3" s="27">
        <v>2018</v>
      </c>
      <c r="G3" s="27">
        <v>2019</v>
      </c>
      <c r="H3" s="27">
        <v>2020</v>
      </c>
      <c r="I3" s="27">
        <v>2021</v>
      </c>
    </row>
    <row r="4" spans="1:9" ht="14.45" x14ac:dyDescent="0.3">
      <c r="A4" s="27">
        <v>1</v>
      </c>
      <c r="B4" s="27" t="s">
        <v>76</v>
      </c>
      <c r="C4" s="25">
        <v>41.09</v>
      </c>
      <c r="D4" s="25">
        <v>41.09</v>
      </c>
      <c r="E4" s="25">
        <v>41.71</v>
      </c>
      <c r="F4" s="25">
        <v>42.33</v>
      </c>
      <c r="G4" s="25">
        <v>42.97</v>
      </c>
      <c r="H4" s="25">
        <v>43.61</v>
      </c>
      <c r="I4" s="25">
        <v>44.27</v>
      </c>
    </row>
    <row r="5" spans="1:9" ht="14.45" x14ac:dyDescent="0.3">
      <c r="A5" s="27"/>
      <c r="B5" s="27" t="s">
        <v>77</v>
      </c>
      <c r="C5" s="25">
        <f>44.55-C4</f>
        <v>3.4599999999999937</v>
      </c>
      <c r="D5" s="25"/>
      <c r="E5" s="25">
        <f>43.15-E4</f>
        <v>1.4399999999999977</v>
      </c>
      <c r="F5" s="25">
        <f>+E5</f>
        <v>1.4399999999999977</v>
      </c>
      <c r="G5" s="25">
        <f>+(C5+E5)/2</f>
        <v>2.4499999999999957</v>
      </c>
      <c r="H5" s="25">
        <f>+G5</f>
        <v>2.4499999999999957</v>
      </c>
      <c r="I5" s="25">
        <f>+H5</f>
        <v>2.4499999999999957</v>
      </c>
    </row>
    <row r="6" spans="1:9" ht="14.45" x14ac:dyDescent="0.3">
      <c r="A6" s="27"/>
      <c r="B6" s="27" t="s">
        <v>78</v>
      </c>
      <c r="C6" s="25"/>
      <c r="D6" s="25"/>
      <c r="E6" s="25">
        <f>+D30</f>
        <v>0.68666666666666498</v>
      </c>
      <c r="F6" s="25">
        <f>+E6</f>
        <v>0.68666666666666498</v>
      </c>
      <c r="G6" s="25">
        <f>+F6</f>
        <v>0.68666666666666498</v>
      </c>
      <c r="H6" s="25"/>
      <c r="I6" s="25"/>
    </row>
    <row r="7" spans="1:9" ht="14.45" x14ac:dyDescent="0.3">
      <c r="A7" s="27"/>
      <c r="B7" s="27" t="s">
        <v>79</v>
      </c>
      <c r="C7" s="25">
        <f>+C4+C5+C6</f>
        <v>44.55</v>
      </c>
      <c r="D7" s="25">
        <f t="shared" ref="D7:I7" si="0">+D4+D5+D6</f>
        <v>41.09</v>
      </c>
      <c r="E7" s="25">
        <f t="shared" si="0"/>
        <v>43.836666666666666</v>
      </c>
      <c r="F7" s="25">
        <f t="shared" si="0"/>
        <v>44.456666666666663</v>
      </c>
      <c r="G7" s="25">
        <f t="shared" si="0"/>
        <v>46.106666666666662</v>
      </c>
      <c r="H7" s="25">
        <f t="shared" si="0"/>
        <v>46.059999999999995</v>
      </c>
      <c r="I7" s="25">
        <f t="shared" si="0"/>
        <v>46.72</v>
      </c>
    </row>
    <row r="8" spans="1:9" ht="14.45" x14ac:dyDescent="0.3">
      <c r="A8" s="27"/>
      <c r="B8" s="27"/>
      <c r="C8" s="25"/>
      <c r="D8" s="25"/>
      <c r="E8" s="25"/>
      <c r="F8" s="25"/>
      <c r="G8" s="25"/>
      <c r="H8" s="25"/>
      <c r="I8" s="25"/>
    </row>
    <row r="9" spans="1:9" ht="14.45" x14ac:dyDescent="0.3">
      <c r="A9" s="27">
        <v>2</v>
      </c>
      <c r="B9" s="27" t="s">
        <v>80</v>
      </c>
      <c r="C9" s="25">
        <v>59.29</v>
      </c>
      <c r="D9" s="25">
        <v>59.29</v>
      </c>
      <c r="E9" s="25">
        <v>76.39</v>
      </c>
      <c r="F9" s="25">
        <v>78.599999999999994</v>
      </c>
      <c r="G9" s="25">
        <v>84.83</v>
      </c>
      <c r="H9" s="25">
        <v>88.21</v>
      </c>
      <c r="I9" s="25">
        <v>92.02</v>
      </c>
    </row>
    <row r="10" spans="1:9" ht="14.45" x14ac:dyDescent="0.3">
      <c r="A10" s="27"/>
      <c r="B10" s="27" t="s">
        <v>81</v>
      </c>
      <c r="C10" s="25">
        <v>13.01</v>
      </c>
      <c r="D10" s="25"/>
      <c r="E10" s="25">
        <v>2.85</v>
      </c>
      <c r="F10" s="25">
        <v>2.85</v>
      </c>
      <c r="G10" s="25">
        <f>+(C10+E10)/2</f>
        <v>7.93</v>
      </c>
      <c r="H10" s="25">
        <f>+G10</f>
        <v>7.93</v>
      </c>
      <c r="I10" s="25">
        <f>+H10</f>
        <v>7.93</v>
      </c>
    </row>
    <row r="11" spans="1:9" ht="14.45" x14ac:dyDescent="0.3">
      <c r="A11" s="27"/>
      <c r="B11" s="27" t="s">
        <v>82</v>
      </c>
      <c r="C11" s="25"/>
      <c r="D11" s="25"/>
      <c r="E11" s="25">
        <f>+D34</f>
        <v>6.5506607296753812</v>
      </c>
      <c r="F11" s="25">
        <f>+E11</f>
        <v>6.5506607296753812</v>
      </c>
      <c r="G11" s="25">
        <f>+F11</f>
        <v>6.5506607296753812</v>
      </c>
      <c r="H11" s="25"/>
      <c r="I11" s="25"/>
    </row>
    <row r="12" spans="1:9" ht="14.45" x14ac:dyDescent="0.3">
      <c r="A12" s="27"/>
      <c r="B12" s="27" t="s">
        <v>83</v>
      </c>
      <c r="C12" s="25">
        <f>+C9+C10+C11</f>
        <v>72.3</v>
      </c>
      <c r="D12" s="25">
        <f t="shared" ref="D12:I12" si="1">+D9+D10+D11</f>
        <v>59.29</v>
      </c>
      <c r="E12" s="25">
        <f t="shared" si="1"/>
        <v>85.79066072967538</v>
      </c>
      <c r="F12" s="25">
        <f t="shared" si="1"/>
        <v>88.000660729675374</v>
      </c>
      <c r="G12" s="25">
        <f t="shared" si="1"/>
        <v>99.310660729675377</v>
      </c>
      <c r="H12" s="25">
        <f t="shared" si="1"/>
        <v>96.139999999999986</v>
      </c>
      <c r="I12" s="25">
        <f t="shared" si="1"/>
        <v>99.949999999999989</v>
      </c>
    </row>
    <row r="13" spans="1:9" ht="14.45" x14ac:dyDescent="0.3">
      <c r="A13" s="27"/>
      <c r="B13" s="27"/>
      <c r="C13" s="25"/>
      <c r="D13" s="25"/>
      <c r="E13" s="25"/>
      <c r="F13" s="25"/>
      <c r="G13" s="25"/>
      <c r="H13" s="25"/>
      <c r="I13" s="25"/>
    </row>
    <row r="14" spans="1:9" ht="14.45" x14ac:dyDescent="0.3">
      <c r="A14" s="27">
        <v>3</v>
      </c>
      <c r="B14" s="27" t="s">
        <v>84</v>
      </c>
      <c r="C14" s="29">
        <v>33</v>
      </c>
      <c r="D14" s="29">
        <f>33*0.75</f>
        <v>24.75</v>
      </c>
      <c r="E14" s="29">
        <f>33*0.25</f>
        <v>8.25</v>
      </c>
      <c r="F14" s="29">
        <v>33</v>
      </c>
      <c r="G14" s="29">
        <v>33</v>
      </c>
      <c r="H14" s="29">
        <v>33</v>
      </c>
      <c r="I14" s="29">
        <v>33</v>
      </c>
    </row>
    <row r="15" spans="1:9" ht="14.45" x14ac:dyDescent="0.3">
      <c r="A15" s="27">
        <v>4</v>
      </c>
      <c r="B15" s="27" t="s">
        <v>85</v>
      </c>
      <c r="C15" s="29">
        <v>47.8</v>
      </c>
      <c r="D15" s="29">
        <f>38.1*0.75</f>
        <v>28.575000000000003</v>
      </c>
      <c r="E15" s="29">
        <f>38.1*0.25</f>
        <v>9.5250000000000004</v>
      </c>
      <c r="F15" s="29">
        <v>38.5</v>
      </c>
      <c r="G15" s="29">
        <v>39</v>
      </c>
      <c r="H15" s="29">
        <v>37.4</v>
      </c>
      <c r="I15" s="29">
        <v>35.4</v>
      </c>
    </row>
    <row r="16" spans="1:9" ht="14.45" x14ac:dyDescent="0.3">
      <c r="A16" s="27">
        <v>5</v>
      </c>
      <c r="B16" s="27" t="s">
        <v>86</v>
      </c>
      <c r="C16" s="29">
        <f>+C14+C15</f>
        <v>80.8</v>
      </c>
      <c r="D16" s="29">
        <f t="shared" ref="D16:I16" si="2">+D14+D15</f>
        <v>53.325000000000003</v>
      </c>
      <c r="E16" s="29">
        <f t="shared" si="2"/>
        <v>17.774999999999999</v>
      </c>
      <c r="F16" s="29">
        <f t="shared" si="2"/>
        <v>71.5</v>
      </c>
      <c r="G16" s="29">
        <f t="shared" si="2"/>
        <v>72</v>
      </c>
      <c r="H16" s="29">
        <f t="shared" si="2"/>
        <v>70.400000000000006</v>
      </c>
      <c r="I16" s="29">
        <f t="shared" si="2"/>
        <v>68.400000000000006</v>
      </c>
    </row>
    <row r="17" spans="1:9" ht="14.45" x14ac:dyDescent="0.3">
      <c r="A17" s="27"/>
      <c r="B17" s="27"/>
      <c r="C17" s="25"/>
      <c r="D17" s="25"/>
      <c r="E17" s="25"/>
      <c r="F17" s="25"/>
      <c r="G17" s="25"/>
      <c r="H17" s="25"/>
      <c r="I17" s="25"/>
    </row>
    <row r="18" spans="1:9" ht="14.45" x14ac:dyDescent="0.3">
      <c r="A18" s="27">
        <v>6</v>
      </c>
      <c r="B18" s="27" t="s">
        <v>87</v>
      </c>
      <c r="C18" s="25">
        <f>+(C7*C14)/C16</f>
        <v>18.194925742574256</v>
      </c>
      <c r="D18" s="25">
        <f t="shared" ref="D18:I18" si="3">+(D7*D14)/D16</f>
        <v>19.071308016877637</v>
      </c>
      <c r="E18" s="25">
        <f t="shared" si="3"/>
        <v>20.346132208157524</v>
      </c>
      <c r="F18" s="25">
        <f t="shared" si="3"/>
        <v>20.518461538461537</v>
      </c>
      <c r="G18" s="25">
        <f t="shared" si="3"/>
        <v>21.132222222222218</v>
      </c>
      <c r="H18" s="25">
        <f t="shared" si="3"/>
        <v>21.590624999999996</v>
      </c>
      <c r="I18" s="25">
        <f t="shared" si="3"/>
        <v>22.540350877192981</v>
      </c>
    </row>
    <row r="19" spans="1:9" ht="14.45" x14ac:dyDescent="0.3">
      <c r="A19" s="27">
        <v>7</v>
      </c>
      <c r="B19" s="27" t="s">
        <v>88</v>
      </c>
      <c r="C19" s="25">
        <f>+(C12*C15)/C16</f>
        <v>42.771534653465345</v>
      </c>
      <c r="D19" s="25">
        <f t="shared" ref="D19:I19" si="4">+(D12*D15)/D16</f>
        <v>31.77143459915612</v>
      </c>
      <c r="E19" s="25">
        <f t="shared" si="4"/>
        <v>45.972210601977949</v>
      </c>
      <c r="F19" s="25">
        <f t="shared" si="4"/>
        <v>47.384971162132899</v>
      </c>
      <c r="G19" s="25">
        <f t="shared" si="4"/>
        <v>53.793274561907495</v>
      </c>
      <c r="H19" s="25">
        <f t="shared" si="4"/>
        <v>51.074374999999989</v>
      </c>
      <c r="I19" s="25">
        <f t="shared" si="4"/>
        <v>51.72850877192981</v>
      </c>
    </row>
    <row r="20" spans="1:9" ht="14.45" x14ac:dyDescent="0.3">
      <c r="A20" s="27">
        <v>8</v>
      </c>
      <c r="B20" s="27" t="s">
        <v>69</v>
      </c>
      <c r="C20" s="25">
        <f>+C18+C19</f>
        <v>60.966460396039601</v>
      </c>
      <c r="D20" s="25">
        <f t="shared" ref="D20:I20" si="5">+D18+D19</f>
        <v>50.84274261603376</v>
      </c>
      <c r="E20" s="25">
        <f t="shared" si="5"/>
        <v>66.318342810135476</v>
      </c>
      <c r="F20" s="25">
        <f t="shared" si="5"/>
        <v>67.903432700594436</v>
      </c>
      <c r="G20" s="25">
        <f t="shared" si="5"/>
        <v>74.925496784129706</v>
      </c>
      <c r="H20" s="25">
        <f t="shared" si="5"/>
        <v>72.664999999999992</v>
      </c>
      <c r="I20" s="25">
        <f t="shared" si="5"/>
        <v>74.268859649122788</v>
      </c>
    </row>
    <row r="21" spans="1:9" ht="14.45" x14ac:dyDescent="0.3">
      <c r="A21" s="27"/>
      <c r="B21" s="27"/>
      <c r="C21" s="5"/>
      <c r="D21" s="5"/>
      <c r="E21" s="5"/>
      <c r="F21" s="5"/>
      <c r="G21" s="5"/>
      <c r="H21" s="5"/>
      <c r="I21" s="5"/>
    </row>
    <row r="22" spans="1:9" ht="14.45" x14ac:dyDescent="0.3">
      <c r="A22" s="27">
        <v>9</v>
      </c>
      <c r="B22" s="27" t="s">
        <v>89</v>
      </c>
      <c r="C22" s="26"/>
      <c r="D22" s="26">
        <f>+(D7-C7)/C7</f>
        <v>-7.7665544332210859E-2</v>
      </c>
      <c r="E22" s="26">
        <f t="shared" ref="E22:I22" si="6">+(E7-D7)/D7</f>
        <v>6.6845136691814605E-2</v>
      </c>
      <c r="F22" s="26">
        <f t="shared" si="6"/>
        <v>1.4143411147441201E-2</v>
      </c>
      <c r="G22" s="26">
        <f t="shared" si="6"/>
        <v>3.7114793431806223E-2</v>
      </c>
      <c r="H22" s="26">
        <f t="shared" si="6"/>
        <v>-1.0121457489878584E-3</v>
      </c>
      <c r="I22" s="26">
        <f t="shared" si="6"/>
        <v>1.4329135909683105E-2</v>
      </c>
    </row>
    <row r="23" spans="1:9" ht="14.45" x14ac:dyDescent="0.3">
      <c r="A23" s="27">
        <v>10</v>
      </c>
      <c r="B23" s="27" t="s">
        <v>90</v>
      </c>
      <c r="C23" s="26"/>
      <c r="D23" s="26">
        <f>+(D12-C12)/C12</f>
        <v>-0.17994467496542182</v>
      </c>
      <c r="E23" s="26">
        <f t="shared" ref="E23:I23" si="7">+(E12-D12)/D12</f>
        <v>0.44696678579314186</v>
      </c>
      <c r="F23" s="26">
        <f t="shared" si="7"/>
        <v>2.5760379756995445E-2</v>
      </c>
      <c r="G23" s="26">
        <f t="shared" si="7"/>
        <v>0.12852176229383777</v>
      </c>
      <c r="H23" s="26">
        <f t="shared" si="7"/>
        <v>-3.1926690512169287E-2</v>
      </c>
      <c r="I23" s="26">
        <f t="shared" si="7"/>
        <v>3.9629706677761625E-2</v>
      </c>
    </row>
    <row r="24" spans="1:9" ht="14.45" x14ac:dyDescent="0.3">
      <c r="A24" s="27">
        <v>11</v>
      </c>
      <c r="B24" s="27" t="s">
        <v>91</v>
      </c>
      <c r="C24" s="26"/>
      <c r="D24" s="30">
        <f>+(D20-C20)/C20</f>
        <v>-0.16605388789576966</v>
      </c>
      <c r="E24" s="30">
        <f t="shared" ref="E24:I24" si="8">+(E20-D20)/D20</f>
        <v>0.30438169535766413</v>
      </c>
      <c r="F24" s="30">
        <f t="shared" si="8"/>
        <v>2.3901228880175058E-2</v>
      </c>
      <c r="G24" s="30">
        <f t="shared" si="8"/>
        <v>0.10341250514532231</v>
      </c>
      <c r="H24" s="30">
        <f t="shared" si="8"/>
        <v>-3.0169927209725483E-2</v>
      </c>
      <c r="I24" s="30">
        <f t="shared" si="8"/>
        <v>2.207196929915085E-2</v>
      </c>
    </row>
    <row r="25" spans="1:9" ht="14.45" x14ac:dyDescent="0.3">
      <c r="A25" s="27">
        <v>12</v>
      </c>
      <c r="B25" s="27" t="s">
        <v>92</v>
      </c>
      <c r="C25" s="26"/>
      <c r="D25" s="30"/>
      <c r="E25" s="30">
        <f>+(E20-C20)/C20</f>
        <v>8.7784043543448612E-2</v>
      </c>
      <c r="F25" s="30">
        <f>+(F20-E20)/E20</f>
        <v>2.3901228880175058E-2</v>
      </c>
      <c r="G25" s="30">
        <f t="shared" ref="G25:I25" si="9">+(G20-F20)/F20</f>
        <v>0.10341250514532231</v>
      </c>
      <c r="H25" s="30">
        <f t="shared" si="9"/>
        <v>-3.0169927209725483E-2</v>
      </c>
      <c r="I25" s="30">
        <f t="shared" si="9"/>
        <v>2.207196929915085E-2</v>
      </c>
    </row>
    <row r="26" spans="1:9" ht="14.45" x14ac:dyDescent="0.3">
      <c r="A26" s="27"/>
      <c r="B26" s="27"/>
      <c r="C26" s="5"/>
      <c r="D26" s="5"/>
      <c r="E26" s="5"/>
      <c r="F26" s="5"/>
      <c r="G26" s="5"/>
      <c r="H26" s="5"/>
      <c r="I26" s="5"/>
    </row>
    <row r="27" spans="1:9" x14ac:dyDescent="0.25">
      <c r="A27" s="27">
        <v>13</v>
      </c>
      <c r="B27" s="27" t="s">
        <v>93</v>
      </c>
      <c r="C27" s="36"/>
      <c r="D27" s="31">
        <f>+(E4-D4)*D14</f>
        <v>15.344999999999937</v>
      </c>
      <c r="E27" s="39"/>
      <c r="F27" s="40"/>
      <c r="G27" s="40"/>
      <c r="H27" s="40"/>
      <c r="I27" s="41"/>
    </row>
    <row r="28" spans="1:9" x14ac:dyDescent="0.25">
      <c r="A28" s="27">
        <v>14</v>
      </c>
      <c r="B28" s="27" t="s">
        <v>94</v>
      </c>
      <c r="C28" s="37"/>
      <c r="D28" s="31">
        <f>+E5*D14</f>
        <v>35.639999999999944</v>
      </c>
      <c r="E28" s="42"/>
      <c r="F28" s="43"/>
      <c r="G28" s="43"/>
      <c r="H28" s="43"/>
      <c r="I28" s="44"/>
    </row>
    <row r="29" spans="1:9" x14ac:dyDescent="0.25">
      <c r="A29" s="27">
        <v>15</v>
      </c>
      <c r="B29" s="27" t="s">
        <v>95</v>
      </c>
      <c r="C29" s="37"/>
      <c r="D29" s="31">
        <f>+D27+D28</f>
        <v>50.984999999999879</v>
      </c>
      <c r="E29" s="42"/>
      <c r="F29" s="43"/>
      <c r="G29" s="43"/>
      <c r="H29" s="43"/>
      <c r="I29" s="44"/>
    </row>
    <row r="30" spans="1:9" x14ac:dyDescent="0.25">
      <c r="A30" s="27">
        <v>16</v>
      </c>
      <c r="B30" s="27" t="s">
        <v>96</v>
      </c>
      <c r="C30" s="37"/>
      <c r="D30" s="25">
        <f>+D29/(E14+F14+G14)</f>
        <v>0.68666666666666498</v>
      </c>
      <c r="E30" s="42"/>
      <c r="F30" s="43"/>
      <c r="G30" s="43"/>
      <c r="H30" s="43"/>
      <c r="I30" s="44"/>
    </row>
    <row r="31" spans="1:9" x14ac:dyDescent="0.25">
      <c r="A31" s="27">
        <v>17</v>
      </c>
      <c r="B31" s="27" t="s">
        <v>97</v>
      </c>
      <c r="C31" s="37"/>
      <c r="D31" s="31">
        <f>+(E9-D9)*D15</f>
        <v>488.63250000000011</v>
      </c>
      <c r="E31" s="42"/>
      <c r="F31" s="43"/>
      <c r="G31" s="43"/>
      <c r="H31" s="43"/>
      <c r="I31" s="44"/>
    </row>
    <row r="32" spans="1:9" x14ac:dyDescent="0.25">
      <c r="A32" s="27">
        <v>18</v>
      </c>
      <c r="B32" s="27" t="s">
        <v>98</v>
      </c>
      <c r="C32" s="37"/>
      <c r="D32" s="31">
        <f>+E10*D15</f>
        <v>81.438750000000013</v>
      </c>
      <c r="E32" s="42"/>
      <c r="F32" s="43"/>
      <c r="G32" s="43"/>
      <c r="H32" s="43"/>
      <c r="I32" s="44"/>
    </row>
    <row r="33" spans="1:9" x14ac:dyDescent="0.25">
      <c r="A33" s="27">
        <v>19</v>
      </c>
      <c r="B33" s="27" t="s">
        <v>99</v>
      </c>
      <c r="C33" s="37"/>
      <c r="D33" s="31">
        <f>+D31+D32</f>
        <v>570.07125000000008</v>
      </c>
      <c r="E33" s="42"/>
      <c r="F33" s="43"/>
      <c r="G33" s="43"/>
      <c r="H33" s="43"/>
      <c r="I33" s="44"/>
    </row>
    <row r="34" spans="1:9" x14ac:dyDescent="0.25">
      <c r="A34" s="27">
        <v>20</v>
      </c>
      <c r="B34" s="27" t="s">
        <v>100</v>
      </c>
      <c r="C34" s="38"/>
      <c r="D34" s="25">
        <f>+D33/(E15+F15+G15)</f>
        <v>6.5506607296753812</v>
      </c>
      <c r="E34" s="45"/>
      <c r="F34" s="46"/>
      <c r="G34" s="46"/>
      <c r="H34" s="46"/>
      <c r="I34" s="47"/>
    </row>
  </sheetData>
  <mergeCells count="3">
    <mergeCell ref="A2:I2"/>
    <mergeCell ref="C27:C34"/>
    <mergeCell ref="E27:I3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4"/>
  <sheetViews>
    <sheetView tabSelected="1" workbookViewId="0">
      <selection activeCell="M24" sqref="M24"/>
    </sheetView>
  </sheetViews>
  <sheetFormatPr defaultRowHeight="15" x14ac:dyDescent="0.25"/>
  <cols>
    <col min="1" max="1" width="3.140625" customWidth="1"/>
    <col min="2" max="2" width="35.7109375" customWidth="1"/>
    <col min="3" max="9" width="9.7109375" customWidth="1"/>
  </cols>
  <sheetData>
    <row r="2" spans="1:16" ht="18" x14ac:dyDescent="0.35">
      <c r="A2" s="35" t="s">
        <v>101</v>
      </c>
      <c r="B2" s="35"/>
      <c r="C2" s="35"/>
      <c r="D2" s="35"/>
      <c r="E2" s="35"/>
      <c r="F2" s="35"/>
      <c r="G2" s="35"/>
      <c r="H2" s="35"/>
      <c r="I2" s="35"/>
    </row>
    <row r="3" spans="1:16" ht="43.15" x14ac:dyDescent="0.3">
      <c r="A3" s="27" t="s">
        <v>73</v>
      </c>
      <c r="B3" s="27" t="s">
        <v>1</v>
      </c>
      <c r="C3" s="27">
        <v>2016</v>
      </c>
      <c r="D3" s="28" t="s">
        <v>74</v>
      </c>
      <c r="E3" s="28" t="s">
        <v>75</v>
      </c>
      <c r="F3" s="27">
        <v>2018</v>
      </c>
      <c r="G3" s="27">
        <v>2019</v>
      </c>
      <c r="H3" s="27">
        <v>2020</v>
      </c>
      <c r="I3" s="27">
        <v>2021</v>
      </c>
    </row>
    <row r="4" spans="1:16" ht="14.45" x14ac:dyDescent="0.3">
      <c r="A4" s="27">
        <v>1</v>
      </c>
      <c r="B4" s="27" t="s">
        <v>76</v>
      </c>
      <c r="C4" s="25">
        <v>41.09</v>
      </c>
      <c r="D4" s="25">
        <v>41.09</v>
      </c>
      <c r="E4" s="25">
        <v>41.71</v>
      </c>
      <c r="F4" s="25">
        <v>42.33</v>
      </c>
      <c r="G4" s="25">
        <v>42.97</v>
      </c>
      <c r="H4" s="25">
        <v>43.61</v>
      </c>
      <c r="I4" s="25">
        <v>44.27</v>
      </c>
    </row>
    <row r="5" spans="1:16" ht="14.45" x14ac:dyDescent="0.3">
      <c r="A5" s="27"/>
      <c r="B5" s="27" t="s">
        <v>77</v>
      </c>
      <c r="C5" s="25">
        <f>44.55-C4</f>
        <v>3.4599999999999937</v>
      </c>
      <c r="D5" s="25"/>
      <c r="E5" s="25">
        <f>43.15-E4</f>
        <v>1.4399999999999977</v>
      </c>
      <c r="F5" s="25">
        <f>+E5</f>
        <v>1.4399999999999977</v>
      </c>
      <c r="G5" s="25">
        <f>+(C5+E5)/2</f>
        <v>2.4499999999999957</v>
      </c>
      <c r="H5" s="25">
        <f>+G5</f>
        <v>2.4499999999999957</v>
      </c>
      <c r="I5" s="25">
        <f>+H5</f>
        <v>2.4499999999999957</v>
      </c>
    </row>
    <row r="6" spans="1:16" ht="14.45" x14ac:dyDescent="0.3">
      <c r="A6" s="27"/>
      <c r="B6" s="27" t="s">
        <v>78</v>
      </c>
      <c r="C6" s="25"/>
      <c r="D6" s="25"/>
      <c r="E6" s="25">
        <f>+D30</f>
        <v>0.68666666666666498</v>
      </c>
      <c r="F6" s="25">
        <f>+E6</f>
        <v>0.68666666666666498</v>
      </c>
      <c r="G6" s="25">
        <f>+F6</f>
        <v>0.68666666666666498</v>
      </c>
      <c r="H6" s="25"/>
      <c r="I6" s="25"/>
    </row>
    <row r="7" spans="1:16" ht="14.45" x14ac:dyDescent="0.3">
      <c r="A7" s="27"/>
      <c r="B7" s="27" t="s">
        <v>79</v>
      </c>
      <c r="C7" s="25">
        <f>+C4+C5+C6</f>
        <v>44.55</v>
      </c>
      <c r="D7" s="25">
        <f t="shared" ref="D7:I7" si="0">+D4+D5+D6</f>
        <v>41.09</v>
      </c>
      <c r="E7" s="25">
        <f t="shared" si="0"/>
        <v>43.836666666666666</v>
      </c>
      <c r="F7" s="25">
        <f t="shared" si="0"/>
        <v>44.456666666666663</v>
      </c>
      <c r="G7" s="25">
        <f t="shared" si="0"/>
        <v>46.106666666666662</v>
      </c>
      <c r="H7" s="25">
        <f t="shared" si="0"/>
        <v>46.059999999999995</v>
      </c>
      <c r="I7" s="25">
        <f t="shared" si="0"/>
        <v>46.72</v>
      </c>
    </row>
    <row r="8" spans="1:16" ht="14.45" x14ac:dyDescent="0.3">
      <c r="A8" s="27"/>
      <c r="B8" s="27"/>
      <c r="C8" s="25"/>
      <c r="D8" s="25"/>
      <c r="E8" s="25"/>
      <c r="F8" s="25"/>
      <c r="G8" s="25"/>
      <c r="H8" s="25"/>
      <c r="I8" s="25"/>
    </row>
    <row r="9" spans="1:16" ht="14.45" x14ac:dyDescent="0.3">
      <c r="A9" s="27">
        <v>2</v>
      </c>
      <c r="B9" s="27" t="s">
        <v>80</v>
      </c>
      <c r="C9" s="25">
        <v>59.29</v>
      </c>
      <c r="D9" s="25">
        <v>59.29</v>
      </c>
      <c r="E9" s="25">
        <v>68.87</v>
      </c>
      <c r="F9" s="25">
        <v>71.010000000000005</v>
      </c>
      <c r="G9" s="25">
        <v>71.010000000000005</v>
      </c>
      <c r="H9" s="25">
        <v>78.97</v>
      </c>
      <c r="I9" s="25">
        <v>82.71</v>
      </c>
      <c r="L9" t="s">
        <v>102</v>
      </c>
    </row>
    <row r="10" spans="1:16" ht="14.45" x14ac:dyDescent="0.3">
      <c r="A10" s="27"/>
      <c r="B10" s="27" t="s">
        <v>81</v>
      </c>
      <c r="C10" s="25">
        <v>13.01</v>
      </c>
      <c r="D10" s="25"/>
      <c r="E10" s="25">
        <v>2.85</v>
      </c>
      <c r="F10" s="25">
        <v>2.85</v>
      </c>
      <c r="G10" s="25">
        <f>+(C10+E10)/2</f>
        <v>7.93</v>
      </c>
      <c r="H10" s="25">
        <f>+G10</f>
        <v>7.93</v>
      </c>
      <c r="I10" s="25">
        <f>+H10</f>
        <v>7.93</v>
      </c>
    </row>
    <row r="11" spans="1:16" ht="14.45" x14ac:dyDescent="0.3">
      <c r="A11" s="27"/>
      <c r="B11" s="27" t="s">
        <v>82</v>
      </c>
      <c r="C11" s="25"/>
      <c r="D11" s="25"/>
      <c r="E11" s="25">
        <f>+D34</f>
        <v>4.0814392415972449</v>
      </c>
      <c r="F11" s="25">
        <f>+E11</f>
        <v>4.0814392415972449</v>
      </c>
      <c r="G11" s="25">
        <f>+F11</f>
        <v>4.0814392415972449</v>
      </c>
      <c r="H11" s="25"/>
      <c r="I11" s="25"/>
      <c r="L11">
        <v>2017</v>
      </c>
      <c r="M11">
        <f>+L11+1</f>
        <v>2018</v>
      </c>
      <c r="N11">
        <f t="shared" ref="N11:P11" si="1">+M11+1</f>
        <v>2019</v>
      </c>
      <c r="O11">
        <f t="shared" si="1"/>
        <v>2020</v>
      </c>
      <c r="P11">
        <f t="shared" si="1"/>
        <v>2021</v>
      </c>
    </row>
    <row r="12" spans="1:16" ht="14.45" x14ac:dyDescent="0.3">
      <c r="A12" s="27"/>
      <c r="B12" s="27" t="s">
        <v>83</v>
      </c>
      <c r="C12" s="25">
        <f>+C9+C10+C11</f>
        <v>72.3</v>
      </c>
      <c r="D12" s="25">
        <f t="shared" ref="D12:I12" si="2">+D9+D10+D11</f>
        <v>59.29</v>
      </c>
      <c r="E12" s="25">
        <f t="shared" si="2"/>
        <v>75.801439241597251</v>
      </c>
      <c r="F12" s="25">
        <f t="shared" si="2"/>
        <v>77.941439241597237</v>
      </c>
      <c r="G12" s="25">
        <f t="shared" si="2"/>
        <v>83.02143924159725</v>
      </c>
      <c r="H12" s="25">
        <f t="shared" si="2"/>
        <v>86.9</v>
      </c>
      <c r="I12" s="25">
        <f t="shared" si="2"/>
        <v>90.639999999999986</v>
      </c>
      <c r="K12" t="s">
        <v>103</v>
      </c>
      <c r="L12" s="32">
        <f>3161*0.25</f>
        <v>790.25</v>
      </c>
      <c r="M12" s="32">
        <v>3186</v>
      </c>
      <c r="N12" s="32">
        <v>3273</v>
      </c>
      <c r="O12" s="32">
        <v>3783</v>
      </c>
      <c r="P12" s="32">
        <v>3398</v>
      </c>
    </row>
    <row r="13" spans="1:16" ht="14.45" x14ac:dyDescent="0.3">
      <c r="A13" s="27"/>
      <c r="B13" s="27"/>
      <c r="C13" s="25"/>
      <c r="D13" s="25"/>
      <c r="E13" s="25"/>
      <c r="F13" s="25"/>
      <c r="G13" s="25"/>
      <c r="H13" s="25"/>
      <c r="I13" s="25"/>
      <c r="K13" t="s">
        <v>104</v>
      </c>
      <c r="L13" s="32">
        <f>+E9*E15</f>
        <v>655.98675000000003</v>
      </c>
      <c r="M13" s="32">
        <f>+F9*F15</f>
        <v>2733.8850000000002</v>
      </c>
      <c r="N13" s="32">
        <f t="shared" ref="N13:P13" si="3">+G9*G15</f>
        <v>2769.3900000000003</v>
      </c>
      <c r="O13" s="32">
        <f t="shared" si="3"/>
        <v>2953.4780000000001</v>
      </c>
      <c r="P13" s="32">
        <f t="shared" si="3"/>
        <v>2927.9339999999997</v>
      </c>
    </row>
    <row r="14" spans="1:16" ht="14.45" x14ac:dyDescent="0.3">
      <c r="A14" s="27">
        <v>3</v>
      </c>
      <c r="B14" s="27" t="s">
        <v>84</v>
      </c>
      <c r="C14" s="29">
        <v>33</v>
      </c>
      <c r="D14" s="29">
        <f>33*0.75</f>
        <v>24.75</v>
      </c>
      <c r="E14" s="29">
        <f>33*0.25</f>
        <v>8.25</v>
      </c>
      <c r="F14" s="29">
        <v>33</v>
      </c>
      <c r="G14" s="29">
        <v>33</v>
      </c>
      <c r="H14" s="29">
        <v>33</v>
      </c>
      <c r="I14" s="29">
        <v>33</v>
      </c>
      <c r="K14" t="s">
        <v>105</v>
      </c>
      <c r="L14" s="32">
        <f>+L12-L13</f>
        <v>134.26324999999997</v>
      </c>
      <c r="M14" s="32">
        <f>+M12-M13</f>
        <v>452.11499999999978</v>
      </c>
      <c r="N14" s="32">
        <f t="shared" ref="N14:P14" si="4">+N12-N13</f>
        <v>503.60999999999967</v>
      </c>
      <c r="O14" s="32">
        <f t="shared" si="4"/>
        <v>829.52199999999993</v>
      </c>
      <c r="P14" s="32">
        <f t="shared" si="4"/>
        <v>470.06600000000026</v>
      </c>
    </row>
    <row r="15" spans="1:16" ht="14.45" x14ac:dyDescent="0.3">
      <c r="A15" s="27">
        <v>4</v>
      </c>
      <c r="B15" s="27" t="s">
        <v>85</v>
      </c>
      <c r="C15" s="29">
        <v>47.8</v>
      </c>
      <c r="D15" s="29">
        <f>38.1*0.75</f>
        <v>28.575000000000003</v>
      </c>
      <c r="E15" s="29">
        <f>38.1*0.25</f>
        <v>9.5250000000000004</v>
      </c>
      <c r="F15" s="29">
        <v>38.5</v>
      </c>
      <c r="G15" s="29">
        <v>39</v>
      </c>
      <c r="H15" s="29">
        <v>37.4</v>
      </c>
      <c r="I15" s="29">
        <v>35.4</v>
      </c>
      <c r="K15" t="s">
        <v>106</v>
      </c>
      <c r="L15" s="32">
        <f>+L14</f>
        <v>134.26324999999997</v>
      </c>
      <c r="M15" s="32">
        <f>+M14+L15</f>
        <v>586.37824999999975</v>
      </c>
      <c r="N15" s="32">
        <f t="shared" ref="N15:P15" si="5">+N14+M15</f>
        <v>1089.9882499999994</v>
      </c>
      <c r="O15" s="32">
        <f t="shared" si="5"/>
        <v>1919.5102499999994</v>
      </c>
      <c r="P15" s="32">
        <f t="shared" si="5"/>
        <v>2389.5762499999996</v>
      </c>
    </row>
    <row r="16" spans="1:16" ht="14.45" x14ac:dyDescent="0.3">
      <c r="A16" s="27">
        <v>5</v>
      </c>
      <c r="B16" s="27" t="s">
        <v>86</v>
      </c>
      <c r="C16" s="29">
        <f>+C14+C15</f>
        <v>80.8</v>
      </c>
      <c r="D16" s="29">
        <f t="shared" ref="D16:I16" si="6">+D14+D15</f>
        <v>53.325000000000003</v>
      </c>
      <c r="E16" s="29">
        <f t="shared" si="6"/>
        <v>17.774999999999999</v>
      </c>
      <c r="F16" s="29">
        <f t="shared" si="6"/>
        <v>71.5</v>
      </c>
      <c r="G16" s="29">
        <f t="shared" si="6"/>
        <v>72</v>
      </c>
      <c r="H16" s="29">
        <f t="shared" si="6"/>
        <v>70.400000000000006</v>
      </c>
      <c r="I16" s="29">
        <f t="shared" si="6"/>
        <v>68.400000000000006</v>
      </c>
    </row>
    <row r="17" spans="1:9" ht="14.45" x14ac:dyDescent="0.3">
      <c r="A17" s="27"/>
      <c r="B17" s="27"/>
      <c r="C17" s="25"/>
      <c r="D17" s="25"/>
      <c r="E17" s="25"/>
      <c r="F17" s="25"/>
      <c r="G17" s="25"/>
      <c r="H17" s="25"/>
      <c r="I17" s="25"/>
    </row>
    <row r="18" spans="1:9" ht="14.45" x14ac:dyDescent="0.3">
      <c r="A18" s="27">
        <v>6</v>
      </c>
      <c r="B18" s="27" t="s">
        <v>87</v>
      </c>
      <c r="C18" s="25">
        <f>+(C7*C14)/C16</f>
        <v>18.194925742574256</v>
      </c>
      <c r="D18" s="25">
        <f t="shared" ref="D18:I18" si="7">+(D7*D14)/D16</f>
        <v>19.071308016877637</v>
      </c>
      <c r="E18" s="25">
        <f t="shared" si="7"/>
        <v>20.346132208157524</v>
      </c>
      <c r="F18" s="25">
        <f t="shared" si="7"/>
        <v>20.518461538461537</v>
      </c>
      <c r="G18" s="25">
        <f t="shared" si="7"/>
        <v>21.132222222222218</v>
      </c>
      <c r="H18" s="25">
        <f t="shared" si="7"/>
        <v>21.590624999999996</v>
      </c>
      <c r="I18" s="25">
        <f t="shared" si="7"/>
        <v>22.540350877192981</v>
      </c>
    </row>
    <row r="19" spans="1:9" ht="14.45" x14ac:dyDescent="0.3">
      <c r="A19" s="27">
        <v>7</v>
      </c>
      <c r="B19" s="27" t="s">
        <v>88</v>
      </c>
      <c r="C19" s="25">
        <f>+(C12*C15)/C16</f>
        <v>42.771534653465345</v>
      </c>
      <c r="D19" s="25">
        <f t="shared" ref="D19:I19" si="8">+(D12*D15)/D16</f>
        <v>31.77143459915612</v>
      </c>
      <c r="E19" s="25">
        <f t="shared" si="8"/>
        <v>40.619336640012037</v>
      </c>
      <c r="F19" s="25">
        <f t="shared" si="8"/>
        <v>41.968467283936974</v>
      </c>
      <c r="G19" s="25">
        <f t="shared" si="8"/>
        <v>44.969946255865175</v>
      </c>
      <c r="H19" s="25">
        <f t="shared" si="8"/>
        <v>46.165624999999999</v>
      </c>
      <c r="I19" s="25">
        <f t="shared" si="8"/>
        <v>46.910175438596482</v>
      </c>
    </row>
    <row r="20" spans="1:9" ht="14.45" x14ac:dyDescent="0.3">
      <c r="A20" s="27">
        <v>8</v>
      </c>
      <c r="B20" s="27" t="s">
        <v>69</v>
      </c>
      <c r="C20" s="25">
        <f>+C18+C19</f>
        <v>60.966460396039601</v>
      </c>
      <c r="D20" s="25">
        <f t="shared" ref="D20:I20" si="9">+D18+D19</f>
        <v>50.84274261603376</v>
      </c>
      <c r="E20" s="25">
        <f t="shared" si="9"/>
        <v>60.965468848169564</v>
      </c>
      <c r="F20" s="25">
        <f t="shared" si="9"/>
        <v>62.486928822398511</v>
      </c>
      <c r="G20" s="25">
        <f t="shared" si="9"/>
        <v>66.102168478087393</v>
      </c>
      <c r="H20" s="25">
        <f t="shared" si="9"/>
        <v>67.756249999999994</v>
      </c>
      <c r="I20" s="25">
        <f t="shared" si="9"/>
        <v>69.45052631578946</v>
      </c>
    </row>
    <row r="21" spans="1:9" ht="14.45" x14ac:dyDescent="0.3">
      <c r="A21" s="27"/>
      <c r="B21" s="27"/>
      <c r="C21" s="5"/>
      <c r="D21" s="5"/>
      <c r="E21" s="5"/>
      <c r="F21" s="5"/>
      <c r="G21" s="5"/>
      <c r="H21" s="5"/>
      <c r="I21" s="5"/>
    </row>
    <row r="22" spans="1:9" ht="14.45" x14ac:dyDescent="0.3">
      <c r="A22" s="27">
        <v>9</v>
      </c>
      <c r="B22" s="27" t="s">
        <v>89</v>
      </c>
      <c r="C22" s="26"/>
      <c r="D22" s="26">
        <f>+(D7-C7)/C7</f>
        <v>-7.7665544332210859E-2</v>
      </c>
      <c r="E22" s="26">
        <f t="shared" ref="E22:I22" si="10">+(E7-D7)/D7</f>
        <v>6.6845136691814605E-2</v>
      </c>
      <c r="F22" s="26">
        <f t="shared" si="10"/>
        <v>1.4143411147441201E-2</v>
      </c>
      <c r="G22" s="26">
        <f t="shared" si="10"/>
        <v>3.7114793431806223E-2</v>
      </c>
      <c r="H22" s="26">
        <f t="shared" si="10"/>
        <v>-1.0121457489878584E-3</v>
      </c>
      <c r="I22" s="26">
        <f t="shared" si="10"/>
        <v>1.4329135909683105E-2</v>
      </c>
    </row>
    <row r="23" spans="1:9" ht="14.45" x14ac:dyDescent="0.3">
      <c r="A23" s="27">
        <v>10</v>
      </c>
      <c r="B23" s="27" t="s">
        <v>90</v>
      </c>
      <c r="C23" s="26"/>
      <c r="D23" s="26">
        <f>+(D12-C12)/C12</f>
        <v>-0.17994467496542182</v>
      </c>
      <c r="E23" s="26">
        <f t="shared" ref="E23:I23" si="11">+(E12-D12)/D12</f>
        <v>0.2784860725518174</v>
      </c>
      <c r="F23" s="26">
        <f t="shared" si="11"/>
        <v>2.8231653929146339E-2</v>
      </c>
      <c r="G23" s="26">
        <f t="shared" si="11"/>
        <v>6.5177138752254699E-2</v>
      </c>
      <c r="H23" s="26">
        <f t="shared" si="11"/>
        <v>4.6717580348323247E-2</v>
      </c>
      <c r="I23" s="26">
        <f t="shared" si="11"/>
        <v>4.3037974683544075E-2</v>
      </c>
    </row>
    <row r="24" spans="1:9" ht="14.45" x14ac:dyDescent="0.3">
      <c r="A24" s="27">
        <v>11</v>
      </c>
      <c r="B24" s="27" t="s">
        <v>91</v>
      </c>
      <c r="C24" s="26"/>
      <c r="D24" s="30">
        <f>+(D20-C20)/C20</f>
        <v>-0.16605388789576966</v>
      </c>
      <c r="E24" s="30">
        <f t="shared" ref="E24:I24" si="12">+(E20-D20)/D20</f>
        <v>0.19909874470350666</v>
      </c>
      <c r="F24" s="30">
        <f t="shared" si="12"/>
        <v>2.4956094047567174E-2</v>
      </c>
      <c r="G24" s="30">
        <f t="shared" si="12"/>
        <v>5.7855934414126543E-2</v>
      </c>
      <c r="H24" s="30">
        <f t="shared" si="12"/>
        <v>2.5023105292845623E-2</v>
      </c>
      <c r="I24" s="30">
        <f t="shared" si="12"/>
        <v>2.5005461721825901E-2</v>
      </c>
    </row>
    <row r="25" spans="1:9" ht="14.45" x14ac:dyDescent="0.3">
      <c r="A25" s="27">
        <v>12</v>
      </c>
      <c r="B25" s="27" t="s">
        <v>92</v>
      </c>
      <c r="C25" s="26"/>
      <c r="D25" s="30"/>
      <c r="E25" s="30">
        <f>+(E20-C20)/C20</f>
        <v>-1.6263825447554185E-5</v>
      </c>
      <c r="F25" s="30">
        <f>+(F20-E20)/E20</f>
        <v>2.4956094047567174E-2</v>
      </c>
      <c r="G25" s="30">
        <f t="shared" ref="G25:I25" si="13">+(G20-F20)/F20</f>
        <v>5.7855934414126543E-2</v>
      </c>
      <c r="H25" s="30">
        <f t="shared" si="13"/>
        <v>2.5023105292845623E-2</v>
      </c>
      <c r="I25" s="30">
        <f t="shared" si="13"/>
        <v>2.5005461721825901E-2</v>
      </c>
    </row>
    <row r="26" spans="1:9" ht="14.45" x14ac:dyDescent="0.3">
      <c r="A26" s="27"/>
      <c r="B26" s="27"/>
      <c r="C26" s="5"/>
      <c r="D26" s="5"/>
      <c r="E26" s="5"/>
      <c r="F26" s="5"/>
      <c r="G26" s="5"/>
      <c r="H26" s="5"/>
      <c r="I26" s="5"/>
    </row>
    <row r="27" spans="1:9" x14ac:dyDescent="0.25">
      <c r="A27" s="27">
        <v>13</v>
      </c>
      <c r="B27" s="27" t="s">
        <v>93</v>
      </c>
      <c r="C27" s="36"/>
      <c r="D27" s="31">
        <f>+(E4-D4)*D14</f>
        <v>15.344999999999937</v>
      </c>
      <c r="E27" s="39"/>
      <c r="F27" s="40"/>
      <c r="G27" s="40"/>
      <c r="H27" s="40"/>
      <c r="I27" s="41"/>
    </row>
    <row r="28" spans="1:9" x14ac:dyDescent="0.25">
      <c r="A28" s="27">
        <v>14</v>
      </c>
      <c r="B28" s="27" t="s">
        <v>94</v>
      </c>
      <c r="C28" s="37"/>
      <c r="D28" s="31">
        <f>+E5*D14</f>
        <v>35.639999999999944</v>
      </c>
      <c r="E28" s="42"/>
      <c r="F28" s="43"/>
      <c r="G28" s="43"/>
      <c r="H28" s="43"/>
      <c r="I28" s="44"/>
    </row>
    <row r="29" spans="1:9" x14ac:dyDescent="0.25">
      <c r="A29" s="27">
        <v>15</v>
      </c>
      <c r="B29" s="27" t="s">
        <v>95</v>
      </c>
      <c r="C29" s="37"/>
      <c r="D29" s="31">
        <f>+D27+D28</f>
        <v>50.984999999999879</v>
      </c>
      <c r="E29" s="42"/>
      <c r="F29" s="43"/>
      <c r="G29" s="43"/>
      <c r="H29" s="43"/>
      <c r="I29" s="44"/>
    </row>
    <row r="30" spans="1:9" x14ac:dyDescent="0.25">
      <c r="A30" s="27">
        <v>16</v>
      </c>
      <c r="B30" s="27" t="s">
        <v>96</v>
      </c>
      <c r="C30" s="37"/>
      <c r="D30" s="25">
        <f>+D29/(E14+F14+G14)</f>
        <v>0.68666666666666498</v>
      </c>
      <c r="E30" s="42"/>
      <c r="F30" s="43"/>
      <c r="G30" s="43"/>
      <c r="H30" s="43"/>
      <c r="I30" s="44"/>
    </row>
    <row r="31" spans="1:9" x14ac:dyDescent="0.25">
      <c r="A31" s="27">
        <v>17</v>
      </c>
      <c r="B31" s="27" t="s">
        <v>97</v>
      </c>
      <c r="C31" s="37"/>
      <c r="D31" s="31">
        <f>+(E9-D9)*D15</f>
        <v>273.74850000000021</v>
      </c>
      <c r="E31" s="42"/>
      <c r="F31" s="43"/>
      <c r="G31" s="43"/>
      <c r="H31" s="43"/>
      <c r="I31" s="44"/>
    </row>
    <row r="32" spans="1:9" x14ac:dyDescent="0.25">
      <c r="A32" s="27">
        <v>18</v>
      </c>
      <c r="B32" s="27" t="s">
        <v>98</v>
      </c>
      <c r="C32" s="37"/>
      <c r="D32" s="31">
        <f>+E10*D15</f>
        <v>81.438750000000013</v>
      </c>
      <c r="E32" s="42"/>
      <c r="F32" s="43"/>
      <c r="G32" s="43"/>
      <c r="H32" s="43"/>
      <c r="I32" s="44"/>
    </row>
    <row r="33" spans="1:9" x14ac:dyDescent="0.25">
      <c r="A33" s="27">
        <v>19</v>
      </c>
      <c r="B33" s="27" t="s">
        <v>99</v>
      </c>
      <c r="C33" s="37"/>
      <c r="D33" s="31">
        <f>+D31+D32</f>
        <v>355.18725000000023</v>
      </c>
      <c r="E33" s="42"/>
      <c r="F33" s="43"/>
      <c r="G33" s="43"/>
      <c r="H33" s="43"/>
      <c r="I33" s="44"/>
    </row>
    <row r="34" spans="1:9" x14ac:dyDescent="0.25">
      <c r="A34" s="27">
        <v>20</v>
      </c>
      <c r="B34" s="27" t="s">
        <v>100</v>
      </c>
      <c r="C34" s="38"/>
      <c r="D34" s="25">
        <f>+D33/(E15+F15+G15)</f>
        <v>4.0814392415972449</v>
      </c>
      <c r="E34" s="45"/>
      <c r="F34" s="46"/>
      <c r="G34" s="46"/>
      <c r="H34" s="46"/>
      <c r="I34" s="47"/>
    </row>
  </sheetData>
  <mergeCells count="3">
    <mergeCell ref="A2:I2"/>
    <mergeCell ref="C27:C34"/>
    <mergeCell ref="E27:I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Nuclear Liabilities Summary</vt:lpstr>
      <vt:lpstr>Appendix A</vt:lpstr>
      <vt:lpstr>Capital Funded in Rates</vt:lpstr>
      <vt:lpstr>OPG WAPA Proposal</vt:lpstr>
      <vt:lpstr>Revised OPG Table 2</vt:lpstr>
      <vt:lpstr>SEC Table 2 Proposal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2017-05-29T13:44:56Z</dcterms:created>
  <dcterms:modified xsi:type="dcterms:W3CDTF">2017-05-29T13:48:25Z</dcterms:modified>
</cp:coreProperties>
</file>