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3530" yWindow="30" windowWidth="14910" windowHeight="12810"/>
  </bookViews>
  <sheets>
    <sheet name="VA Rider" sheetId="35" r:id="rId1"/>
  </sheets>
  <definedNames>
    <definedName name="_xlnm.Print_Area" localSheetId="0">'VA Rider'!$A$1:$S$72</definedName>
  </definedNames>
  <calcPr calcId="145621"/>
</workbook>
</file>

<file path=xl/calcChain.xml><?xml version="1.0" encoding="utf-8"?>
<calcChain xmlns="http://schemas.openxmlformats.org/spreadsheetml/2006/main">
  <c r="C43" i="35" l="1"/>
  <c r="I37" i="35" l="1"/>
  <c r="L37" i="35"/>
  <c r="F37" i="35"/>
  <c r="G37" i="35"/>
  <c r="J37" i="35"/>
  <c r="H37" i="35"/>
  <c r="C7" i="35"/>
  <c r="Q16" i="35" l="1"/>
  <c r="P16" i="35"/>
  <c r="O16" i="35"/>
  <c r="N16" i="35"/>
  <c r="M16" i="35"/>
  <c r="L16" i="35"/>
  <c r="K16" i="35"/>
  <c r="J16" i="35"/>
  <c r="I16" i="35"/>
  <c r="H16" i="35"/>
  <c r="G16" i="35"/>
  <c r="F16" i="35" l="1"/>
  <c r="C16" i="35" l="1"/>
  <c r="G26" i="35" l="1"/>
  <c r="G56" i="35" s="1"/>
  <c r="I26" i="35"/>
  <c r="I56" i="35" s="1"/>
  <c r="I60" i="35" s="1"/>
  <c r="I66" i="35" s="1"/>
  <c r="J26" i="35"/>
  <c r="J56" i="35" s="1"/>
  <c r="J60" i="35" s="1"/>
  <c r="J66" i="35" s="1"/>
  <c r="H26" i="35"/>
  <c r="H56" i="35" s="1"/>
  <c r="H60" i="35" s="1"/>
  <c r="H66" i="35" s="1"/>
  <c r="O26" i="35"/>
  <c r="O56" i="35" s="1"/>
  <c r="O60" i="35" s="1"/>
  <c r="O66" i="35" s="1"/>
  <c r="Q26" i="35"/>
  <c r="Q56" i="35" s="1"/>
  <c r="Q60" i="35" s="1"/>
  <c r="Q66" i="35" s="1"/>
  <c r="L26" i="35"/>
  <c r="L56" i="35" s="1"/>
  <c r="L60" i="35" s="1"/>
  <c r="L66" i="35" s="1"/>
  <c r="N26" i="35"/>
  <c r="N56" i="35" s="1"/>
  <c r="N60" i="35" s="1"/>
  <c r="N66" i="35" s="1"/>
  <c r="R26" i="35"/>
  <c r="R56" i="35" s="1"/>
  <c r="R60" i="35" s="1"/>
  <c r="P26" i="35"/>
  <c r="P56" i="35" s="1"/>
  <c r="P60" i="35" s="1"/>
  <c r="P66" i="35" s="1"/>
  <c r="M26" i="35"/>
  <c r="M56" i="35" s="1"/>
  <c r="M60" i="35" s="1"/>
  <c r="M66" i="35" s="1"/>
  <c r="K26" i="35"/>
  <c r="K56" i="35" s="1"/>
  <c r="K60" i="35" s="1"/>
  <c r="K66" i="35" s="1"/>
  <c r="F26" i="35"/>
  <c r="F56" i="35" l="1"/>
  <c r="F60" i="35" s="1"/>
  <c r="F66" i="35" s="1"/>
  <c r="T26" i="35"/>
  <c r="G60" i="35"/>
  <c r="G66" i="35" s="1"/>
  <c r="C9" i="35"/>
  <c r="D56" i="35" l="1"/>
  <c r="D60" i="35"/>
  <c r="C8" i="35"/>
  <c r="C6" i="35"/>
  <c r="F20" i="35" l="1"/>
  <c r="L25" i="35"/>
  <c r="Q25" i="35"/>
  <c r="R25" i="35"/>
  <c r="P25" i="35"/>
  <c r="F25" i="35"/>
  <c r="G25" i="35"/>
  <c r="I25" i="35"/>
  <c r="J25" i="35"/>
  <c r="K25" i="35"/>
  <c r="H25" i="35"/>
  <c r="M25" i="35"/>
  <c r="N25" i="35"/>
  <c r="O25" i="35"/>
  <c r="N27" i="35"/>
  <c r="N53" i="35" s="1"/>
  <c r="R22" i="35"/>
  <c r="N20" i="35"/>
  <c r="I20" i="35"/>
  <c r="J20" i="35"/>
  <c r="R20" i="35"/>
  <c r="M20" i="35"/>
  <c r="Q20" i="35"/>
  <c r="K22" i="35"/>
  <c r="G22" i="35"/>
  <c r="O22" i="35"/>
  <c r="I22" i="35"/>
  <c r="M22" i="35"/>
  <c r="F22" i="35"/>
  <c r="K36" i="35"/>
  <c r="G36" i="35"/>
  <c r="R27" i="35"/>
  <c r="G21" i="35"/>
  <c r="I21" i="35"/>
  <c r="K21" i="35"/>
  <c r="M21" i="35"/>
  <c r="O21" i="35"/>
  <c r="F21" i="35"/>
  <c r="I36" i="35"/>
  <c r="M36" i="35"/>
  <c r="F36" i="35"/>
  <c r="H20" i="35"/>
  <c r="L20" i="35"/>
  <c r="P20" i="35"/>
  <c r="G20" i="35"/>
  <c r="K20" i="35"/>
  <c r="O20" i="35"/>
  <c r="G27" i="35"/>
  <c r="I27" i="35"/>
  <c r="K27" i="35"/>
  <c r="M27" i="35"/>
  <c r="P27" i="35"/>
  <c r="P53" i="35" s="1"/>
  <c r="R36" i="35"/>
  <c r="F27" i="35"/>
  <c r="G30" i="35"/>
  <c r="G23" i="35"/>
  <c r="I30" i="35"/>
  <c r="I23" i="35"/>
  <c r="K30" i="35"/>
  <c r="K23" i="35"/>
  <c r="M30" i="35"/>
  <c r="M23" i="35"/>
  <c r="O30" i="35"/>
  <c r="O23" i="35"/>
  <c r="F30" i="35"/>
  <c r="F23" i="35"/>
  <c r="J36" i="35"/>
  <c r="Q27" i="35"/>
  <c r="H23" i="35"/>
  <c r="J23" i="35"/>
  <c r="L23" i="35"/>
  <c r="N23" i="35"/>
  <c r="P23" i="35"/>
  <c r="Q21" i="35"/>
  <c r="R23" i="35"/>
  <c r="H27" i="35"/>
  <c r="L36" i="35"/>
  <c r="H30" i="35"/>
  <c r="J30" i="35"/>
  <c r="L30" i="35"/>
  <c r="N30" i="35"/>
  <c r="P30" i="35"/>
  <c r="Q22" i="35"/>
  <c r="R30" i="35"/>
  <c r="H36" i="35"/>
  <c r="J27" i="35"/>
  <c r="L27" i="35"/>
  <c r="O27" i="35"/>
  <c r="O53" i="35" s="1"/>
  <c r="Q36" i="35"/>
  <c r="H21" i="35"/>
  <c r="H22" i="35"/>
  <c r="J21" i="35"/>
  <c r="J22" i="35"/>
  <c r="L21" i="35"/>
  <c r="L22" i="35"/>
  <c r="N21" i="35"/>
  <c r="N22" i="35"/>
  <c r="P21" i="35"/>
  <c r="P22" i="35"/>
  <c r="Q30" i="35"/>
  <c r="Q23" i="35"/>
  <c r="R21" i="35"/>
  <c r="F72" i="35" l="1"/>
  <c r="Q54" i="35"/>
  <c r="F54" i="35"/>
  <c r="R54" i="35"/>
  <c r="J54" i="35"/>
  <c r="M54" i="35"/>
  <c r="G54" i="35"/>
  <c r="P54" i="35"/>
  <c r="L54" i="35"/>
  <c r="I54" i="35"/>
  <c r="H54" i="35"/>
  <c r="N54" i="35"/>
  <c r="O54" i="35"/>
  <c r="K54" i="35"/>
  <c r="H53" i="35"/>
  <c r="Q53" i="35"/>
  <c r="G53" i="35"/>
  <c r="R53" i="35"/>
  <c r="I53" i="35"/>
  <c r="L53" i="35"/>
  <c r="M53" i="35"/>
  <c r="J53" i="35"/>
  <c r="F53" i="35"/>
  <c r="K53" i="35"/>
  <c r="T37" i="35"/>
  <c r="U37" i="35" s="1"/>
  <c r="T25" i="35"/>
  <c r="U25" i="35" s="1"/>
  <c r="T30" i="35"/>
  <c r="U30" i="35" s="1"/>
  <c r="T20" i="35"/>
  <c r="U20" i="35" s="1"/>
  <c r="T21" i="35"/>
  <c r="U21" i="35" s="1"/>
  <c r="T27" i="35"/>
  <c r="U27" i="35" s="1"/>
  <c r="T22" i="35"/>
  <c r="U22" i="35" s="1"/>
  <c r="T36" i="35"/>
  <c r="U36" i="35" s="1"/>
  <c r="T23" i="35"/>
  <c r="U23" i="35" s="1"/>
  <c r="H72" i="35" l="1"/>
  <c r="D53" i="35"/>
  <c r="D54" i="35"/>
  <c r="O24" i="35" l="1"/>
  <c r="K24" i="35"/>
  <c r="L24" i="35"/>
  <c r="Q24" i="35"/>
  <c r="N24" i="35"/>
  <c r="I24" i="35"/>
  <c r="H24" i="35"/>
  <c r="G24" i="35"/>
  <c r="R24" i="35"/>
  <c r="J24" i="35"/>
  <c r="M24" i="35"/>
  <c r="P24" i="35"/>
  <c r="F24" i="35"/>
  <c r="I55" i="35" l="1"/>
  <c r="I59" i="35" s="1"/>
  <c r="I65" i="35" s="1"/>
  <c r="P55" i="35"/>
  <c r="P59" i="35" s="1"/>
  <c r="P65" i="35" s="1"/>
  <c r="M55" i="35"/>
  <c r="M59" i="35" s="1"/>
  <c r="M65" i="35" s="1"/>
  <c r="Q55" i="35"/>
  <c r="Q59" i="35" s="1"/>
  <c r="Q65" i="35" s="1"/>
  <c r="R55" i="35"/>
  <c r="R59" i="35" s="1"/>
  <c r="R65" i="35" s="1"/>
  <c r="T24" i="35"/>
  <c r="U24" i="35" s="1"/>
  <c r="J55" i="35"/>
  <c r="J59" i="35" s="1"/>
  <c r="J65" i="35" s="1"/>
  <c r="F55" i="35"/>
  <c r="F59" i="35" s="1"/>
  <c r="G55" i="35"/>
  <c r="G59" i="35" s="1"/>
  <c r="G65" i="35" s="1"/>
  <c r="K55" i="35"/>
  <c r="K59" i="35" s="1"/>
  <c r="K65" i="35" s="1"/>
  <c r="H55" i="35"/>
  <c r="H59" i="35" s="1"/>
  <c r="H65" i="35" s="1"/>
  <c r="O55" i="35"/>
  <c r="O59" i="35" s="1"/>
  <c r="O65" i="35" s="1"/>
  <c r="N55" i="35"/>
  <c r="N59" i="35" s="1"/>
  <c r="N65" i="35" s="1"/>
  <c r="L55" i="35"/>
  <c r="L59" i="35" s="1"/>
  <c r="L65" i="35" s="1"/>
  <c r="F65" i="35" l="1"/>
  <c r="D59" i="35"/>
  <c r="D55" i="35"/>
  <c r="C10" i="35" l="1"/>
  <c r="U26" i="35" l="1"/>
  <c r="P31" i="35" l="1"/>
  <c r="O31" i="35"/>
  <c r="K31" i="35"/>
  <c r="R31" i="35"/>
  <c r="G31" i="35"/>
  <c r="L31" i="35"/>
  <c r="H31" i="35"/>
  <c r="M31" i="35"/>
  <c r="J31" i="35"/>
  <c r="F31" i="35"/>
  <c r="Q31" i="35"/>
  <c r="N31" i="35"/>
  <c r="I31" i="35"/>
  <c r="C12" i="35" l="1"/>
  <c r="T31" i="35"/>
  <c r="U31" i="35" s="1"/>
  <c r="R34" i="35" l="1"/>
  <c r="R28" i="35"/>
  <c r="R32" i="35"/>
  <c r="H28" i="35" l="1"/>
  <c r="H32" i="35"/>
  <c r="H34" i="35"/>
  <c r="O32" i="35"/>
  <c r="O34" i="35"/>
  <c r="O28" i="35"/>
  <c r="K28" i="35"/>
  <c r="K32" i="35"/>
  <c r="K34" i="35"/>
  <c r="N34" i="35"/>
  <c r="N28" i="35"/>
  <c r="N32" i="35"/>
  <c r="Q28" i="35"/>
  <c r="Q34" i="35"/>
  <c r="Q32" i="35"/>
  <c r="L34" i="35"/>
  <c r="L32" i="35"/>
  <c r="L28" i="35"/>
  <c r="M32" i="35"/>
  <c r="M34" i="35"/>
  <c r="M28" i="35"/>
  <c r="F32" i="35"/>
  <c r="C11" i="35"/>
  <c r="F34" i="35"/>
  <c r="F28" i="35"/>
  <c r="G34" i="35"/>
  <c r="G28" i="35"/>
  <c r="G32" i="35"/>
  <c r="J32" i="35"/>
  <c r="J28" i="35"/>
  <c r="J34" i="35"/>
  <c r="I34" i="35"/>
  <c r="I28" i="35"/>
  <c r="I32" i="35"/>
  <c r="P34" i="35"/>
  <c r="P32" i="35"/>
  <c r="P28" i="35"/>
  <c r="T34" i="35" l="1"/>
  <c r="U34" i="35" s="1"/>
  <c r="T32" i="35"/>
  <c r="U32" i="35" s="1"/>
  <c r="T28" i="35"/>
  <c r="U28" i="35" s="1"/>
  <c r="C14" i="35" l="1"/>
  <c r="C15" i="35" l="1"/>
  <c r="C13" i="35" l="1"/>
  <c r="G35" i="35" l="1"/>
  <c r="L39" i="35"/>
  <c r="M33" i="35"/>
  <c r="O39" i="35"/>
  <c r="N39" i="35"/>
  <c r="L33" i="35"/>
  <c r="J40" i="35"/>
  <c r="N33" i="35"/>
  <c r="L38" i="35"/>
  <c r="R39" i="35"/>
  <c r="P38" i="35"/>
  <c r="P40" i="35"/>
  <c r="H33" i="35"/>
  <c r="P39" i="35"/>
  <c r="H39" i="35"/>
  <c r="N38" i="35"/>
  <c r="R33" i="35"/>
  <c r="P33" i="35"/>
  <c r="O40" i="35"/>
  <c r="I39" i="35"/>
  <c r="L40" i="35"/>
  <c r="M38" i="35"/>
  <c r="J38" i="35"/>
  <c r="M35" i="35"/>
  <c r="O38" i="35"/>
  <c r="I40" i="35"/>
  <c r="G38" i="35"/>
  <c r="H38" i="35"/>
  <c r="J35" i="35"/>
  <c r="G40" i="35"/>
  <c r="H35" i="35"/>
  <c r="R40" i="35"/>
  <c r="R35" i="35"/>
  <c r="J33" i="35"/>
  <c r="I38" i="35"/>
  <c r="R38" i="35"/>
  <c r="O35" i="35"/>
  <c r="M39" i="35"/>
  <c r="N40" i="35"/>
  <c r="K35" i="35"/>
  <c r="H40" i="35"/>
  <c r="J39" i="35"/>
  <c r="K33" i="35"/>
  <c r="G33" i="35"/>
  <c r="N35" i="35"/>
  <c r="G39" i="35"/>
  <c r="P35" i="35"/>
  <c r="K38" i="35"/>
  <c r="I35" i="35"/>
  <c r="K39" i="35"/>
  <c r="K40" i="35"/>
  <c r="L35" i="35"/>
  <c r="O33" i="35"/>
  <c r="I33" i="35"/>
  <c r="M40" i="35"/>
  <c r="F33" i="35"/>
  <c r="F39" i="35"/>
  <c r="F38" i="35"/>
  <c r="F35" i="35"/>
  <c r="F40" i="35"/>
  <c r="G29" i="35"/>
  <c r="I29" i="35"/>
  <c r="P29" i="35"/>
  <c r="M29" i="35"/>
  <c r="H29" i="35"/>
  <c r="L29" i="35"/>
  <c r="R29" i="35"/>
  <c r="N29" i="35"/>
  <c r="J29" i="35"/>
  <c r="F29" i="35"/>
  <c r="O29" i="35"/>
  <c r="K29" i="35"/>
  <c r="Q39" i="35"/>
  <c r="Q29" i="35"/>
  <c r="Q38" i="35"/>
  <c r="Q35" i="35"/>
  <c r="Q33" i="35"/>
  <c r="Q40" i="35"/>
  <c r="T35" i="35" l="1"/>
  <c r="U35" i="35" s="1"/>
  <c r="O45" i="35"/>
  <c r="O47" i="35" s="1"/>
  <c r="O49" i="35"/>
  <c r="R45" i="35"/>
  <c r="R47" i="35" s="1"/>
  <c r="R49" i="35"/>
  <c r="P45" i="35"/>
  <c r="P47" i="35" s="1"/>
  <c r="P49" i="35"/>
  <c r="L45" i="35"/>
  <c r="L47" i="35" s="1"/>
  <c r="L49" i="35"/>
  <c r="I45" i="35"/>
  <c r="I47" i="35" s="1"/>
  <c r="I49" i="35"/>
  <c r="Q45" i="35"/>
  <c r="Q47" i="35" s="1"/>
  <c r="Q49" i="35"/>
  <c r="K45" i="35"/>
  <c r="K47" i="35" s="1"/>
  <c r="K49" i="35"/>
  <c r="N45" i="35"/>
  <c r="N47" i="35" s="1"/>
  <c r="N49" i="35"/>
  <c r="M45" i="35"/>
  <c r="M47" i="35" s="1"/>
  <c r="M49" i="35"/>
  <c r="T40" i="35"/>
  <c r="U40" i="35" s="1"/>
  <c r="T33" i="35"/>
  <c r="U33" i="35" s="1"/>
  <c r="F45" i="35"/>
  <c r="T29" i="35"/>
  <c r="U29" i="35" s="1"/>
  <c r="F49" i="35"/>
  <c r="T38" i="35"/>
  <c r="U38" i="35" s="1"/>
  <c r="J45" i="35"/>
  <c r="J47" i="35" s="1"/>
  <c r="J49" i="35"/>
  <c r="H45" i="35"/>
  <c r="H47" i="35" s="1"/>
  <c r="H49" i="35"/>
  <c r="G45" i="35"/>
  <c r="G47" i="35" s="1"/>
  <c r="G49" i="35"/>
  <c r="T39" i="35"/>
  <c r="U39" i="35" s="1"/>
  <c r="G50" i="35" l="1"/>
  <c r="G57" i="35" s="1"/>
  <c r="G62" i="35" s="1"/>
  <c r="G51" i="35"/>
  <c r="G58" i="35" s="1"/>
  <c r="G63" i="35" s="1"/>
  <c r="H50" i="35"/>
  <c r="H57" i="35" s="1"/>
  <c r="H62" i="35" s="1"/>
  <c r="H51" i="35"/>
  <c r="H58" i="35" s="1"/>
  <c r="H63" i="35" s="1"/>
  <c r="D49" i="35"/>
  <c r="F51" i="35"/>
  <c r="F50" i="35"/>
  <c r="M50" i="35"/>
  <c r="M57" i="35" s="1"/>
  <c r="M62" i="35" s="1"/>
  <c r="M51" i="35"/>
  <c r="M58" i="35" s="1"/>
  <c r="M64" i="35" s="1"/>
  <c r="K51" i="35"/>
  <c r="K58" i="35" s="1"/>
  <c r="K64" i="35" s="1"/>
  <c r="K50" i="35"/>
  <c r="K57" i="35" s="1"/>
  <c r="K62" i="35" s="1"/>
  <c r="I50" i="35"/>
  <c r="I57" i="35" s="1"/>
  <c r="I62" i="35" s="1"/>
  <c r="I51" i="35"/>
  <c r="I58" i="35" s="1"/>
  <c r="I63" i="35" s="1"/>
  <c r="R51" i="35"/>
  <c r="F71" i="35" s="1"/>
  <c r="H71" i="35" s="1"/>
  <c r="R50" i="35"/>
  <c r="R57" i="35" s="1"/>
  <c r="R62" i="35" s="1"/>
  <c r="J51" i="35"/>
  <c r="J58" i="35" s="1"/>
  <c r="J63" i="35" s="1"/>
  <c r="J50" i="35"/>
  <c r="J57" i="35" s="1"/>
  <c r="J62" i="35" s="1"/>
  <c r="C45" i="35"/>
  <c r="F47" i="35"/>
  <c r="D47" i="35" s="1"/>
  <c r="D45" i="35" s="1"/>
  <c r="N51" i="35"/>
  <c r="N58" i="35" s="1"/>
  <c r="N63" i="35" s="1"/>
  <c r="N50" i="35"/>
  <c r="N57" i="35" s="1"/>
  <c r="N62" i="35" s="1"/>
  <c r="Q51" i="35"/>
  <c r="Q58" i="35" s="1"/>
  <c r="Q64" i="35" s="1"/>
  <c r="Q50" i="35"/>
  <c r="Q57" i="35" s="1"/>
  <c r="Q62" i="35" s="1"/>
  <c r="L51" i="35"/>
  <c r="L58" i="35" s="1"/>
  <c r="L63" i="35" s="1"/>
  <c r="L50" i="35"/>
  <c r="L57" i="35" s="1"/>
  <c r="L62" i="35" s="1"/>
  <c r="P51" i="35"/>
  <c r="P58" i="35" s="1"/>
  <c r="P63" i="35" s="1"/>
  <c r="P50" i="35"/>
  <c r="P57" i="35" s="1"/>
  <c r="P62" i="35" s="1"/>
  <c r="O50" i="35"/>
  <c r="O57" i="35" s="1"/>
  <c r="O62" i="35" s="1"/>
  <c r="O51" i="35"/>
  <c r="O58" i="35" s="1"/>
  <c r="O63" i="35" s="1"/>
  <c r="F58" i="35" l="1"/>
  <c r="F63" i="35" s="1"/>
  <c r="D51" i="35"/>
  <c r="R58" i="35"/>
  <c r="D50" i="35"/>
  <c r="F57" i="35"/>
  <c r="F62" i="35" s="1"/>
  <c r="F73" i="35" l="1"/>
  <c r="D57" i="35"/>
  <c r="D58" i="35"/>
</calcChain>
</file>

<file path=xl/comments1.xml><?xml version="1.0" encoding="utf-8"?>
<comments xmlns="http://schemas.openxmlformats.org/spreadsheetml/2006/main">
  <authors>
    <author>Yun(Eva) Gao</author>
    <author>Clement Li</author>
  </authors>
  <commentList>
    <comment ref="C24" authorId="0">
      <text>
        <r>
          <rPr>
            <sz val="8"/>
            <color indexed="81"/>
            <rFont val="Tahoma"/>
            <family val="2"/>
          </rPr>
          <t>As per Clement we decided not to dispose GA balance</t>
        </r>
      </text>
    </comment>
    <comment ref="B34" authorId="1">
      <text>
        <r>
          <rPr>
            <b/>
            <sz val="8"/>
            <color indexed="81"/>
            <rFont val="Tahoma"/>
            <family val="2"/>
          </rPr>
          <t>Clement Li:</t>
        </r>
        <r>
          <rPr>
            <sz val="8"/>
            <color indexed="81"/>
            <rFont val="Tahoma"/>
            <family val="2"/>
          </rPr>
          <t xml:space="preserve">
Regulatory asset balance 2015 - 2017 (1595)</t>
        </r>
      </text>
    </comment>
    <comment ref="B36" authorId="1">
      <text>
        <r>
          <rPr>
            <b/>
            <sz val="8"/>
            <color indexed="81"/>
            <rFont val="Tahoma"/>
            <family val="2"/>
          </rPr>
          <t>Clement Li:</t>
        </r>
        <r>
          <rPr>
            <sz val="8"/>
            <color indexed="81"/>
            <rFont val="Tahoma"/>
            <family val="2"/>
          </rPr>
          <t xml:space="preserve">
Regulatory asset balance 2015 - 2017 (1595)</t>
        </r>
      </text>
    </comment>
  </commentList>
</comments>
</file>

<file path=xl/sharedStrings.xml><?xml version="1.0" encoding="utf-8"?>
<sst xmlns="http://schemas.openxmlformats.org/spreadsheetml/2006/main" count="140" uniqueCount="89">
  <si>
    <t>OM&amp;A</t>
  </si>
  <si>
    <t>UR</t>
  </si>
  <si>
    <t>R1</t>
  </si>
  <si>
    <t>R2</t>
  </si>
  <si>
    <t>Seasonal</t>
  </si>
  <si>
    <t>GSe</t>
  </si>
  <si>
    <t>GSd</t>
  </si>
  <si>
    <t>Dgen</t>
  </si>
  <si>
    <t>ST</t>
  </si>
  <si>
    <t>St Lgt</t>
  </si>
  <si>
    <t>Sen Lgt</t>
  </si>
  <si>
    <t>UGe</t>
  </si>
  <si>
    <t>UGd</t>
  </si>
  <si>
    <t>Billing kWs</t>
  </si>
  <si>
    <t>Allocator</t>
  </si>
  <si>
    <t>Total Regulatory Assets for Approval</t>
  </si>
  <si>
    <t xml:space="preserve"> </t>
  </si>
  <si>
    <t>USL</t>
  </si>
  <si>
    <t>kWh</t>
  </si>
  <si>
    <t>NFA</t>
  </si>
  <si>
    <t>Number of customers</t>
  </si>
  <si>
    <t>kWh Exc WMP</t>
  </si>
  <si>
    <t xml:space="preserve">kWh </t>
  </si>
  <si>
    <t>kWh excl WMP</t>
  </si>
  <si>
    <t>Total</t>
  </si>
  <si>
    <t>check</t>
  </si>
  <si>
    <t>Rider ($/kW)</t>
  </si>
  <si>
    <t>Number of Customers</t>
  </si>
  <si>
    <t>Allocators</t>
  </si>
  <si>
    <t>Value</t>
  </si>
  <si>
    <t>Source</t>
  </si>
  <si>
    <t>Recovery per year</t>
  </si>
  <si>
    <t>Rider Development</t>
  </si>
  <si>
    <t xml:space="preserve">Fixed Revenue Requirement </t>
  </si>
  <si>
    <t xml:space="preserve">Volumetric Revenue Requirement </t>
  </si>
  <si>
    <t>Final Rate Rider Amounts</t>
  </si>
  <si>
    <t>Volumetric Rider-GA</t>
  </si>
  <si>
    <t>Volumetric Rider-General (kWh)</t>
  </si>
  <si>
    <t>Volumetric Rider-General (kW)</t>
  </si>
  <si>
    <t>*see ST rider derivation below</t>
  </si>
  <si>
    <t>Monthly Fixed Rider</t>
  </si>
  <si>
    <t>ST Volumetric Rider Derivation</t>
  </si>
  <si>
    <t>Revenue From Rates</t>
  </si>
  <si>
    <t>Excluding WMP (Rider revenue for RSVA Wholesale Market Service Charge)</t>
  </si>
  <si>
    <t xml:space="preserve">General (All volumetric rider revenue excluding RSVA-Wholesale Market Servcie Charge) </t>
  </si>
  <si>
    <t>Rider Revenue ($)</t>
  </si>
  <si>
    <t>Charge Determinant (kW)</t>
  </si>
  <si>
    <t>Number of customers excluding unmetered</t>
  </si>
  <si>
    <t xml:space="preserve">Volumetric GA Rider Revenue Account (Row 20) </t>
  </si>
  <si>
    <t xml:space="preserve">GA RIDER REVENUE (ROW 49) </t>
  </si>
  <si>
    <t>2018 Load Forecast</t>
  </si>
  <si>
    <t>2018 Cost Allocation Model: E2 Allocators sheet</t>
  </si>
  <si>
    <t>RSVA - Wholesale Market Service Charge</t>
  </si>
  <si>
    <t>RSVA - Retail Transmission Network Charge</t>
  </si>
  <si>
    <t>RSVA - Retail Transmission Connection Charge</t>
  </si>
  <si>
    <t>LV Variance Account</t>
  </si>
  <si>
    <t>RSVA - Power - Sub-Account - Global Adjustment</t>
  </si>
  <si>
    <t>RSVA - Power - Sub-Account -Power</t>
  </si>
  <si>
    <t xml:space="preserve">RCVA </t>
  </si>
  <si>
    <t>Pension Cost Differential Account</t>
  </si>
  <si>
    <t>Microfit Connection Charge Variance Account</t>
  </si>
  <si>
    <t>Tax Rate Changes Account</t>
  </si>
  <si>
    <t>OEB Cost Differential Account</t>
  </si>
  <si>
    <t>DSC Exemption Deferral Account</t>
  </si>
  <si>
    <t>kWh for Non WMP, Non-RPP, Non-LDC, and Class B customers</t>
  </si>
  <si>
    <t>Revenue Requirement Share</t>
  </si>
  <si>
    <t>Recovery Period: Years</t>
  </si>
  <si>
    <t>DG - Other Costs - HONI - Variance Account</t>
  </si>
  <si>
    <t>Smart Grid Variance Account</t>
  </si>
  <si>
    <t>Smart Meter Entity Charge Variance Account</t>
  </si>
  <si>
    <t>Bill Impact Mitigation Variance Account</t>
  </si>
  <si>
    <t>Revenue Offset Difference Account - Pole Attachment Charge</t>
  </si>
  <si>
    <t>leave as placeholder</t>
  </si>
  <si>
    <t>Determination of Deferral/Variance Account Rate Rider Amounts by Rate Class (2018-2022)</t>
  </si>
  <si>
    <t>RSVA - Wholesale Market Service Charge - Class B</t>
  </si>
  <si>
    <t>kWh excl WMP Class B customers</t>
  </si>
  <si>
    <t>Volumetric Rider-Non WMP Class B (kWh/kW)</t>
  </si>
  <si>
    <t>Number of customers (Res, GSe, UGe)</t>
  </si>
  <si>
    <t>Amount to be  collected/refunded (Forecast Balance as at Dec 31, 2017)</t>
  </si>
  <si>
    <t>DG - Express Feeders - HONI - Variance Account</t>
  </si>
  <si>
    <t xml:space="preserve">Fixed and Volumetric Rider Revenue Def/Var Accounts (Rows 22, 23, 24, 25, 26, 27, 28, 30, 31, 32) </t>
  </si>
  <si>
    <t xml:space="preserve">Fixed Portion (Row41*(Row9 / (Row9+10))) </t>
  </si>
  <si>
    <t xml:space="preserve">Volumetric Portion (Row41*(Row10 / (Row9+10))) </t>
  </si>
  <si>
    <t xml:space="preserve">Fixed Rider Revenue Def/Var Accounts (Rows 21, 29) </t>
  </si>
  <si>
    <t xml:space="preserve">Volumetric Rider Revenue Def/Var Accounts (Rows 15, 16, 17, 18, 19) </t>
  </si>
  <si>
    <t xml:space="preserve">Volumetric WMSC Class B Rider Revenue Account (Row 20) </t>
  </si>
  <si>
    <t xml:space="preserve">TOTAL FIXED RIDER REVENUE                                                   
 (ROWS 42+45) </t>
  </si>
  <si>
    <t xml:space="preserve">TOTAL VOLUMETRIC RIDER REVENUE (ROWS 43+46) </t>
  </si>
  <si>
    <t xml:space="preserve">RSVA WMSC CLASS B RIDER REVENUE (ROW 47)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</si>
</sst>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_);_(* \(#,##0.0\);_(* &quot;-&quot;??_);_(@_)"/>
    <numFmt numFmtId="166" formatCode="_(* #,##0_);_(* \(#,##0\);_(* &quot;-&quot;??_);_(@_)"/>
    <numFmt numFmtId="167" formatCode="#,##0.000"/>
    <numFmt numFmtId="168" formatCode="#,##0.0_);\(#,##0.0\)"/>
    <numFmt numFmtId="169" formatCode="_(&quot;$&quot;* #,##0_);_(&quot;$&quot;* \(#,##0\);_(&quot;$&quot;* &quot;-&quot;??_);_(@_)"/>
    <numFmt numFmtId="170" formatCode="#,##0.00000_);\(#,##0.00000\)"/>
    <numFmt numFmtId="171" formatCode="0.0\x"/>
    <numFmt numFmtId="172" formatCode="#,##0.000_);\(#,##0.000\)"/>
    <numFmt numFmtId="173" formatCode="0.00\x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;&quot;\&quot;&quot;\&quot;&quot;\&quot;&quot;\&quot;\(#,##0&quot;\&quot;&quot;\&quot;&quot;\&quot;&quot;\&quot;\)"/>
    <numFmt numFmtId="177" formatCode="_(* #,##0.000_);_(* \(#,##0.000\);_(* &quot;-&quot;??_);_(@_)"/>
    <numFmt numFmtId="178" formatCode="_(* #,##0.0000_);_(* \(#,##0.0000\);_(* &quot;-&quot;??_);_(@_)"/>
    <numFmt numFmtId="179" formatCode="#,##0.0000_);\(#,##0.0000\)"/>
    <numFmt numFmtId="180" formatCode="&quot;$&quot;#,##0"/>
    <numFmt numFmtId="181" formatCode="0.000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u val="singleAccounting"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44">
    <xf numFmtId="0" fontId="0" fillId="0" borderId="0"/>
    <xf numFmtId="0" fontId="1" fillId="0" borderId="0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169" fontId="5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43" fontId="1" fillId="0" borderId="0" applyFont="0" applyFill="0" applyBorder="0" applyAlignment="0" applyProtection="0"/>
    <xf numFmtId="176" fontId="11" fillId="0" borderId="0"/>
    <xf numFmtId="44" fontId="1" fillId="0" borderId="0" applyFont="0" applyFill="0" applyBorder="0" applyAlignment="0" applyProtection="0"/>
    <xf numFmtId="174" fontId="11" fillId="0" borderId="0"/>
    <xf numFmtId="175" fontId="11" fillId="0" borderId="0"/>
    <xf numFmtId="38" fontId="6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6" fillId="3" borderId="3" applyNumberFormat="0" applyBorder="0" applyAlignment="0" applyProtection="0"/>
    <xf numFmtId="164" fontId="5" fillId="0" borderId="0"/>
    <xf numFmtId="167" fontId="1" fillId="0" borderId="0"/>
    <xf numFmtId="0" fontId="1" fillId="0" borderId="0"/>
    <xf numFmtId="7" fontId="7" fillId="0" borderId="0"/>
    <xf numFmtId="37" fontId="8" fillId="4" borderId="0">
      <alignment horizontal="right"/>
    </xf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1" fillId="0" borderId="0"/>
    <xf numFmtId="173" fontId="1" fillId="0" borderId="0"/>
    <xf numFmtId="173" fontId="1" fillId="0" borderId="0"/>
    <xf numFmtId="173" fontId="1" fillId="0" borderId="0"/>
    <xf numFmtId="0" fontId="1" fillId="0" borderId="0"/>
  </cellStyleXfs>
  <cellXfs count="190">
    <xf numFmtId="0" fontId="0" fillId="0" borderId="0" xfId="0"/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/>
    <xf numFmtId="43" fontId="12" fillId="0" borderId="0" xfId="0" applyNumberFormat="1" applyFont="1"/>
    <xf numFmtId="166" fontId="12" fillId="0" borderId="0" xfId="17" applyNumberFormat="1" applyFont="1"/>
    <xf numFmtId="166" fontId="12" fillId="0" borderId="0" xfId="0" applyNumberFormat="1" applyFont="1"/>
    <xf numFmtId="43" fontId="12" fillId="0" borderId="0" xfId="17" applyNumberFormat="1" applyFont="1"/>
    <xf numFmtId="0" fontId="12" fillId="0" borderId="5" xfId="0" applyFont="1" applyBorder="1"/>
    <xf numFmtId="0" fontId="12" fillId="0" borderId="0" xfId="0" applyFont="1" applyBorder="1"/>
    <xf numFmtId="43" fontId="12" fillId="0" borderId="0" xfId="17" applyNumberFormat="1" applyFont="1" applyBorder="1"/>
    <xf numFmtId="43" fontId="12" fillId="0" borderId="6" xfId="17" applyNumberFormat="1" applyFont="1" applyBorder="1"/>
    <xf numFmtId="0" fontId="12" fillId="0" borderId="4" xfId="0" applyFont="1" applyBorder="1"/>
    <xf numFmtId="0" fontId="2" fillId="0" borderId="1" xfId="0" applyFont="1" applyBorder="1" applyAlignment="1">
      <alignment horizontal="center" vertical="center"/>
    </xf>
    <xf numFmtId="166" fontId="2" fillId="0" borderId="1" xfId="17" applyNumberFormat="1" applyFont="1" applyBorder="1" applyAlignment="1">
      <alignment horizontal="center" vertical="center" wrapText="1"/>
    </xf>
    <xf numFmtId="166" fontId="2" fillId="0" borderId="13" xfId="17" applyNumberFormat="1" applyFont="1" applyBorder="1" applyAlignment="1">
      <alignment horizontal="center" vertical="center"/>
    </xf>
    <xf numFmtId="166" fontId="12" fillId="0" borderId="0" xfId="17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169" fontId="2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169" fontId="2" fillId="6" borderId="0" xfId="19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66" fontId="12" fillId="0" borderId="8" xfId="17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3" fontId="12" fillId="0" borderId="0" xfId="17" applyFont="1" applyAlignment="1">
      <alignment vertical="center"/>
    </xf>
    <xf numFmtId="43" fontId="12" fillId="0" borderId="0" xfId="17" applyFont="1" applyFill="1" applyAlignment="1">
      <alignment vertical="center"/>
    </xf>
    <xf numFmtId="9" fontId="12" fillId="0" borderId="0" xfId="3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/>
    </xf>
    <xf numFmtId="9" fontId="12" fillId="0" borderId="0" xfId="31" applyFont="1" applyFill="1" applyAlignment="1">
      <alignment vertical="center"/>
    </xf>
    <xf numFmtId="10" fontId="12" fillId="0" borderId="0" xfId="31" applyNumberFormat="1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5" fontId="12" fillId="0" borderId="8" xfId="19" applyNumberFormat="1" applyFont="1" applyFill="1" applyBorder="1" applyAlignment="1">
      <alignment vertical="center"/>
    </xf>
    <xf numFmtId="5" fontId="12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5" fontId="12" fillId="0" borderId="0" xfId="19" applyNumberFormat="1" applyFont="1" applyFill="1" applyBorder="1" applyAlignment="1">
      <alignment vertical="center"/>
    </xf>
    <xf numFmtId="44" fontId="12" fillId="0" borderId="0" xfId="19" applyFont="1" applyFill="1" applyBorder="1" applyAlignment="1">
      <alignment vertical="center"/>
    </xf>
    <xf numFmtId="43" fontId="12" fillId="0" borderId="0" xfId="0" applyNumberFormat="1" applyFont="1" applyFill="1" applyAlignment="1">
      <alignment vertical="center"/>
    </xf>
    <xf numFmtId="169" fontId="13" fillId="0" borderId="0" xfId="19" applyNumberFormat="1" applyFont="1" applyFill="1" applyBorder="1" applyAlignment="1">
      <alignment vertical="center"/>
    </xf>
    <xf numFmtId="43" fontId="12" fillId="0" borderId="0" xfId="0" applyNumberFormat="1" applyFont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43" fontId="12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" fillId="6" borderId="5" xfId="0" applyFont="1" applyFill="1" applyBorder="1" applyAlignment="1">
      <alignment horizontal="right" vertical="center"/>
    </xf>
    <xf numFmtId="169" fontId="2" fillId="6" borderId="12" xfId="0" applyNumberFormat="1" applyFont="1" applyFill="1" applyBorder="1" applyAlignment="1">
      <alignment horizontal="center" vertical="center"/>
    </xf>
    <xf numFmtId="169" fontId="2" fillId="6" borderId="13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169" fontId="12" fillId="6" borderId="0" xfId="19" applyNumberFormat="1" applyFont="1" applyFill="1" applyBorder="1" applyAlignment="1">
      <alignment vertical="center"/>
    </xf>
    <xf numFmtId="169" fontId="12" fillId="6" borderId="0" xfId="0" applyNumberFormat="1" applyFont="1" applyFill="1" applyBorder="1" applyAlignment="1">
      <alignment vertical="center"/>
    </xf>
    <xf numFmtId="169" fontId="1" fillId="6" borderId="0" xfId="19" applyNumberFormat="1" applyFont="1" applyFill="1" applyBorder="1" applyAlignment="1">
      <alignment vertical="center" wrapText="1"/>
    </xf>
    <xf numFmtId="169" fontId="1" fillId="6" borderId="0" xfId="19" applyNumberFormat="1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169" fontId="12" fillId="6" borderId="4" xfId="19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7" xfId="0" applyFont="1" applyFill="1" applyBorder="1" applyAlignment="1">
      <alignment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5" fontId="12" fillId="0" borderId="0" xfId="17" applyNumberFormat="1" applyFont="1" applyFill="1" applyBorder="1" applyAlignment="1">
      <alignment vertical="center"/>
    </xf>
    <xf numFmtId="3" fontId="12" fillId="0" borderId="0" xfId="0" applyNumberFormat="1" applyFont="1" applyAlignment="1">
      <alignment horizontal="center"/>
    </xf>
    <xf numFmtId="10" fontId="12" fillId="0" borderId="0" xfId="31" applyNumberFormat="1" applyFont="1" applyFill="1" applyBorder="1" applyAlignment="1">
      <alignment horizontal="right" vertical="center"/>
    </xf>
    <xf numFmtId="180" fontId="12" fillId="0" borderId="0" xfId="31" applyNumberFormat="1" applyFont="1" applyFill="1" applyBorder="1" applyAlignment="1">
      <alignment horizontal="right" vertical="center"/>
    </xf>
    <xf numFmtId="166" fontId="12" fillId="0" borderId="8" xfId="17" applyNumberFormat="1" applyFont="1" applyFill="1" applyBorder="1" applyAlignment="1">
      <alignment horizontal="right" vertical="center"/>
    </xf>
    <xf numFmtId="166" fontId="12" fillId="0" borderId="0" xfId="17" applyNumberFormat="1" applyFont="1" applyFill="1" applyBorder="1" applyAlignment="1">
      <alignment horizontal="right" vertical="center"/>
    </xf>
    <xf numFmtId="43" fontId="1" fillId="0" borderId="0" xfId="17" applyFont="1" applyFill="1" applyBorder="1" applyAlignment="1">
      <alignment vertical="center"/>
    </xf>
    <xf numFmtId="0" fontId="2" fillId="8" borderId="10" xfId="0" applyFont="1" applyFill="1" applyBorder="1" applyAlignment="1">
      <alignment horizontal="center" vertical="center"/>
    </xf>
    <xf numFmtId="44" fontId="2" fillId="6" borderId="0" xfId="19" applyNumberFormat="1" applyFont="1" applyFill="1" applyBorder="1" applyAlignment="1">
      <alignment vertical="center"/>
    </xf>
    <xf numFmtId="0" fontId="1" fillId="10" borderId="0" xfId="0" applyFont="1" applyFill="1" applyBorder="1" applyAlignment="1">
      <alignment vertical="center"/>
    </xf>
    <xf numFmtId="43" fontId="1" fillId="10" borderId="0" xfId="17" applyFont="1" applyFill="1" applyBorder="1" applyAlignment="1">
      <alignment vertical="center"/>
    </xf>
    <xf numFmtId="0" fontId="12" fillId="10" borderId="0" xfId="0" applyFont="1" applyFill="1" applyBorder="1" applyAlignment="1">
      <alignment vertical="center"/>
    </xf>
    <xf numFmtId="5" fontId="12" fillId="10" borderId="0" xfId="19" applyNumberFormat="1" applyFont="1" applyFill="1" applyBorder="1" applyAlignment="1">
      <alignment vertical="center"/>
    </xf>
    <xf numFmtId="5" fontId="12" fillId="10" borderId="0" xfId="0" applyNumberFormat="1" applyFont="1" applyFill="1" applyAlignment="1">
      <alignment vertical="center"/>
    </xf>
    <xf numFmtId="169" fontId="12" fillId="10" borderId="0" xfId="0" applyNumberFormat="1" applyFont="1" applyFill="1" applyAlignment="1">
      <alignment vertical="center"/>
    </xf>
    <xf numFmtId="43" fontId="12" fillId="10" borderId="0" xfId="0" applyNumberFormat="1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" fillId="10" borderId="5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6" fontId="1" fillId="11" borderId="4" xfId="17" applyNumberFormat="1" applyFont="1" applyFill="1" applyBorder="1" applyAlignment="1">
      <alignment vertical="center"/>
    </xf>
    <xf numFmtId="180" fontId="1" fillId="11" borderId="0" xfId="31" applyNumberFormat="1" applyFont="1" applyFill="1" applyBorder="1" applyAlignment="1">
      <alignment horizontal="right" vertical="center"/>
    </xf>
    <xf numFmtId="5" fontId="1" fillId="11" borderId="0" xfId="19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12" fillId="0" borderId="0" xfId="0" applyNumberFormat="1" applyFont="1" applyFill="1" applyBorder="1" applyAlignment="1">
      <alignment vertical="center"/>
    </xf>
    <xf numFmtId="3" fontId="12" fillId="0" borderId="4" xfId="31" applyNumberFormat="1" applyFont="1" applyFill="1" applyBorder="1" applyAlignment="1">
      <alignment horizontal="right" vertical="center"/>
    </xf>
    <xf numFmtId="0" fontId="5" fillId="9" borderId="5" xfId="0" applyFont="1" applyFill="1" applyBorder="1" applyAlignment="1">
      <alignment vertical="center"/>
    </xf>
    <xf numFmtId="170" fontId="2" fillId="2" borderId="4" xfId="0" applyNumberFormat="1" applyFont="1" applyFill="1" applyBorder="1" applyAlignment="1">
      <alignment horizontal="center" vertical="center"/>
    </xf>
    <xf numFmtId="0" fontId="1" fillId="0" borderId="5" xfId="0" quotePrefix="1" applyFont="1" applyFill="1" applyBorder="1" applyAlignment="1">
      <alignment horizontal="left" vertical="center"/>
    </xf>
    <xf numFmtId="44" fontId="12" fillId="0" borderId="9" xfId="0" applyNumberFormat="1" applyFont="1" applyFill="1" applyBorder="1" applyAlignment="1">
      <alignment vertical="center"/>
    </xf>
    <xf numFmtId="44" fontId="12" fillId="0" borderId="6" xfId="0" applyNumberFormat="1" applyFont="1" applyFill="1" applyBorder="1" applyAlignment="1">
      <alignment vertical="center"/>
    </xf>
    <xf numFmtId="44" fontId="12" fillId="0" borderId="11" xfId="0" applyNumberFormat="1" applyFont="1" applyFill="1" applyBorder="1" applyAlignment="1">
      <alignment vertical="center"/>
    </xf>
    <xf numFmtId="169" fontId="1" fillId="6" borderId="0" xfId="19" quotePrefix="1" applyNumberFormat="1" applyFont="1" applyFill="1" applyBorder="1" applyAlignment="1">
      <alignment horizontal="left" vertical="center" wrapText="1"/>
    </xf>
    <xf numFmtId="172" fontId="2" fillId="2" borderId="0" xfId="0" applyNumberFormat="1" applyFont="1" applyFill="1" applyBorder="1" applyAlignment="1">
      <alignment horizontal="center" vertical="center"/>
    </xf>
    <xf numFmtId="169" fontId="1" fillId="6" borderId="0" xfId="19" quotePrefix="1" applyNumberFormat="1" applyFont="1" applyFill="1" applyBorder="1" applyAlignment="1">
      <alignment horizontal="left" vertical="center"/>
    </xf>
    <xf numFmtId="169" fontId="2" fillId="6" borderId="0" xfId="19" quotePrefix="1" applyNumberFormat="1" applyFont="1" applyFill="1" applyBorder="1" applyAlignment="1">
      <alignment horizontal="left" vertical="center" wrapText="1"/>
    </xf>
    <xf numFmtId="169" fontId="2" fillId="6" borderId="0" xfId="19" quotePrefix="1" applyNumberFormat="1" applyFont="1" applyFill="1" applyBorder="1" applyAlignment="1">
      <alignment horizontal="left" vertical="center"/>
    </xf>
    <xf numFmtId="181" fontId="12" fillId="11" borderId="6" xfId="0" applyNumberFormat="1" applyFont="1" applyFill="1" applyBorder="1" applyAlignment="1">
      <alignment horizontal="center" vertical="center"/>
    </xf>
    <xf numFmtId="181" fontId="12" fillId="11" borderId="11" xfId="0" applyNumberFormat="1" applyFont="1" applyFill="1" applyBorder="1" applyAlignment="1">
      <alignment horizontal="center" vertical="center"/>
    </xf>
    <xf numFmtId="170" fontId="2" fillId="7" borderId="0" xfId="0" applyNumberFormat="1" applyFont="1" applyFill="1" applyBorder="1" applyAlignment="1">
      <alignment horizontal="center" vertical="center"/>
    </xf>
    <xf numFmtId="179" fontId="2" fillId="7" borderId="0" xfId="0" applyNumberFormat="1" applyFont="1" applyFill="1" applyBorder="1" applyAlignment="1">
      <alignment vertical="center"/>
    </xf>
    <xf numFmtId="178" fontId="2" fillId="7" borderId="0" xfId="0" applyNumberFormat="1" applyFont="1" applyFill="1" applyBorder="1" applyAlignment="1">
      <alignment vertical="center"/>
    </xf>
    <xf numFmtId="166" fontId="2" fillId="7" borderId="0" xfId="0" applyNumberFormat="1" applyFont="1" applyFill="1" applyBorder="1" applyAlignment="1">
      <alignment vertical="center"/>
    </xf>
    <xf numFmtId="179" fontId="2" fillId="7" borderId="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66" fontId="12" fillId="0" borderId="14" xfId="17" applyNumberFormat="1" applyFont="1" applyFill="1" applyBorder="1" applyAlignment="1">
      <alignment horizontal="right" vertical="center"/>
    </xf>
    <xf numFmtId="166" fontId="12" fillId="0" borderId="15" xfId="17" applyNumberFormat="1" applyFont="1" applyFill="1" applyBorder="1" applyAlignment="1">
      <alignment horizontal="right" vertical="center"/>
    </xf>
    <xf numFmtId="10" fontId="12" fillId="0" borderId="15" xfId="31" applyNumberFormat="1" applyFont="1" applyFill="1" applyBorder="1" applyAlignment="1">
      <alignment horizontal="right" vertical="center"/>
    </xf>
    <xf numFmtId="180" fontId="12" fillId="0" borderId="15" xfId="31" applyNumberFormat="1" applyFont="1" applyFill="1" applyBorder="1" applyAlignment="1">
      <alignment horizontal="right" vertical="center"/>
    </xf>
    <xf numFmtId="3" fontId="12" fillId="0" borderId="16" xfId="31" applyNumberFormat="1" applyFont="1" applyFill="1" applyBorder="1" applyAlignment="1">
      <alignment horizontal="right" vertical="center"/>
    </xf>
    <xf numFmtId="10" fontId="12" fillId="0" borderId="15" xfId="31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5" fontId="12" fillId="0" borderId="14" xfId="19" applyNumberFormat="1" applyFont="1" applyFill="1" applyBorder="1" applyAlignment="1">
      <alignment vertical="center"/>
    </xf>
    <xf numFmtId="5" fontId="12" fillId="0" borderId="15" xfId="19" applyNumberFormat="1" applyFont="1" applyFill="1" applyBorder="1" applyAlignment="1">
      <alignment vertical="center"/>
    </xf>
    <xf numFmtId="5" fontId="1" fillId="11" borderId="15" xfId="19" applyNumberFormat="1" applyFont="1" applyFill="1" applyBorder="1" applyAlignment="1">
      <alignment vertical="center"/>
    </xf>
    <xf numFmtId="5" fontId="12" fillId="10" borderId="15" xfId="19" applyNumberFormat="1" applyFont="1" applyFill="1" applyBorder="1" applyAlignment="1">
      <alignment vertical="center"/>
    </xf>
    <xf numFmtId="44" fontId="12" fillId="0" borderId="15" xfId="19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169" fontId="12" fillId="0" borderId="15" xfId="0" applyNumberFormat="1" applyFont="1" applyFill="1" applyBorder="1" applyAlignment="1">
      <alignment vertical="center"/>
    </xf>
    <xf numFmtId="44" fontId="2" fillId="6" borderId="15" xfId="19" applyNumberFormat="1" applyFont="1" applyFill="1" applyBorder="1" applyAlignment="1">
      <alignment vertical="center"/>
    </xf>
    <xf numFmtId="169" fontId="12" fillId="6" borderId="15" xfId="19" applyNumberFormat="1" applyFont="1" applyFill="1" applyBorder="1" applyAlignment="1">
      <alignment vertical="center"/>
    </xf>
    <xf numFmtId="169" fontId="2" fillId="6" borderId="15" xfId="19" applyNumberFormat="1" applyFont="1" applyFill="1" applyBorder="1" applyAlignment="1">
      <alignment vertical="center"/>
    </xf>
    <xf numFmtId="169" fontId="12" fillId="6" borderId="16" xfId="19" applyNumberFormat="1" applyFont="1" applyFill="1" applyBorder="1" applyAlignment="1">
      <alignment vertical="center"/>
    </xf>
    <xf numFmtId="177" fontId="2" fillId="7" borderId="14" xfId="0" applyNumberFormat="1" applyFont="1" applyFill="1" applyBorder="1" applyAlignment="1">
      <alignment horizontal="center" vertical="center"/>
    </xf>
    <xf numFmtId="172" fontId="2" fillId="2" borderId="15" xfId="0" applyNumberFormat="1" applyFont="1" applyFill="1" applyBorder="1" applyAlignment="1">
      <alignment horizontal="center" vertical="center"/>
    </xf>
    <xf numFmtId="177" fontId="2" fillId="7" borderId="15" xfId="0" applyNumberFormat="1" applyFont="1" applyFill="1" applyBorder="1" applyAlignment="1">
      <alignment vertical="center"/>
    </xf>
    <xf numFmtId="177" fontId="2" fillId="7" borderId="15" xfId="0" applyNumberFormat="1" applyFont="1" applyFill="1" applyBorder="1" applyAlignment="1">
      <alignment horizontal="center" vertical="center" wrapText="1"/>
    </xf>
    <xf numFmtId="179" fontId="2" fillId="2" borderId="15" xfId="0" applyNumberFormat="1" applyFont="1" applyFill="1" applyBorder="1" applyAlignment="1">
      <alignment horizontal="center" vertical="center"/>
    </xf>
    <xf numFmtId="170" fontId="2" fillId="2" borderId="16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7" xfId="17" applyNumberFormat="1" applyFont="1" applyFill="1" applyBorder="1" applyAlignment="1">
      <alignment horizontal="right" vertical="center"/>
    </xf>
    <xf numFmtId="10" fontId="12" fillId="0" borderId="17" xfId="31" applyNumberFormat="1" applyFont="1" applyFill="1" applyBorder="1" applyAlignment="1">
      <alignment horizontal="right" vertical="center"/>
    </xf>
    <xf numFmtId="180" fontId="12" fillId="0" borderId="17" xfId="31" applyNumberFormat="1" applyFont="1" applyFill="1" applyBorder="1" applyAlignment="1">
      <alignment horizontal="right" vertical="center"/>
    </xf>
    <xf numFmtId="3" fontId="12" fillId="0" borderId="17" xfId="31" applyNumberFormat="1" applyFont="1" applyFill="1" applyBorder="1" applyAlignment="1">
      <alignment horizontal="right" vertical="center"/>
    </xf>
    <xf numFmtId="10" fontId="12" fillId="0" borderId="17" xfId="31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5" fontId="12" fillId="0" borderId="17" xfId="19" applyNumberFormat="1" applyFont="1" applyFill="1" applyBorder="1" applyAlignment="1">
      <alignment vertical="center"/>
    </xf>
    <xf numFmtId="5" fontId="1" fillId="11" borderId="17" xfId="19" applyNumberFormat="1" applyFont="1" applyFill="1" applyBorder="1" applyAlignment="1">
      <alignment vertical="center"/>
    </xf>
    <xf numFmtId="5" fontId="12" fillId="10" borderId="17" xfId="19" applyNumberFormat="1" applyFont="1" applyFill="1" applyBorder="1" applyAlignment="1">
      <alignment vertical="center"/>
    </xf>
    <xf numFmtId="44" fontId="12" fillId="0" borderId="17" xfId="19" applyFont="1" applyFill="1" applyBorder="1" applyAlignment="1">
      <alignment vertical="center"/>
    </xf>
    <xf numFmtId="169" fontId="12" fillId="0" borderId="17" xfId="0" applyNumberFormat="1" applyFont="1" applyFill="1" applyBorder="1" applyAlignment="1">
      <alignment vertical="center"/>
    </xf>
    <xf numFmtId="44" fontId="2" fillId="6" borderId="17" xfId="19" applyNumberFormat="1" applyFont="1" applyFill="1" applyBorder="1" applyAlignment="1">
      <alignment vertical="center"/>
    </xf>
    <xf numFmtId="169" fontId="12" fillId="6" borderId="17" xfId="19" applyNumberFormat="1" applyFont="1" applyFill="1" applyBorder="1" applyAlignment="1">
      <alignment vertical="center"/>
    </xf>
    <xf numFmtId="169" fontId="2" fillId="6" borderId="17" xfId="19" applyNumberFormat="1" applyFont="1" applyFill="1" applyBorder="1" applyAlignment="1">
      <alignment vertical="center"/>
    </xf>
    <xf numFmtId="177" fontId="2" fillId="7" borderId="17" xfId="0" applyNumberFormat="1" applyFont="1" applyFill="1" applyBorder="1" applyAlignment="1">
      <alignment horizontal="center" vertical="center"/>
    </xf>
    <xf numFmtId="172" fontId="2" fillId="2" borderId="17" xfId="0" applyNumberFormat="1" applyFont="1" applyFill="1" applyBorder="1" applyAlignment="1">
      <alignment horizontal="center" vertical="center"/>
    </xf>
    <xf numFmtId="177" fontId="2" fillId="7" borderId="17" xfId="0" applyNumberFormat="1" applyFont="1" applyFill="1" applyBorder="1" applyAlignment="1">
      <alignment vertical="center"/>
    </xf>
    <xf numFmtId="177" fontId="2" fillId="7" borderId="17" xfId="0" applyNumberFormat="1" applyFont="1" applyFill="1" applyBorder="1" applyAlignment="1">
      <alignment horizontal="center" vertical="center" wrapText="1"/>
    </xf>
    <xf numFmtId="179" fontId="2" fillId="2" borderId="17" xfId="0" applyNumberFormat="1" applyFont="1" applyFill="1" applyBorder="1" applyAlignment="1">
      <alignment horizontal="center" vertical="center"/>
    </xf>
    <xf numFmtId="170" fontId="2" fillId="2" borderId="17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</cellXfs>
  <cellStyles count="44">
    <cellStyle name="$" xfId="2"/>
    <cellStyle name="$_CCA-Request_H11bps" xfId="3"/>
    <cellStyle name="$_CCA-Request_H11bps July 9" xfId="4"/>
    <cellStyle name="$comma" xfId="5"/>
    <cellStyle name="_Comma" xfId="6"/>
    <cellStyle name="_Currency" xfId="7"/>
    <cellStyle name="_CurrencySpace" xfId="8"/>
    <cellStyle name="_Multiple" xfId="9"/>
    <cellStyle name="_MultipleSpace" xfId="10"/>
    <cellStyle name="_Percent" xfId="11"/>
    <cellStyle name="_PercentSpace" xfId="12"/>
    <cellStyle name="_PercentSpace_AR Analysis 061207" xfId="13"/>
    <cellStyle name="_PercentSpace_RMDx BP050513a 051212a" xfId="14"/>
    <cellStyle name="Comma" xfId="17" builtinId="3"/>
    <cellStyle name="comma zerodec" xfId="18"/>
    <cellStyle name="Currency" xfId="19" builtinId="4"/>
    <cellStyle name="Currency1" xfId="20"/>
    <cellStyle name="Dollar (zero dec)" xfId="21"/>
    <cellStyle name="Grey" xfId="22"/>
    <cellStyle name="Header1" xfId="23"/>
    <cellStyle name="Header2" xfId="24"/>
    <cellStyle name="Input [yellow]" xfId="25"/>
    <cellStyle name="multiple" xfId="26"/>
    <cellStyle name="Normal" xfId="0" builtinId="0"/>
    <cellStyle name="Normal - Style1" xfId="27"/>
    <cellStyle name="Normal 2" xfId="43"/>
    <cellStyle name="Number" xfId="28"/>
    <cellStyle name="OH01" xfId="29"/>
    <cellStyle name="OHnplode" xfId="30"/>
    <cellStyle name="Percent" xfId="31" builtinId="5"/>
    <cellStyle name="Percent [2]" xfId="32"/>
    <cellStyle name="PSChar" xfId="33"/>
    <cellStyle name="PSDate" xfId="34"/>
    <cellStyle name="PSDec" xfId="35"/>
    <cellStyle name="PSHeading" xfId="36"/>
    <cellStyle name="PSInt" xfId="37"/>
    <cellStyle name="PSSpacer" xfId="38"/>
    <cellStyle name="ShOut" xfId="39"/>
    <cellStyle name="Style 1" xfId="1"/>
    <cellStyle name="Style 2" xfId="15"/>
    <cellStyle name="Style 3" xfId="16"/>
    <cellStyle name="x" xfId="40"/>
    <cellStyle name="x_CCA-Request_H11bps" xfId="41"/>
    <cellStyle name="x_CCA-Request_H11bps July 9" xfId="42"/>
  </cellStyles>
  <dxfs count="0"/>
  <tableStyles count="0" defaultTableStyle="TableStyleMedium2" defaultPivotStyle="PivotStyleLight16"/>
  <colors>
    <mruColors>
      <color rgb="FFCCFFCC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tabSelected="1" view="pageBreakPreview" topLeftCell="K1" zoomScale="110" zoomScaleNormal="90" zoomScaleSheetLayoutView="110" workbookViewId="0">
      <pane ySplit="5" topLeftCell="A6" activePane="bottomLeft" state="frozen"/>
      <selection pane="bottomLeft" activeCell="R71" sqref="R71"/>
    </sheetView>
  </sheetViews>
  <sheetFormatPr defaultColWidth="9.140625" defaultRowHeight="12.75" x14ac:dyDescent="0.2"/>
  <cols>
    <col min="1" max="1" width="3.42578125" style="1" customWidth="1"/>
    <col min="2" max="2" width="55.140625" style="3" customWidth="1"/>
    <col min="3" max="3" width="53.28515625" style="3" customWidth="1"/>
    <col min="4" max="4" width="34.28515625" style="3" customWidth="1"/>
    <col min="5" max="5" width="1.42578125" style="3" customWidth="1"/>
    <col min="6" max="6" width="16.5703125" style="3" bestFit="1" customWidth="1"/>
    <col min="7" max="7" width="19.85546875" style="3" customWidth="1"/>
    <col min="8" max="8" width="17" style="3" bestFit="1" customWidth="1"/>
    <col min="9" max="13" width="16.28515625" style="3" bestFit="1" customWidth="1"/>
    <col min="14" max="17" width="15.85546875" style="3" bestFit="1" customWidth="1"/>
    <col min="18" max="18" width="16.42578125" style="3" bestFit="1" customWidth="1"/>
    <col min="19" max="19" width="3.85546875" style="3" customWidth="1"/>
    <col min="20" max="20" width="14" style="3" bestFit="1" customWidth="1"/>
    <col min="21" max="21" width="17" style="3" customWidth="1"/>
    <col min="22" max="25" width="12.28515625" style="3" bestFit="1" customWidth="1"/>
    <col min="26" max="26" width="11.28515625" style="3" bestFit="1" customWidth="1"/>
    <col min="27" max="27" width="12.28515625" style="3" bestFit="1" customWidth="1"/>
    <col min="28" max="16384" width="9.140625" style="3"/>
  </cols>
  <sheetData>
    <row r="1" spans="1:27" s="28" customFormat="1" ht="13.5" thickBot="1" x14ac:dyDescent="0.25">
      <c r="A1" s="29"/>
      <c r="S1" s="157"/>
    </row>
    <row r="2" spans="1:27" s="28" customFormat="1" ht="18.75" thickBot="1" x14ac:dyDescent="0.25">
      <c r="A2" s="29"/>
      <c r="B2" s="180" t="s">
        <v>73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2"/>
      <c r="S2" s="158"/>
    </row>
    <row r="3" spans="1:27" s="28" customFormat="1" x14ac:dyDescent="0.2">
      <c r="A3" s="29"/>
      <c r="F3" s="30"/>
      <c r="G3" s="29" t="s">
        <v>16</v>
      </c>
      <c r="S3" s="157"/>
    </row>
    <row r="4" spans="1:27" s="28" customFormat="1" ht="13.5" thickBot="1" x14ac:dyDescent="0.25">
      <c r="A4" s="29"/>
      <c r="S4" s="157"/>
    </row>
    <row r="5" spans="1:27" s="28" customFormat="1" ht="13.5" thickBot="1" x14ac:dyDescent="0.25">
      <c r="A5" s="29">
        <v>1</v>
      </c>
      <c r="B5" s="31" t="s">
        <v>28</v>
      </c>
      <c r="C5" s="18" t="s">
        <v>29</v>
      </c>
      <c r="D5" s="18" t="s">
        <v>30</v>
      </c>
      <c r="E5" s="32"/>
      <c r="F5" s="18" t="s">
        <v>1</v>
      </c>
      <c r="G5" s="18" t="s">
        <v>2</v>
      </c>
      <c r="H5" s="18" t="s">
        <v>3</v>
      </c>
      <c r="I5" s="18" t="s">
        <v>4</v>
      </c>
      <c r="J5" s="18" t="s">
        <v>5</v>
      </c>
      <c r="K5" s="18" t="s">
        <v>6</v>
      </c>
      <c r="L5" s="18" t="s">
        <v>11</v>
      </c>
      <c r="M5" s="18" t="s">
        <v>12</v>
      </c>
      <c r="N5" s="18" t="s">
        <v>9</v>
      </c>
      <c r="O5" s="18" t="s">
        <v>10</v>
      </c>
      <c r="P5" s="18" t="s">
        <v>17</v>
      </c>
      <c r="Q5" s="18" t="s">
        <v>7</v>
      </c>
      <c r="R5" s="131" t="s">
        <v>8</v>
      </c>
      <c r="S5" s="159"/>
    </row>
    <row r="6" spans="1:27" s="28" customFormat="1" x14ac:dyDescent="0.2">
      <c r="A6" s="29">
        <v>2</v>
      </c>
      <c r="B6" s="33" t="s">
        <v>27</v>
      </c>
      <c r="C6" s="34">
        <f>SUM(F6:R6)</f>
        <v>1300516.414313321</v>
      </c>
      <c r="D6" s="35" t="s">
        <v>50</v>
      </c>
      <c r="E6" s="36"/>
      <c r="F6" s="89">
        <v>225944.18649169474</v>
      </c>
      <c r="G6" s="89">
        <v>446101.51280686347</v>
      </c>
      <c r="H6" s="89">
        <v>328410.3530898749</v>
      </c>
      <c r="I6" s="89">
        <v>149484.64840405117</v>
      </c>
      <c r="J6" s="89">
        <v>88483.899806478017</v>
      </c>
      <c r="K6" s="89">
        <v>5405.649614848262</v>
      </c>
      <c r="L6" s="89">
        <v>18073.874182670519</v>
      </c>
      <c r="M6" s="89">
        <v>1744.2364648136806</v>
      </c>
      <c r="N6" s="89">
        <v>5323.2219730404177</v>
      </c>
      <c r="O6" s="89">
        <v>23986.843457437422</v>
      </c>
      <c r="P6" s="89">
        <v>5597.258733734303</v>
      </c>
      <c r="Q6" s="89">
        <v>1152.4825649576753</v>
      </c>
      <c r="R6" s="132">
        <v>808.24672285681027</v>
      </c>
      <c r="S6" s="160"/>
    </row>
    <row r="7" spans="1:27" s="28" customFormat="1" x14ac:dyDescent="0.2">
      <c r="A7" s="29">
        <v>3</v>
      </c>
      <c r="B7" s="37" t="s">
        <v>18</v>
      </c>
      <c r="C7" s="16">
        <f>SUM(F7:R7)</f>
        <v>33957468360.674995</v>
      </c>
      <c r="D7" s="38" t="s">
        <v>50</v>
      </c>
      <c r="E7" s="39"/>
      <c r="F7" s="90">
        <v>2047262888.9178183</v>
      </c>
      <c r="G7" s="90">
        <v>4924068302.5766611</v>
      </c>
      <c r="H7" s="90">
        <v>4539367305.8441782</v>
      </c>
      <c r="I7" s="90">
        <v>631921216.02545369</v>
      </c>
      <c r="J7" s="90">
        <v>2104034979.8355508</v>
      </c>
      <c r="K7" s="90">
        <v>2341979037.7935677</v>
      </c>
      <c r="L7" s="90">
        <v>598366765.3653512</v>
      </c>
      <c r="M7" s="90">
        <v>1057526027.8163953</v>
      </c>
      <c r="N7" s="90">
        <v>121367847.68686539</v>
      </c>
      <c r="O7" s="90">
        <v>20385578.156035043</v>
      </c>
      <c r="P7" s="90">
        <v>24437189.604035661</v>
      </c>
      <c r="Q7" s="90">
        <v>18368070.328334279</v>
      </c>
      <c r="R7" s="133">
        <v>15528383150.724745</v>
      </c>
      <c r="S7" s="160"/>
      <c r="T7" s="40"/>
      <c r="U7" s="40"/>
      <c r="V7" s="40"/>
      <c r="W7" s="40"/>
      <c r="X7" s="40"/>
      <c r="Y7" s="40"/>
      <c r="Z7" s="40"/>
      <c r="AA7" s="40"/>
    </row>
    <row r="8" spans="1:27" s="28" customFormat="1" x14ac:dyDescent="0.2">
      <c r="A8" s="38">
        <v>4</v>
      </c>
      <c r="B8" s="37" t="s">
        <v>23</v>
      </c>
      <c r="C8" s="16">
        <f t="shared" ref="C8" si="0">SUM(F8:R8)</f>
        <v>23305622358.776493</v>
      </c>
      <c r="D8" s="38" t="s">
        <v>50</v>
      </c>
      <c r="E8" s="39"/>
      <c r="F8" s="90">
        <v>2047262888.9178183</v>
      </c>
      <c r="G8" s="90">
        <v>4924068302.5766611</v>
      </c>
      <c r="H8" s="90">
        <v>4539367305.8441782</v>
      </c>
      <c r="I8" s="90">
        <v>631921216.02545369</v>
      </c>
      <c r="J8" s="90">
        <v>2104034979.8355508</v>
      </c>
      <c r="K8" s="90">
        <v>2341979037.7935677</v>
      </c>
      <c r="L8" s="90">
        <v>598366765.3653512</v>
      </c>
      <c r="M8" s="90">
        <v>1057526027.8163953</v>
      </c>
      <c r="N8" s="90">
        <v>121367847.68686539</v>
      </c>
      <c r="O8" s="90">
        <v>20385578.156035043</v>
      </c>
      <c r="P8" s="90">
        <v>24437189.604035661</v>
      </c>
      <c r="Q8" s="90">
        <v>18368070.328334279</v>
      </c>
      <c r="R8" s="133">
        <v>4876537148.8262444</v>
      </c>
      <c r="S8" s="160"/>
      <c r="T8" s="40"/>
      <c r="U8" s="40"/>
      <c r="V8" s="40"/>
      <c r="W8" s="40"/>
      <c r="X8" s="40"/>
      <c r="Y8" s="40"/>
      <c r="Z8" s="40"/>
      <c r="AA8" s="40"/>
    </row>
    <row r="9" spans="1:27" s="29" customFormat="1" ht="25.5" hidden="1" x14ac:dyDescent="0.2">
      <c r="A9" s="29">
        <v>5</v>
      </c>
      <c r="B9" s="17" t="s">
        <v>64</v>
      </c>
      <c r="C9" s="16">
        <f>SUM(F9:R9)</f>
        <v>6176870307.2695389</v>
      </c>
      <c r="D9" s="38" t="s">
        <v>50</v>
      </c>
      <c r="E9" s="39"/>
      <c r="F9" s="90">
        <v>151476981.15102941</v>
      </c>
      <c r="G9" s="90">
        <v>264914874.67862439</v>
      </c>
      <c r="H9" s="90">
        <v>300960052.377469</v>
      </c>
      <c r="I9" s="90">
        <v>6976410.2249210095</v>
      </c>
      <c r="J9" s="90">
        <v>438144244.20095509</v>
      </c>
      <c r="K9" s="90">
        <v>1987871807.2791803</v>
      </c>
      <c r="L9" s="90">
        <v>134076041.11541423</v>
      </c>
      <c r="M9" s="90">
        <v>555201164.60360754</v>
      </c>
      <c r="N9" s="90">
        <v>66266844.837028511</v>
      </c>
      <c r="O9" s="90">
        <v>2003494.6211751241</v>
      </c>
      <c r="P9" s="90">
        <v>1601124.6628564165</v>
      </c>
      <c r="Q9" s="90">
        <v>19488522.618362669</v>
      </c>
      <c r="R9" s="133">
        <v>2247888744.8989143</v>
      </c>
      <c r="S9" s="160"/>
      <c r="T9" s="41"/>
      <c r="U9" s="41"/>
      <c r="V9" s="41"/>
      <c r="W9" s="41"/>
      <c r="X9" s="41"/>
      <c r="Y9" s="41"/>
      <c r="Z9" s="41"/>
      <c r="AA9" s="41"/>
    </row>
    <row r="10" spans="1:27" s="29" customFormat="1" x14ac:dyDescent="0.2">
      <c r="A10" s="29">
        <v>5</v>
      </c>
      <c r="B10" s="37" t="s">
        <v>13</v>
      </c>
      <c r="C10" s="16">
        <f t="shared" ref="C10" si="1">SUM(F10:R10)</f>
        <v>41020926.039763048</v>
      </c>
      <c r="D10" s="38" t="s">
        <v>50</v>
      </c>
      <c r="E10" s="39"/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8025918.0344505152</v>
      </c>
      <c r="L10" s="90">
        <v>0</v>
      </c>
      <c r="M10" s="90">
        <v>2832322.4440301014</v>
      </c>
      <c r="N10" s="90">
        <v>0</v>
      </c>
      <c r="O10" s="90">
        <v>0</v>
      </c>
      <c r="P10" s="90">
        <v>0</v>
      </c>
      <c r="Q10" s="90">
        <v>184739.19535572777</v>
      </c>
      <c r="R10" s="133">
        <v>29977946.365926702</v>
      </c>
      <c r="S10" s="160"/>
      <c r="T10" s="41"/>
      <c r="U10" s="41"/>
      <c r="V10" s="41"/>
      <c r="W10" s="41"/>
      <c r="X10" s="41"/>
      <c r="Y10" s="41"/>
      <c r="Z10" s="41"/>
      <c r="AA10" s="41"/>
    </row>
    <row r="11" spans="1:27" s="28" customFormat="1" ht="25.5" x14ac:dyDescent="0.2">
      <c r="A11" s="29">
        <v>6</v>
      </c>
      <c r="B11" s="37" t="s">
        <v>0</v>
      </c>
      <c r="C11" s="42">
        <f>SUM(F11:R11)</f>
        <v>1.0000000000000002</v>
      </c>
      <c r="D11" s="24" t="s">
        <v>51</v>
      </c>
      <c r="E11" s="39"/>
      <c r="F11" s="87">
        <v>7.5672848974233112E-2</v>
      </c>
      <c r="G11" s="87">
        <v>0.22527272583986979</v>
      </c>
      <c r="H11" s="87">
        <v>0.37432731403231517</v>
      </c>
      <c r="I11" s="87">
        <v>7.2672099140621463E-2</v>
      </c>
      <c r="J11" s="87">
        <v>0.10322942010479902</v>
      </c>
      <c r="K11" s="87">
        <v>6.9244020161682018E-2</v>
      </c>
      <c r="L11" s="87">
        <v>1.4696845537861415E-2</v>
      </c>
      <c r="M11" s="87">
        <v>1.4690362515666761E-2</v>
      </c>
      <c r="N11" s="87">
        <v>9.8091348407983395E-3</v>
      </c>
      <c r="O11" s="87">
        <v>3.8523979012012287E-3</v>
      </c>
      <c r="P11" s="87">
        <v>2.6084434700705725E-3</v>
      </c>
      <c r="Q11" s="87">
        <v>3.0243741339037551E-3</v>
      </c>
      <c r="R11" s="134">
        <v>3.0900013346977541E-2</v>
      </c>
      <c r="S11" s="161"/>
    </row>
    <row r="12" spans="1:27" s="28" customFormat="1" ht="25.5" x14ac:dyDescent="0.2">
      <c r="A12" s="38">
        <v>7</v>
      </c>
      <c r="B12" s="37" t="s">
        <v>19</v>
      </c>
      <c r="C12" s="42">
        <f>SUM(F12:R12)</f>
        <v>0.99999999999999989</v>
      </c>
      <c r="D12" s="24" t="s">
        <v>51</v>
      </c>
      <c r="E12" s="39"/>
      <c r="F12" s="87">
        <v>5.0280025049146047E-2</v>
      </c>
      <c r="G12" s="87">
        <v>0.18571664861950352</v>
      </c>
      <c r="H12" s="87">
        <v>0.38061906915978039</v>
      </c>
      <c r="I12" s="87">
        <v>6.8482011824950104E-2</v>
      </c>
      <c r="J12" s="87">
        <v>0.10838801783951499</v>
      </c>
      <c r="K12" s="87">
        <v>0.11478869393956047</v>
      </c>
      <c r="L12" s="87">
        <v>1.4877505371754973E-2</v>
      </c>
      <c r="M12" s="87">
        <v>2.3784447995865977E-2</v>
      </c>
      <c r="N12" s="87">
        <v>8.7874045138595612E-3</v>
      </c>
      <c r="O12" s="87">
        <v>3.2277657787364881E-3</v>
      </c>
      <c r="P12" s="87">
        <v>1.6070742645677009E-3</v>
      </c>
      <c r="Q12" s="87">
        <v>1.1050202509801724E-3</v>
      </c>
      <c r="R12" s="134">
        <v>3.8336315391779494E-2</v>
      </c>
      <c r="S12" s="161"/>
    </row>
    <row r="13" spans="1:27" s="28" customFormat="1" x14ac:dyDescent="0.2">
      <c r="A13" s="29">
        <v>8</v>
      </c>
      <c r="B13" s="19" t="s">
        <v>42</v>
      </c>
      <c r="C13" s="85">
        <f t="shared" ref="C13:C15" si="2">SUM(F13:R13)</f>
        <v>1446251441.828686</v>
      </c>
      <c r="D13" s="38" t="s">
        <v>50</v>
      </c>
      <c r="E13" s="39"/>
      <c r="F13" s="88">
        <v>91059277.518252134</v>
      </c>
      <c r="G13" s="88">
        <v>309776675.83417225</v>
      </c>
      <c r="H13" s="88">
        <v>512389870.1546706</v>
      </c>
      <c r="I13" s="88">
        <v>110674030.26653595</v>
      </c>
      <c r="J13" s="88">
        <v>155312538.97686931</v>
      </c>
      <c r="K13" s="88">
        <v>140663018.47946775</v>
      </c>
      <c r="L13" s="88">
        <v>21840758.25854253</v>
      </c>
      <c r="M13" s="88">
        <v>29182029.877355423</v>
      </c>
      <c r="N13" s="88">
        <v>12100923.521087563</v>
      </c>
      <c r="O13" s="88">
        <v>3351836.0387179856</v>
      </c>
      <c r="P13" s="88">
        <v>3029299.0675873165</v>
      </c>
      <c r="Q13" s="88">
        <v>3889143.8286163392</v>
      </c>
      <c r="R13" s="135">
        <v>52982040.006810777</v>
      </c>
      <c r="S13" s="162"/>
    </row>
    <row r="14" spans="1:27" s="28" customFormat="1" x14ac:dyDescent="0.2">
      <c r="A14" s="29">
        <v>9</v>
      </c>
      <c r="B14" s="19" t="s">
        <v>33</v>
      </c>
      <c r="C14" s="85">
        <f t="shared" si="2"/>
        <v>760767135.65880823</v>
      </c>
      <c r="D14" s="38" t="s">
        <v>50</v>
      </c>
      <c r="E14" s="39"/>
      <c r="F14" s="88">
        <v>75144268.036197618</v>
      </c>
      <c r="G14" s="88">
        <v>202277926.84723985</v>
      </c>
      <c r="H14" s="88">
        <v>349210348.32954156</v>
      </c>
      <c r="I14" s="88">
        <v>72678702.152079076</v>
      </c>
      <c r="J14" s="88">
        <v>31390538.603681043</v>
      </c>
      <c r="K14" s="88">
        <v>6650123.9853587085</v>
      </c>
      <c r="L14" s="88">
        <v>5178646.3214524426</v>
      </c>
      <c r="M14" s="88">
        <v>2108246.3383911946</v>
      </c>
      <c r="N14" s="88">
        <v>259859.90776767032</v>
      </c>
      <c r="O14" s="88">
        <v>907640.28286453569</v>
      </c>
      <c r="P14" s="88">
        <v>2334924.4698266443</v>
      </c>
      <c r="Q14" s="88">
        <v>2712851.7593051712</v>
      </c>
      <c r="R14" s="135">
        <v>9913058.6251024995</v>
      </c>
      <c r="S14" s="162"/>
    </row>
    <row r="15" spans="1:27" s="28" customFormat="1" x14ac:dyDescent="0.2">
      <c r="A15" s="29">
        <v>10</v>
      </c>
      <c r="B15" s="19" t="s">
        <v>34</v>
      </c>
      <c r="C15" s="85">
        <f t="shared" si="2"/>
        <v>685484306.16987789</v>
      </c>
      <c r="D15" s="38" t="s">
        <v>50</v>
      </c>
      <c r="E15" s="39"/>
      <c r="F15" s="88">
        <v>15915009.482054517</v>
      </c>
      <c r="G15" s="88">
        <v>107498748.9869324</v>
      </c>
      <c r="H15" s="88">
        <v>163179521.82512906</v>
      </c>
      <c r="I15" s="88">
        <v>37995328.114456877</v>
      </c>
      <c r="J15" s="88">
        <v>123922000.37318826</v>
      </c>
      <c r="K15" s="88">
        <v>134012894.49410905</v>
      </c>
      <c r="L15" s="88">
        <v>16662111.937090088</v>
      </c>
      <c r="M15" s="88">
        <v>27073783.538964227</v>
      </c>
      <c r="N15" s="88">
        <v>11841063.613319892</v>
      </c>
      <c r="O15" s="88">
        <v>2444195.7558534504</v>
      </c>
      <c r="P15" s="88">
        <v>694374.59776067198</v>
      </c>
      <c r="Q15" s="88">
        <v>1176292.069311168</v>
      </c>
      <c r="R15" s="135">
        <v>43068981.381708279</v>
      </c>
      <c r="S15" s="162"/>
    </row>
    <row r="16" spans="1:27" s="28" customFormat="1" ht="13.5" thickBot="1" x14ac:dyDescent="0.25">
      <c r="A16" s="38">
        <v>11</v>
      </c>
      <c r="B16" s="43" t="s">
        <v>75</v>
      </c>
      <c r="C16" s="105">
        <f>SUM(F16:R16)</f>
        <v>20605500406.14563</v>
      </c>
      <c r="D16" s="44" t="s">
        <v>50</v>
      </c>
      <c r="E16" s="45"/>
      <c r="F16" s="112">
        <f>F8</f>
        <v>2047262888.9178183</v>
      </c>
      <c r="G16" s="112">
        <f>G8</f>
        <v>4924068302.5766611</v>
      </c>
      <c r="H16" s="112">
        <f>H8</f>
        <v>4539367305.8441782</v>
      </c>
      <c r="I16" s="112">
        <f>I8</f>
        <v>631921216.02545369</v>
      </c>
      <c r="J16" s="112">
        <f>J8</f>
        <v>2104034979.8355508</v>
      </c>
      <c r="K16" s="112">
        <f t="shared" ref="K16:Q16" si="3">K8</f>
        <v>2341979037.7935677</v>
      </c>
      <c r="L16" s="112">
        <f t="shared" si="3"/>
        <v>598366765.3653512</v>
      </c>
      <c r="M16" s="112">
        <f t="shared" si="3"/>
        <v>1057526027.8163953</v>
      </c>
      <c r="N16" s="112">
        <f t="shared" si="3"/>
        <v>121367847.68686539</v>
      </c>
      <c r="O16" s="112">
        <f t="shared" si="3"/>
        <v>20385578.156035043</v>
      </c>
      <c r="P16" s="112">
        <f t="shared" si="3"/>
        <v>24437189.604035661</v>
      </c>
      <c r="Q16" s="112">
        <f t="shared" si="3"/>
        <v>18368070.328334279</v>
      </c>
      <c r="R16" s="136">
        <v>2176415196.1953807</v>
      </c>
      <c r="S16" s="163"/>
    </row>
    <row r="17" spans="1:27" s="28" customFormat="1" ht="13.5" thickBot="1" x14ac:dyDescent="0.25">
      <c r="A17" s="29">
        <v>12</v>
      </c>
      <c r="B17" s="29"/>
      <c r="C17" s="46"/>
      <c r="D17" s="29"/>
      <c r="E17" s="29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137"/>
      <c r="S17" s="164"/>
    </row>
    <row r="18" spans="1:27" s="29" customFormat="1" ht="13.5" thickBot="1" x14ac:dyDescent="0.25">
      <c r="A18" s="29">
        <v>13</v>
      </c>
      <c r="B18" s="48" t="s">
        <v>32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38"/>
      <c r="S18" s="165"/>
    </row>
    <row r="19" spans="1:27" s="28" customFormat="1" ht="42" customHeight="1" thickBot="1" x14ac:dyDescent="0.25">
      <c r="A19" s="29">
        <v>14</v>
      </c>
      <c r="B19" s="49"/>
      <c r="C19" s="110" t="s">
        <v>78</v>
      </c>
      <c r="D19" s="109" t="s">
        <v>14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38"/>
      <c r="S19" s="165"/>
      <c r="T19" s="50" t="s">
        <v>24</v>
      </c>
      <c r="U19" s="50" t="s">
        <v>25</v>
      </c>
    </row>
    <row r="20" spans="1:27" s="28" customFormat="1" x14ac:dyDescent="0.2">
      <c r="A20" s="38">
        <v>15</v>
      </c>
      <c r="B20" s="81" t="s">
        <v>52</v>
      </c>
      <c r="C20" s="91">
        <v>-90289413.839999989</v>
      </c>
      <c r="D20" s="36" t="s">
        <v>21</v>
      </c>
      <c r="E20" s="36"/>
      <c r="F20" s="51">
        <f t="shared" ref="F20:R20" si="4">F8/$C$8*$C$20</f>
        <v>-7931397.9850516608</v>
      </c>
      <c r="G20" s="51">
        <f t="shared" si="4"/>
        <v>-19076565.899144292</v>
      </c>
      <c r="H20" s="51">
        <f t="shared" si="4"/>
        <v>-17586177.572931703</v>
      </c>
      <c r="I20" s="51">
        <f t="shared" si="4"/>
        <v>-2448155.870272737</v>
      </c>
      <c r="J20" s="51">
        <f t="shared" si="4"/>
        <v>-8151341.4275619155</v>
      </c>
      <c r="K20" s="51">
        <f t="shared" si="4"/>
        <v>-9073171.7562701255</v>
      </c>
      <c r="L20" s="51">
        <f t="shared" si="4"/>
        <v>-2318160.9859832404</v>
      </c>
      <c r="M20" s="51">
        <f t="shared" si="4"/>
        <v>-4097011.6009851359</v>
      </c>
      <c r="N20" s="51">
        <f t="shared" si="4"/>
        <v>-470196.91892256186</v>
      </c>
      <c r="O20" s="51">
        <f t="shared" si="4"/>
        <v>-78976.732488105947</v>
      </c>
      <c r="P20" s="51">
        <f t="shared" si="4"/>
        <v>-94673.272023324535</v>
      </c>
      <c r="Q20" s="51">
        <f t="shared" si="4"/>
        <v>-71160.60999300702</v>
      </c>
      <c r="R20" s="139">
        <f t="shared" si="4"/>
        <v>-18892423.208372172</v>
      </c>
      <c r="S20" s="166"/>
      <c r="T20" s="52">
        <f t="shared" ref="T20:T39" si="5">SUM(F20:R20)</f>
        <v>-90289413.839999989</v>
      </c>
      <c r="U20" s="53">
        <f t="shared" ref="U20:U40" si="6">C20-T20</f>
        <v>0</v>
      </c>
    </row>
    <row r="21" spans="1:27" s="28" customFormat="1" x14ac:dyDescent="0.2">
      <c r="A21" s="29">
        <v>16</v>
      </c>
      <c r="B21" s="84" t="s">
        <v>53</v>
      </c>
      <c r="C21" s="91">
        <v>13349008.77</v>
      </c>
      <c r="D21" s="39" t="s">
        <v>22</v>
      </c>
      <c r="E21" s="39"/>
      <c r="F21" s="54">
        <f t="shared" ref="F21:R21" si="7">F7/$C$7*$C$21</f>
        <v>804798.813868828</v>
      </c>
      <c r="G21" s="54">
        <f t="shared" si="7"/>
        <v>1935698.805841964</v>
      </c>
      <c r="H21" s="54">
        <f t="shared" si="7"/>
        <v>1784469.1286273701</v>
      </c>
      <c r="I21" s="54">
        <f t="shared" si="7"/>
        <v>248414.33304379488</v>
      </c>
      <c r="J21" s="54">
        <f t="shared" si="7"/>
        <v>827116.47110707161</v>
      </c>
      <c r="K21" s="54">
        <f t="shared" si="7"/>
        <v>920654.57832737733</v>
      </c>
      <c r="L21" s="54">
        <f t="shared" si="7"/>
        <v>235223.75442418968</v>
      </c>
      <c r="M21" s="54">
        <f t="shared" si="7"/>
        <v>415723.69500232412</v>
      </c>
      <c r="N21" s="54">
        <f t="shared" si="7"/>
        <v>47710.87308275963</v>
      </c>
      <c r="O21" s="54">
        <f t="shared" si="7"/>
        <v>8013.7676547635001</v>
      </c>
      <c r="P21" s="54">
        <f t="shared" si="7"/>
        <v>9606.4952449812281</v>
      </c>
      <c r="Q21" s="54">
        <f t="shared" si="7"/>
        <v>7220.665842830138</v>
      </c>
      <c r="R21" s="140">
        <f t="shared" si="7"/>
        <v>6104357.3879317436</v>
      </c>
      <c r="S21" s="166"/>
      <c r="T21" s="52">
        <f t="shared" si="5"/>
        <v>13349008.769999998</v>
      </c>
      <c r="U21" s="53">
        <f t="shared" si="6"/>
        <v>0</v>
      </c>
    </row>
    <row r="22" spans="1:27" s="28" customFormat="1" x14ac:dyDescent="0.2">
      <c r="A22" s="29">
        <v>17</v>
      </c>
      <c r="B22" s="84" t="s">
        <v>54</v>
      </c>
      <c r="C22" s="91">
        <v>68949736.290000007</v>
      </c>
      <c r="D22" s="39" t="s">
        <v>22</v>
      </c>
      <c r="E22" s="39"/>
      <c r="F22" s="54">
        <f t="shared" ref="F22:R22" si="8">F7/$C$7*$C$22</f>
        <v>4156912.8419083725</v>
      </c>
      <c r="G22" s="54">
        <f t="shared" si="8"/>
        <v>9998189.7157500591</v>
      </c>
      <c r="H22" s="54">
        <f t="shared" si="8"/>
        <v>9217064.5743386745</v>
      </c>
      <c r="I22" s="54">
        <f t="shared" si="8"/>
        <v>1283099.2210087441</v>
      </c>
      <c r="J22" s="54">
        <f t="shared" si="8"/>
        <v>4272187.0624666614</v>
      </c>
      <c r="K22" s="54">
        <f t="shared" si="8"/>
        <v>4755326.1432050001</v>
      </c>
      <c r="L22" s="54">
        <f t="shared" si="8"/>
        <v>1214967.8014401065</v>
      </c>
      <c r="M22" s="54">
        <f t="shared" si="8"/>
        <v>2147278.4709178554</v>
      </c>
      <c r="N22" s="54">
        <f t="shared" si="8"/>
        <v>246434.18653038581</v>
      </c>
      <c r="O22" s="54">
        <f t="shared" si="8"/>
        <v>41392.374220851991</v>
      </c>
      <c r="P22" s="54">
        <f t="shared" si="8"/>
        <v>49619.063499393793</v>
      </c>
      <c r="Q22" s="54">
        <f t="shared" si="8"/>
        <v>37295.878239306054</v>
      </c>
      <c r="R22" s="140">
        <f t="shared" si="8"/>
        <v>31529968.956474587</v>
      </c>
      <c r="S22" s="166"/>
      <c r="T22" s="52">
        <f t="shared" si="5"/>
        <v>68949736.290000007</v>
      </c>
      <c r="U22" s="53">
        <f t="shared" si="6"/>
        <v>0</v>
      </c>
    </row>
    <row r="23" spans="1:27" s="28" customFormat="1" x14ac:dyDescent="0.2">
      <c r="A23" s="29">
        <v>18</v>
      </c>
      <c r="B23" s="84" t="s">
        <v>55</v>
      </c>
      <c r="C23" s="91">
        <v>7140581.767</v>
      </c>
      <c r="D23" s="39" t="s">
        <v>18</v>
      </c>
      <c r="E23" s="39"/>
      <c r="F23" s="54">
        <f t="shared" ref="F23:R23" si="9">F7/$C$7*$C$23</f>
        <v>430498.76102635748</v>
      </c>
      <c r="G23" s="54">
        <f t="shared" si="9"/>
        <v>1035433.8541197019</v>
      </c>
      <c r="H23" s="54">
        <f t="shared" si="9"/>
        <v>954538.86825568229</v>
      </c>
      <c r="I23" s="54">
        <f t="shared" si="9"/>
        <v>132880.49230894222</v>
      </c>
      <c r="J23" s="54">
        <f t="shared" si="9"/>
        <v>442436.80519902293</v>
      </c>
      <c r="K23" s="54">
        <f t="shared" si="9"/>
        <v>492471.71898513514</v>
      </c>
      <c r="L23" s="54">
        <f t="shared" si="9"/>
        <v>125824.65716715941</v>
      </c>
      <c r="M23" s="54">
        <f t="shared" si="9"/>
        <v>222376.73881185599</v>
      </c>
      <c r="N23" s="54">
        <f t="shared" si="9"/>
        <v>25521.250026297232</v>
      </c>
      <c r="O23" s="54">
        <f t="shared" si="9"/>
        <v>4286.6825684599953</v>
      </c>
      <c r="P23" s="54">
        <f t="shared" si="9"/>
        <v>5138.6560585116131</v>
      </c>
      <c r="Q23" s="54">
        <f t="shared" si="9"/>
        <v>3862.440706368086</v>
      </c>
      <c r="R23" s="140">
        <f t="shared" si="9"/>
        <v>3265310.841766505</v>
      </c>
      <c r="S23" s="166"/>
      <c r="T23" s="52">
        <f t="shared" si="5"/>
        <v>7140581.7669999991</v>
      </c>
      <c r="U23" s="53">
        <f t="shared" si="6"/>
        <v>0</v>
      </c>
    </row>
    <row r="24" spans="1:27" s="29" customFormat="1" hidden="1" x14ac:dyDescent="0.2">
      <c r="A24" s="38">
        <v>20</v>
      </c>
      <c r="B24" s="84" t="s">
        <v>56</v>
      </c>
      <c r="C24" s="91">
        <v>0</v>
      </c>
      <c r="D24" s="38" t="s">
        <v>64</v>
      </c>
      <c r="E24" s="39"/>
      <c r="F24" s="54">
        <f t="shared" ref="F24:R24" si="10">F9/$C$9*$C$24</f>
        <v>0</v>
      </c>
      <c r="G24" s="54">
        <f t="shared" si="10"/>
        <v>0</v>
      </c>
      <c r="H24" s="54">
        <f t="shared" si="10"/>
        <v>0</v>
      </c>
      <c r="I24" s="54">
        <f t="shared" si="10"/>
        <v>0</v>
      </c>
      <c r="J24" s="54">
        <f t="shared" si="10"/>
        <v>0</v>
      </c>
      <c r="K24" s="54">
        <f t="shared" si="10"/>
        <v>0</v>
      </c>
      <c r="L24" s="54">
        <f t="shared" si="10"/>
        <v>0</v>
      </c>
      <c r="M24" s="54">
        <f t="shared" si="10"/>
        <v>0</v>
      </c>
      <c r="N24" s="54">
        <f t="shared" si="10"/>
        <v>0</v>
      </c>
      <c r="O24" s="54">
        <f t="shared" si="10"/>
        <v>0</v>
      </c>
      <c r="P24" s="54">
        <f t="shared" si="10"/>
        <v>0</v>
      </c>
      <c r="Q24" s="54">
        <f t="shared" si="10"/>
        <v>0</v>
      </c>
      <c r="R24" s="140">
        <f t="shared" si="10"/>
        <v>0</v>
      </c>
      <c r="S24" s="166"/>
      <c r="T24" s="52">
        <f t="shared" si="5"/>
        <v>0</v>
      </c>
      <c r="U24" s="53">
        <f t="shared" si="6"/>
        <v>0</v>
      </c>
    </row>
    <row r="25" spans="1:27" s="29" customFormat="1" x14ac:dyDescent="0.2">
      <c r="A25" s="29">
        <v>19</v>
      </c>
      <c r="B25" s="84" t="s">
        <v>57</v>
      </c>
      <c r="C25" s="91">
        <v>27237018.789999999</v>
      </c>
      <c r="D25" s="39" t="s">
        <v>21</v>
      </c>
      <c r="E25" s="39"/>
      <c r="F25" s="54">
        <f>F8/$C$8*$C$25</f>
        <v>2392613.1177752283</v>
      </c>
      <c r="G25" s="54">
        <f t="shared" ref="G25:R25" si="11">G8/$C$8*$C$25</f>
        <v>5754703.2564018955</v>
      </c>
      <c r="H25" s="54">
        <f t="shared" si="11"/>
        <v>5305107.5273014251</v>
      </c>
      <c r="I25" s="54">
        <f t="shared" si="11"/>
        <v>738519.21951371199</v>
      </c>
      <c r="J25" s="54">
        <f t="shared" si="11"/>
        <v>2458962.0220554676</v>
      </c>
      <c r="K25" s="54">
        <f t="shared" si="11"/>
        <v>2737044.5670225951</v>
      </c>
      <c r="L25" s="54">
        <f t="shared" si="11"/>
        <v>699304.51033117983</v>
      </c>
      <c r="M25" s="54">
        <f t="shared" si="11"/>
        <v>1235918.7773289473</v>
      </c>
      <c r="N25" s="54">
        <f t="shared" si="11"/>
        <v>141841.23886758776</v>
      </c>
      <c r="O25" s="54">
        <f t="shared" si="11"/>
        <v>23824.395964772226</v>
      </c>
      <c r="P25" s="54">
        <f t="shared" si="11"/>
        <v>28559.468705595838</v>
      </c>
      <c r="Q25" s="54">
        <f t="shared" si="11"/>
        <v>21466.557252459777</v>
      </c>
      <c r="R25" s="140">
        <f t="shared" si="11"/>
        <v>5699154.1314791301</v>
      </c>
      <c r="S25" s="166"/>
      <c r="T25" s="52">
        <f t="shared" ref="T25:T26" si="12">SUM(F25:R25)</f>
        <v>27237018.789999992</v>
      </c>
      <c r="U25" s="53">
        <f t="shared" ref="U25:U26" si="13">C25-T25</f>
        <v>0</v>
      </c>
    </row>
    <row r="26" spans="1:27" s="29" customFormat="1" x14ac:dyDescent="0.2">
      <c r="A26" s="38">
        <v>20</v>
      </c>
      <c r="B26" s="113" t="s">
        <v>74</v>
      </c>
      <c r="C26" s="91">
        <v>4300000</v>
      </c>
      <c r="D26" s="38" t="s">
        <v>75</v>
      </c>
      <c r="E26" s="39"/>
      <c r="F26" s="54">
        <f>F16/$C$16*$C$26</f>
        <v>427227.20869817067</v>
      </c>
      <c r="G26" s="54">
        <f t="shared" ref="G26:R26" si="14">G16/$C$16*$C$26</f>
        <v>1027565.1298798163</v>
      </c>
      <c r="H26" s="54">
        <f t="shared" si="14"/>
        <v>947284.90113777108</v>
      </c>
      <c r="I26" s="54">
        <f t="shared" si="14"/>
        <v>131870.67410889096</v>
      </c>
      <c r="J26" s="54">
        <f t="shared" si="14"/>
        <v>439074.53034212545</v>
      </c>
      <c r="K26" s="107">
        <f t="shared" si="14"/>
        <v>488729.20647482999</v>
      </c>
      <c r="L26" s="106">
        <f t="shared" si="14"/>
        <v>124868.45940919807</v>
      </c>
      <c r="M26" s="107">
        <f t="shared" si="14"/>
        <v>220686.79866926407</v>
      </c>
      <c r="N26" s="106">
        <f t="shared" si="14"/>
        <v>25327.302650600464</v>
      </c>
      <c r="O26" s="106">
        <f t="shared" si="14"/>
        <v>4254.1061533650754</v>
      </c>
      <c r="P26" s="106">
        <f t="shared" si="14"/>
        <v>5099.6051164092596</v>
      </c>
      <c r="Q26" s="107">
        <f t="shared" si="14"/>
        <v>3833.0882946322749</v>
      </c>
      <c r="R26" s="140">
        <f t="shared" si="14"/>
        <v>454178.98906492564</v>
      </c>
      <c r="S26" s="166"/>
      <c r="T26" s="52">
        <f t="shared" si="12"/>
        <v>4299999.9999999991</v>
      </c>
      <c r="U26" s="53">
        <f t="shared" si="13"/>
        <v>0</v>
      </c>
    </row>
    <row r="27" spans="1:27" s="28" customFormat="1" x14ac:dyDescent="0.2">
      <c r="A27" s="29">
        <v>21</v>
      </c>
      <c r="B27" s="19" t="s">
        <v>58</v>
      </c>
      <c r="C27" s="91">
        <v>658253.65339999995</v>
      </c>
      <c r="D27" s="39" t="s">
        <v>20</v>
      </c>
      <c r="E27" s="39"/>
      <c r="F27" s="54">
        <f t="shared" ref="F27:R27" si="15">F6/$C$6*$C$27</f>
        <v>114361.1757496951</v>
      </c>
      <c r="G27" s="54">
        <f t="shared" si="15"/>
        <v>225793.34436730834</v>
      </c>
      <c r="H27" s="54">
        <f t="shared" si="15"/>
        <v>166224.21090312558</v>
      </c>
      <c r="I27" s="54">
        <f t="shared" si="15"/>
        <v>75661.341030544558</v>
      </c>
      <c r="J27" s="54">
        <f t="shared" si="15"/>
        <v>44785.940164736225</v>
      </c>
      <c r="K27" s="107">
        <f t="shared" si="15"/>
        <v>2736.0582064263795</v>
      </c>
      <c r="L27" s="107">
        <f t="shared" si="15"/>
        <v>9148.0534815983719</v>
      </c>
      <c r="M27" s="107">
        <f t="shared" si="15"/>
        <v>882.84162561941559</v>
      </c>
      <c r="N27" s="107">
        <f t="shared" si="15"/>
        <v>2694.337628535935</v>
      </c>
      <c r="O27" s="107">
        <f t="shared" si="15"/>
        <v>12140.890469059528</v>
      </c>
      <c r="P27" s="107">
        <f t="shared" si="15"/>
        <v>2833.0407597746871</v>
      </c>
      <c r="Q27" s="107">
        <f t="shared" si="15"/>
        <v>583.32663126266698</v>
      </c>
      <c r="R27" s="141">
        <f t="shared" si="15"/>
        <v>409.09238231336565</v>
      </c>
      <c r="S27" s="167"/>
      <c r="T27" s="52">
        <f t="shared" si="5"/>
        <v>658253.6534000003</v>
      </c>
      <c r="U27" s="53">
        <f t="shared" si="6"/>
        <v>0</v>
      </c>
    </row>
    <row r="28" spans="1:27" s="29" customFormat="1" x14ac:dyDescent="0.2">
      <c r="A28" s="38">
        <v>22</v>
      </c>
      <c r="B28" s="19" t="s">
        <v>62</v>
      </c>
      <c r="C28" s="91">
        <v>-1274068.2819999999</v>
      </c>
      <c r="D28" s="39" t="s">
        <v>0</v>
      </c>
      <c r="E28" s="39"/>
      <c r="F28" s="54">
        <f>+$C28*F$11</f>
        <v>-96412.376686646632</v>
      </c>
      <c r="G28" s="54">
        <f t="shared" ref="G28:R28" si="16">+$C28*G$11</f>
        <v>-287012.83479225991</v>
      </c>
      <c r="H28" s="54">
        <f t="shared" si="16"/>
        <v>-476918.55789482623</v>
      </c>
      <c r="I28" s="54">
        <f t="shared" si="16"/>
        <v>-92589.216501425253</v>
      </c>
      <c r="J28" s="54">
        <f t="shared" si="16"/>
        <v>-131521.32992477753</v>
      </c>
      <c r="K28" s="54">
        <f t="shared" si="16"/>
        <v>-88221.609806167558</v>
      </c>
      <c r="L28" s="54">
        <f t="shared" si="16"/>
        <v>-18724.784745242458</v>
      </c>
      <c r="M28" s="54">
        <f t="shared" si="16"/>
        <v>-18716.524932292748</v>
      </c>
      <c r="N28" s="54">
        <f t="shared" si="16"/>
        <v>-12497.507574522282</v>
      </c>
      <c r="O28" s="54">
        <f t="shared" si="16"/>
        <v>-4908.2179755638545</v>
      </c>
      <c r="P28" s="54">
        <f t="shared" si="16"/>
        <v>-3323.3350906069327</v>
      </c>
      <c r="Q28" s="54">
        <f t="shared" si="16"/>
        <v>-3853.259156907995</v>
      </c>
      <c r="R28" s="140">
        <f t="shared" si="16"/>
        <v>-39368.726918760745</v>
      </c>
      <c r="S28" s="166"/>
      <c r="T28" s="52">
        <f t="shared" si="5"/>
        <v>-1274068.2820000001</v>
      </c>
      <c r="U28" s="53">
        <f t="shared" si="6"/>
        <v>0</v>
      </c>
      <c r="V28" s="56"/>
      <c r="W28" s="56"/>
      <c r="X28" s="56"/>
      <c r="Y28" s="56"/>
      <c r="Z28" s="56"/>
      <c r="AA28" s="56"/>
    </row>
    <row r="29" spans="1:27" s="29" customFormat="1" x14ac:dyDescent="0.2">
      <c r="A29" s="29">
        <v>23</v>
      </c>
      <c r="B29" s="19" t="s">
        <v>63</v>
      </c>
      <c r="C29" s="91">
        <v>9712850.0770000014</v>
      </c>
      <c r="D29" s="38" t="s">
        <v>65</v>
      </c>
      <c r="E29" s="39"/>
      <c r="F29" s="54">
        <f t="shared" ref="F29:R29" si="17">F13/$C$13*$C$29</f>
        <v>611543.11420177354</v>
      </c>
      <c r="G29" s="54">
        <f t="shared" si="17"/>
        <v>2080422.7554817884</v>
      </c>
      <c r="H29" s="54">
        <f t="shared" si="17"/>
        <v>3441148.506993385</v>
      </c>
      <c r="I29" s="54">
        <f t="shared" si="17"/>
        <v>743273.42556492845</v>
      </c>
      <c r="J29" s="54">
        <f t="shared" si="17"/>
        <v>1043060.2608444913</v>
      </c>
      <c r="K29" s="54">
        <f t="shared" si="17"/>
        <v>944675.84982445068</v>
      </c>
      <c r="L29" s="54">
        <f t="shared" si="17"/>
        <v>146679.89562381472</v>
      </c>
      <c r="M29" s="54">
        <f t="shared" si="17"/>
        <v>195982.9895020859</v>
      </c>
      <c r="N29" s="54">
        <f t="shared" si="17"/>
        <v>81268.341419907025</v>
      </c>
      <c r="O29" s="54">
        <f t="shared" si="17"/>
        <v>22510.526167973032</v>
      </c>
      <c r="P29" s="54">
        <f t="shared" si="17"/>
        <v>20344.406809833818</v>
      </c>
      <c r="Q29" s="54">
        <f t="shared" si="17"/>
        <v>26119.02041561791</v>
      </c>
      <c r="R29" s="140">
        <f t="shared" si="17"/>
        <v>355820.98414995137</v>
      </c>
      <c r="S29" s="166"/>
      <c r="T29" s="52">
        <f t="shared" si="5"/>
        <v>9712850.0769999996</v>
      </c>
      <c r="U29" s="53">
        <f t="shared" si="6"/>
        <v>0</v>
      </c>
      <c r="V29" s="56"/>
      <c r="W29" s="56"/>
      <c r="X29" s="56"/>
      <c r="Y29" s="56"/>
      <c r="Z29" s="56"/>
      <c r="AA29" s="56"/>
    </row>
    <row r="30" spans="1:27" s="29" customFormat="1" x14ac:dyDescent="0.2">
      <c r="A30" s="38">
        <v>24</v>
      </c>
      <c r="B30" s="19" t="s">
        <v>70</v>
      </c>
      <c r="C30" s="91">
        <v>2367587.5389999999</v>
      </c>
      <c r="D30" s="38" t="s">
        <v>65</v>
      </c>
      <c r="E30" s="39"/>
      <c r="F30" s="54">
        <f t="shared" ref="F30:R30" si="18">F7/$C$7*$C$30</f>
        <v>142739.56036346342</v>
      </c>
      <c r="G30" s="54">
        <f t="shared" si="18"/>
        <v>343316.60507019161</v>
      </c>
      <c r="H30" s="54">
        <f t="shared" si="18"/>
        <v>316494.42632498546</v>
      </c>
      <c r="I30" s="54">
        <f t="shared" si="18"/>
        <v>44058.902766267689</v>
      </c>
      <c r="J30" s="54">
        <f t="shared" si="18"/>
        <v>146697.83232862139</v>
      </c>
      <c r="K30" s="54">
        <f t="shared" si="18"/>
        <v>163287.80248237099</v>
      </c>
      <c r="L30" s="54">
        <f t="shared" si="18"/>
        <v>41719.414485897258</v>
      </c>
      <c r="M30" s="54">
        <f t="shared" si="18"/>
        <v>73732.983243409704</v>
      </c>
      <c r="N30" s="54">
        <f t="shared" si="18"/>
        <v>8462.0266966497929</v>
      </c>
      <c r="O30" s="54">
        <f t="shared" si="18"/>
        <v>1421.3262397803726</v>
      </c>
      <c r="P30" s="54">
        <f t="shared" si="18"/>
        <v>1703.8132813722248</v>
      </c>
      <c r="Q30" s="54">
        <f t="shared" si="18"/>
        <v>1280.6612661149347</v>
      </c>
      <c r="R30" s="140">
        <f t="shared" si="18"/>
        <v>1082672.1844508748</v>
      </c>
      <c r="S30" s="166"/>
      <c r="T30" s="52">
        <f t="shared" si="5"/>
        <v>2367587.5389999999</v>
      </c>
      <c r="U30" s="53">
        <f t="shared" si="6"/>
        <v>0</v>
      </c>
      <c r="V30" s="56"/>
      <c r="W30" s="56"/>
      <c r="X30" s="56"/>
      <c r="Y30" s="56"/>
      <c r="Z30" s="56"/>
      <c r="AA30" s="56"/>
    </row>
    <row r="31" spans="1:27" s="29" customFormat="1" x14ac:dyDescent="0.2">
      <c r="A31" s="29">
        <v>25</v>
      </c>
      <c r="B31" s="19" t="s">
        <v>61</v>
      </c>
      <c r="C31" s="91">
        <v>-4413743.5710000005</v>
      </c>
      <c r="D31" s="39" t="s">
        <v>19</v>
      </c>
      <c r="E31" s="39"/>
      <c r="F31" s="54">
        <f>+$C31*F$12</f>
        <v>-221923.13731038736</v>
      </c>
      <c r="G31" s="54">
        <f t="shared" ref="G31:R31" si="19">+$C31*G$12</f>
        <v>-819705.66387199971</v>
      </c>
      <c r="H31" s="54">
        <f t="shared" si="19"/>
        <v>-1679954.9695039853</v>
      </c>
      <c r="I31" s="54">
        <f t="shared" si="19"/>
        <v>-302262.03942151956</v>
      </c>
      <c r="J31" s="54">
        <f t="shared" si="19"/>
        <v>-478396.91691259266</v>
      </c>
      <c r="K31" s="54">
        <f t="shared" si="19"/>
        <v>-506647.85989922174</v>
      </c>
      <c r="L31" s="54">
        <f t="shared" si="19"/>
        <v>-65665.49368710148</v>
      </c>
      <c r="M31" s="54">
        <f t="shared" si="19"/>
        <v>-104978.45443153731</v>
      </c>
      <c r="N31" s="54">
        <f t="shared" si="19"/>
        <v>-38785.350178824025</v>
      </c>
      <c r="O31" s="54">
        <f t="shared" si="19"/>
        <v>-14246.530454591984</v>
      </c>
      <c r="P31" s="54">
        <f t="shared" si="19"/>
        <v>-7093.2137033552435</v>
      </c>
      <c r="Q31" s="54">
        <f t="shared" si="19"/>
        <v>-4877.2760285885424</v>
      </c>
      <c r="R31" s="140">
        <f t="shared" si="19"/>
        <v>-169206.66559629509</v>
      </c>
      <c r="S31" s="166"/>
      <c r="T31" s="52">
        <f t="shared" si="5"/>
        <v>-4413743.5709999995</v>
      </c>
      <c r="U31" s="53">
        <f t="shared" si="6"/>
        <v>0</v>
      </c>
      <c r="V31" s="56"/>
      <c r="W31" s="56"/>
      <c r="X31" s="56"/>
      <c r="Y31" s="56"/>
      <c r="Z31" s="56"/>
      <c r="AA31" s="56"/>
    </row>
    <row r="32" spans="1:27" s="29" customFormat="1" x14ac:dyDescent="0.2">
      <c r="A32" s="38">
        <v>26</v>
      </c>
      <c r="B32" s="19" t="s">
        <v>60</v>
      </c>
      <c r="C32" s="91">
        <v>-807804.53370000003</v>
      </c>
      <c r="D32" s="38" t="s">
        <v>0</v>
      </c>
      <c r="E32" s="39"/>
      <c r="F32" s="54">
        <f t="shared" ref="F32:R32" si="20">$C$32*F11</f>
        <v>-61128.870479380901</v>
      </c>
      <c r="G32" s="54">
        <f t="shared" si="20"/>
        <v>-181976.32925240396</v>
      </c>
      <c r="H32" s="54">
        <f t="shared" si="20"/>
        <v>-302383.30136304785</v>
      </c>
      <c r="I32" s="54">
        <f t="shared" si="20"/>
        <v>-58704.851159289894</v>
      </c>
      <c r="J32" s="54">
        <f t="shared" si="20"/>
        <v>-83389.193571878583</v>
      </c>
      <c r="K32" s="54">
        <f t="shared" si="20"/>
        <v>-55935.633418220947</v>
      </c>
      <c r="L32" s="54">
        <f t="shared" si="20"/>
        <v>-11872.178456573067</v>
      </c>
      <c r="M32" s="54">
        <f t="shared" si="20"/>
        <v>-11866.941441852148</v>
      </c>
      <c r="N32" s="54">
        <f t="shared" si="20"/>
        <v>-7923.8635960715264</v>
      </c>
      <c r="O32" s="54">
        <f t="shared" si="20"/>
        <v>-3111.9844902067175</v>
      </c>
      <c r="P32" s="54">
        <f t="shared" si="20"/>
        <v>-2107.1124610231686</v>
      </c>
      <c r="Q32" s="54">
        <f t="shared" si="20"/>
        <v>-2443.1031369724642</v>
      </c>
      <c r="R32" s="140">
        <f t="shared" si="20"/>
        <v>-24961.170873078969</v>
      </c>
      <c r="S32" s="166"/>
      <c r="T32" s="52">
        <f t="shared" si="5"/>
        <v>-807804.53370000015</v>
      </c>
      <c r="U32" s="53">
        <f t="shared" si="6"/>
        <v>0</v>
      </c>
      <c r="V32" s="56"/>
      <c r="W32" s="56"/>
      <c r="X32" s="56"/>
      <c r="Y32" s="56"/>
      <c r="Z32" s="56"/>
      <c r="AA32" s="56"/>
    </row>
    <row r="33" spans="1:27" s="29" customFormat="1" x14ac:dyDescent="0.2">
      <c r="A33" s="29">
        <v>27</v>
      </c>
      <c r="B33" s="19" t="s">
        <v>59</v>
      </c>
      <c r="C33" s="91">
        <v>7936783.0959999999</v>
      </c>
      <c r="D33" s="38" t="s">
        <v>65</v>
      </c>
      <c r="E33" s="39"/>
      <c r="F33" s="54">
        <f t="shared" ref="F33:R33" si="21">F13/$C$13*$C$33</f>
        <v>499717.90080085193</v>
      </c>
      <c r="G33" s="54">
        <f t="shared" si="21"/>
        <v>1700001.9589864402</v>
      </c>
      <c r="H33" s="54">
        <f t="shared" si="21"/>
        <v>2811908.8717126022</v>
      </c>
      <c r="I33" s="54">
        <f t="shared" si="21"/>
        <v>607360.34356167249</v>
      </c>
      <c r="J33" s="54">
        <f t="shared" si="21"/>
        <v>852328.92310192995</v>
      </c>
      <c r="K33" s="54">
        <f t="shared" si="21"/>
        <v>771934.8344355314</v>
      </c>
      <c r="L33" s="54">
        <f t="shared" si="21"/>
        <v>119858.38419012353</v>
      </c>
      <c r="M33" s="54">
        <f t="shared" si="21"/>
        <v>160146.04012750692</v>
      </c>
      <c r="N33" s="54">
        <f t="shared" si="21"/>
        <v>66407.819878621871</v>
      </c>
      <c r="O33" s="54">
        <f t="shared" si="21"/>
        <v>18394.308792545155</v>
      </c>
      <c r="P33" s="54">
        <f t="shared" si="21"/>
        <v>16624.280492992966</v>
      </c>
      <c r="Q33" s="54">
        <f t="shared" si="21"/>
        <v>21342.962989786411</v>
      </c>
      <c r="R33" s="140">
        <f t="shared" si="21"/>
        <v>290756.46692939452</v>
      </c>
      <c r="S33" s="166"/>
      <c r="T33" s="52">
        <f t="shared" si="5"/>
        <v>7936783.0960000008</v>
      </c>
      <c r="U33" s="53">
        <f t="shared" si="6"/>
        <v>0</v>
      </c>
      <c r="V33" s="56"/>
      <c r="W33" s="56"/>
      <c r="X33" s="56"/>
      <c r="Y33" s="56"/>
      <c r="Z33" s="56"/>
      <c r="AA33" s="56"/>
    </row>
    <row r="34" spans="1:27" s="101" customFormat="1" hidden="1" x14ac:dyDescent="0.2">
      <c r="A34" s="38">
        <v>30</v>
      </c>
      <c r="B34" s="102" t="s">
        <v>72</v>
      </c>
      <c r="C34" s="95">
        <v>0</v>
      </c>
      <c r="D34" s="94" t="s">
        <v>0</v>
      </c>
      <c r="E34" s="96"/>
      <c r="F34" s="97">
        <f t="shared" ref="F34:R34" si="22">$C$34*F11</f>
        <v>0</v>
      </c>
      <c r="G34" s="97">
        <f t="shared" si="22"/>
        <v>0</v>
      </c>
      <c r="H34" s="97">
        <f t="shared" si="22"/>
        <v>0</v>
      </c>
      <c r="I34" s="97">
        <f t="shared" si="22"/>
        <v>0</v>
      </c>
      <c r="J34" s="97">
        <f t="shared" si="22"/>
        <v>0</v>
      </c>
      <c r="K34" s="97">
        <f t="shared" si="22"/>
        <v>0</v>
      </c>
      <c r="L34" s="97">
        <f t="shared" si="22"/>
        <v>0</v>
      </c>
      <c r="M34" s="97">
        <f t="shared" si="22"/>
        <v>0</v>
      </c>
      <c r="N34" s="97">
        <f t="shared" si="22"/>
        <v>0</v>
      </c>
      <c r="O34" s="97">
        <f t="shared" si="22"/>
        <v>0</v>
      </c>
      <c r="P34" s="97">
        <f t="shared" si="22"/>
        <v>0</v>
      </c>
      <c r="Q34" s="97">
        <f t="shared" si="22"/>
        <v>0</v>
      </c>
      <c r="R34" s="142">
        <f t="shared" si="22"/>
        <v>0</v>
      </c>
      <c r="S34" s="168"/>
      <c r="T34" s="98">
        <f t="shared" si="5"/>
        <v>0</v>
      </c>
      <c r="U34" s="99">
        <f t="shared" si="6"/>
        <v>0</v>
      </c>
      <c r="V34" s="100"/>
      <c r="W34" s="100"/>
      <c r="X34" s="100"/>
      <c r="Y34" s="100"/>
      <c r="Z34" s="100"/>
      <c r="AA34" s="100"/>
    </row>
    <row r="35" spans="1:27" s="29" customFormat="1" x14ac:dyDescent="0.2">
      <c r="A35" s="29">
        <v>28</v>
      </c>
      <c r="B35" s="19" t="s">
        <v>71</v>
      </c>
      <c r="C35" s="91">
        <v>-2271425.1879999996</v>
      </c>
      <c r="D35" s="38" t="s">
        <v>65</v>
      </c>
      <c r="E35" s="39"/>
      <c r="F35" s="54">
        <f t="shared" ref="F35:R35" si="23">F13/$C$13*$C$35</f>
        <v>-143014.09186117188</v>
      </c>
      <c r="G35" s="54">
        <f t="shared" si="23"/>
        <v>-486522.9681326726</v>
      </c>
      <c r="H35" s="54">
        <f t="shared" si="23"/>
        <v>-804739.21994764113</v>
      </c>
      <c r="I35" s="54">
        <f t="shared" si="23"/>
        <v>-173820.24503776568</v>
      </c>
      <c r="J35" s="54">
        <f t="shared" si="23"/>
        <v>-243927.71743634387</v>
      </c>
      <c r="K35" s="54">
        <f t="shared" si="23"/>
        <v>-220919.76122103608</v>
      </c>
      <c r="L35" s="54">
        <f t="shared" si="23"/>
        <v>-34302.229196566608</v>
      </c>
      <c r="M35" s="54">
        <f t="shared" si="23"/>
        <v>-45832.139407640665</v>
      </c>
      <c r="N35" s="54">
        <f t="shared" si="23"/>
        <v>-19005.230825633844</v>
      </c>
      <c r="O35" s="54">
        <f t="shared" si="23"/>
        <v>-5264.2608222837753</v>
      </c>
      <c r="P35" s="54">
        <f t="shared" si="23"/>
        <v>-4757.697040151199</v>
      </c>
      <c r="Q35" s="54">
        <f t="shared" si="23"/>
        <v>-6108.1351392839724</v>
      </c>
      <c r="R35" s="140">
        <f t="shared" si="23"/>
        <v>-83211.491931808196</v>
      </c>
      <c r="S35" s="166"/>
      <c r="T35" s="52">
        <f t="shared" si="5"/>
        <v>-2271425.1879999996</v>
      </c>
      <c r="U35" s="53">
        <f t="shared" si="6"/>
        <v>0</v>
      </c>
      <c r="V35" s="56"/>
      <c r="W35" s="56"/>
      <c r="X35" s="56"/>
      <c r="Y35" s="56"/>
      <c r="Z35" s="56"/>
      <c r="AA35" s="56"/>
    </row>
    <row r="36" spans="1:27" s="101" customFormat="1" hidden="1" x14ac:dyDescent="0.2">
      <c r="A36" s="38">
        <v>32</v>
      </c>
      <c r="B36" s="102" t="s">
        <v>72</v>
      </c>
      <c r="C36" s="95">
        <v>0</v>
      </c>
      <c r="D36" s="94" t="s">
        <v>47</v>
      </c>
      <c r="E36" s="96"/>
      <c r="F36" s="97">
        <f t="shared" ref="F36:M36" si="24">F6/($C$6-$N$6-$O$6-$P$6)*$C$36</f>
        <v>0</v>
      </c>
      <c r="G36" s="97">
        <f t="shared" si="24"/>
        <v>0</v>
      </c>
      <c r="H36" s="97">
        <f t="shared" si="24"/>
        <v>0</v>
      </c>
      <c r="I36" s="97">
        <f t="shared" si="24"/>
        <v>0</v>
      </c>
      <c r="J36" s="97">
        <f t="shared" si="24"/>
        <v>0</v>
      </c>
      <c r="K36" s="97">
        <f t="shared" si="24"/>
        <v>0</v>
      </c>
      <c r="L36" s="97">
        <f t="shared" si="24"/>
        <v>0</v>
      </c>
      <c r="M36" s="97">
        <f t="shared" si="24"/>
        <v>0</v>
      </c>
      <c r="N36" s="97">
        <v>0</v>
      </c>
      <c r="O36" s="97">
        <v>0</v>
      </c>
      <c r="P36" s="97">
        <v>0</v>
      </c>
      <c r="Q36" s="97">
        <f>Q6/($C$6-$N$6-$O$6-$P$6)*$C$36</f>
        <v>0</v>
      </c>
      <c r="R36" s="142">
        <f>R6/($C$6-$N$6-$O$6-$P$6)*$C$36</f>
        <v>0</v>
      </c>
      <c r="S36" s="168"/>
      <c r="T36" s="98">
        <f t="shared" si="5"/>
        <v>0</v>
      </c>
      <c r="U36" s="99">
        <f t="shared" si="6"/>
        <v>0</v>
      </c>
      <c r="V36" s="100"/>
      <c r="W36" s="100"/>
      <c r="X36" s="100"/>
      <c r="Y36" s="100"/>
      <c r="Z36" s="100"/>
      <c r="AA36" s="100"/>
    </row>
    <row r="37" spans="1:27" s="29" customFormat="1" x14ac:dyDescent="0.2">
      <c r="A37" s="29">
        <v>29</v>
      </c>
      <c r="B37" s="19" t="s">
        <v>69</v>
      </c>
      <c r="C37" s="91">
        <v>-101549.87640000001</v>
      </c>
      <c r="D37" s="38" t="s">
        <v>77</v>
      </c>
      <c r="E37" s="39"/>
      <c r="F37" s="54">
        <f>F6/(SUM($F$6:$J$6,$L$6))*$C$37</f>
        <v>-18260.749751819396</v>
      </c>
      <c r="G37" s="54">
        <f t="shared" ref="G37:L37" si="25">G6/(SUM($F$6:$J$6,$L$6))*$C$37</f>
        <v>-36053.806985530144</v>
      </c>
      <c r="H37" s="54">
        <f t="shared" si="25"/>
        <v>-26542.038398059391</v>
      </c>
      <c r="I37" s="54">
        <f t="shared" si="25"/>
        <v>-12081.309984691399</v>
      </c>
      <c r="J37" s="54">
        <f t="shared" si="25"/>
        <v>-7151.2455200547893</v>
      </c>
      <c r="K37" s="54">
        <v>0</v>
      </c>
      <c r="L37" s="54">
        <f t="shared" si="25"/>
        <v>-1460.7257598448871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140">
        <v>0</v>
      </c>
      <c r="S37" s="166"/>
      <c r="T37" s="52">
        <f t="shared" si="5"/>
        <v>-101549.87640000001</v>
      </c>
      <c r="U37" s="53">
        <f t="shared" si="6"/>
        <v>0</v>
      </c>
      <c r="V37" s="56"/>
      <c r="W37" s="56"/>
      <c r="X37" s="56"/>
      <c r="Y37" s="56"/>
      <c r="Z37" s="56"/>
      <c r="AA37" s="56"/>
    </row>
    <row r="38" spans="1:27" s="29" customFormat="1" x14ac:dyDescent="0.2">
      <c r="A38" s="38">
        <v>30</v>
      </c>
      <c r="B38" s="115" t="s">
        <v>68</v>
      </c>
      <c r="C38" s="91">
        <v>-12189769.220000001</v>
      </c>
      <c r="D38" s="38" t="s">
        <v>65</v>
      </c>
      <c r="E38" s="39"/>
      <c r="F38" s="54">
        <f t="shared" ref="F38:R38" si="26">F13/$C$13*$C$38</f>
        <v>-767495.57247384277</v>
      </c>
      <c r="G38" s="54">
        <f t="shared" si="26"/>
        <v>-2610961.0534822927</v>
      </c>
      <c r="H38" s="54">
        <f t="shared" si="26"/>
        <v>-4318691.8174848417</v>
      </c>
      <c r="I38" s="54">
        <f t="shared" si="26"/>
        <v>-932819.04417017242</v>
      </c>
      <c r="J38" s="54">
        <f t="shared" si="26"/>
        <v>-1309055.9167957958</v>
      </c>
      <c r="K38" s="54">
        <f t="shared" si="26"/>
        <v>-1185582.0388225508</v>
      </c>
      <c r="L38" s="54">
        <f t="shared" si="26"/>
        <v>-184085.41907817087</v>
      </c>
      <c r="M38" s="54">
        <f t="shared" si="26"/>
        <v>-245961.52459237733</v>
      </c>
      <c r="N38" s="54">
        <f t="shared" si="26"/>
        <v>-101992.95973348459</v>
      </c>
      <c r="O38" s="54">
        <f t="shared" si="26"/>
        <v>-28251.040305680835</v>
      </c>
      <c r="P38" s="54">
        <f t="shared" si="26"/>
        <v>-25532.528759701421</v>
      </c>
      <c r="Q38" s="54">
        <f t="shared" si="26"/>
        <v>-32779.753480678664</v>
      </c>
      <c r="R38" s="140">
        <f t="shared" si="26"/>
        <v>-446560.55082041031</v>
      </c>
      <c r="S38" s="166"/>
      <c r="T38" s="52">
        <f t="shared" si="5"/>
        <v>-12189769.220000001</v>
      </c>
      <c r="U38" s="53">
        <f t="shared" si="6"/>
        <v>0</v>
      </c>
      <c r="V38" s="56"/>
      <c r="W38" s="56"/>
      <c r="X38" s="56"/>
      <c r="Y38" s="56"/>
      <c r="Z38" s="56"/>
      <c r="AA38" s="56"/>
    </row>
    <row r="39" spans="1:27" s="29" customFormat="1" x14ac:dyDescent="0.2">
      <c r="A39" s="29">
        <v>31</v>
      </c>
      <c r="B39" s="19" t="s">
        <v>67</v>
      </c>
      <c r="C39" s="91">
        <v>595216.98359999992</v>
      </c>
      <c r="D39" s="38" t="s">
        <v>65</v>
      </c>
      <c r="E39" s="39"/>
      <c r="F39" s="54">
        <f t="shared" ref="F39:R39" si="27">F13/$C$13*$C$39</f>
        <v>37476.213973330319</v>
      </c>
      <c r="G39" s="54">
        <f t="shared" si="27"/>
        <v>127491.20467358678</v>
      </c>
      <c r="H39" s="54">
        <f t="shared" si="27"/>
        <v>210878.37434065292</v>
      </c>
      <c r="I39" s="54">
        <f t="shared" si="27"/>
        <v>45548.830965940557</v>
      </c>
      <c r="J39" s="54">
        <f t="shared" si="27"/>
        <v>63920.185862134473</v>
      </c>
      <c r="K39" s="54">
        <f t="shared" si="27"/>
        <v>57891.052096415056</v>
      </c>
      <c r="L39" s="54">
        <f t="shared" si="27"/>
        <v>8988.748342230776</v>
      </c>
      <c r="M39" s="54">
        <f t="shared" si="27"/>
        <v>12010.110618774457</v>
      </c>
      <c r="N39" s="54">
        <f t="shared" si="27"/>
        <v>4980.2371763852752</v>
      </c>
      <c r="O39" s="54">
        <f t="shared" si="27"/>
        <v>1379.4764027788021</v>
      </c>
      <c r="P39" s="54">
        <f t="shared" si="27"/>
        <v>1246.7335909112253</v>
      </c>
      <c r="Q39" s="54">
        <f t="shared" si="27"/>
        <v>1600.6099572343792</v>
      </c>
      <c r="R39" s="140">
        <f t="shared" si="27"/>
        <v>21805.205599624886</v>
      </c>
      <c r="S39" s="166"/>
      <c r="T39" s="52">
        <f t="shared" si="5"/>
        <v>595216.98359999992</v>
      </c>
      <c r="U39" s="53">
        <f t="shared" si="6"/>
        <v>0</v>
      </c>
      <c r="V39" s="56"/>
      <c r="W39" s="56"/>
      <c r="X39" s="56"/>
      <c r="Y39" s="56"/>
      <c r="Z39" s="56"/>
      <c r="AA39" s="56"/>
    </row>
    <row r="40" spans="1:27" s="29" customFormat="1" x14ac:dyDescent="0.2">
      <c r="A40" s="38">
        <v>32</v>
      </c>
      <c r="B40" s="115" t="s">
        <v>79</v>
      </c>
      <c r="C40" s="91">
        <v>-1503.0300000000007</v>
      </c>
      <c r="D40" s="38" t="s">
        <v>65</v>
      </c>
      <c r="E40" s="39"/>
      <c r="F40" s="54">
        <f t="shared" ref="F40:R40" si="28">F13/$C$13*$C$40</f>
        <v>-94.634184575264698</v>
      </c>
      <c r="G40" s="54">
        <f t="shared" si="28"/>
        <v>-321.93823536681293</v>
      </c>
      <c r="H40" s="54">
        <f t="shared" si="28"/>
        <v>-532.50584529394757</v>
      </c>
      <c r="I40" s="54">
        <f t="shared" si="28"/>
        <v>-115.01899524551415</v>
      </c>
      <c r="J40" s="54">
        <f t="shared" si="28"/>
        <v>-161.40997250328465</v>
      </c>
      <c r="K40" s="54">
        <f t="shared" si="28"/>
        <v>-146.18532473016413</v>
      </c>
      <c r="L40" s="54">
        <f t="shared" si="28"/>
        <v>-22.698207196826921</v>
      </c>
      <c r="M40" s="54">
        <f t="shared" si="28"/>
        <v>-30.327690675351526</v>
      </c>
      <c r="N40" s="54">
        <f t="shared" si="28"/>
        <v>-12.57599512357457</v>
      </c>
      <c r="O40" s="54">
        <f t="shared" si="28"/>
        <v>-3.4834261702821214</v>
      </c>
      <c r="P40" s="54">
        <f t="shared" si="28"/>
        <v>-3.1482266816610038</v>
      </c>
      <c r="Q40" s="54">
        <f t="shared" si="28"/>
        <v>-4.0418281909084799</v>
      </c>
      <c r="R40" s="140">
        <f t="shared" si="28"/>
        <v>-55.062068246407833</v>
      </c>
      <c r="S40" s="166"/>
      <c r="T40" s="52">
        <f>SUM(F40:R40)</f>
        <v>-1503.0300000000009</v>
      </c>
      <c r="U40" s="53">
        <f t="shared" si="6"/>
        <v>0</v>
      </c>
      <c r="V40" s="56"/>
      <c r="W40" s="56"/>
      <c r="X40" s="56"/>
      <c r="Y40" s="56"/>
      <c r="Z40" s="56"/>
      <c r="AA40" s="56"/>
    </row>
    <row r="41" spans="1:27" s="29" customFormat="1" x14ac:dyDescent="0.2">
      <c r="A41" s="29">
        <v>33</v>
      </c>
      <c r="B41" s="19"/>
      <c r="C41" s="91"/>
      <c r="D41" s="38"/>
      <c r="E41" s="39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140"/>
      <c r="S41" s="166"/>
      <c r="T41" s="52"/>
      <c r="U41" s="53"/>
      <c r="V41" s="56"/>
      <c r="W41" s="56"/>
      <c r="X41" s="56"/>
      <c r="Y41" s="56"/>
      <c r="Z41" s="56"/>
      <c r="AA41" s="56"/>
    </row>
    <row r="42" spans="1:27" s="28" customFormat="1" ht="15.75" thickBot="1" x14ac:dyDescent="0.25">
      <c r="A42" s="38">
        <v>34</v>
      </c>
      <c r="B42" s="37"/>
      <c r="C42" s="57"/>
      <c r="D42" s="39"/>
      <c r="E42" s="39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143"/>
      <c r="S42" s="169"/>
      <c r="T42" s="58"/>
      <c r="U42" s="58"/>
      <c r="V42" s="58"/>
      <c r="W42" s="58"/>
      <c r="X42" s="58"/>
      <c r="Y42" s="58"/>
      <c r="Z42" s="58"/>
      <c r="AA42" s="58"/>
    </row>
    <row r="43" spans="1:27" s="28" customFormat="1" ht="25.5" customHeight="1" x14ac:dyDescent="0.2">
      <c r="A43" s="38">
        <v>35</v>
      </c>
      <c r="B43" s="185" t="s">
        <v>15</v>
      </c>
      <c r="C43" s="116">
        <f>SUM(C20:C40)</f>
        <v>30897759.42490001</v>
      </c>
      <c r="D43" s="39"/>
      <c r="E43" s="39"/>
      <c r="F43" s="60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144"/>
      <c r="S43" s="165"/>
    </row>
    <row r="44" spans="1:27" s="28" customFormat="1" x14ac:dyDescent="0.2">
      <c r="A44" s="38">
        <v>36</v>
      </c>
      <c r="B44" s="186"/>
      <c r="C44" s="117"/>
      <c r="D44" s="39"/>
      <c r="E44" s="39"/>
      <c r="F44" s="61" t="s">
        <v>1</v>
      </c>
      <c r="G44" s="62" t="s">
        <v>2</v>
      </c>
      <c r="H44" s="62" t="s">
        <v>3</v>
      </c>
      <c r="I44" s="62" t="s">
        <v>4</v>
      </c>
      <c r="J44" s="62" t="s">
        <v>5</v>
      </c>
      <c r="K44" s="62" t="s">
        <v>6</v>
      </c>
      <c r="L44" s="62" t="s">
        <v>11</v>
      </c>
      <c r="M44" s="62" t="s">
        <v>12</v>
      </c>
      <c r="N44" s="62" t="s">
        <v>9</v>
      </c>
      <c r="O44" s="62" t="s">
        <v>10</v>
      </c>
      <c r="P44" s="62" t="s">
        <v>17</v>
      </c>
      <c r="Q44" s="62" t="s">
        <v>7</v>
      </c>
      <c r="R44" s="145" t="s">
        <v>8</v>
      </c>
      <c r="S44" s="159"/>
    </row>
    <row r="45" spans="1:27" s="28" customFormat="1" ht="13.5" thickBot="1" x14ac:dyDescent="0.25">
      <c r="A45" s="38">
        <v>37</v>
      </c>
      <c r="B45" s="187"/>
      <c r="C45" s="118">
        <f>SUM(F45:R45)</f>
        <v>30897759.42490001</v>
      </c>
      <c r="D45" s="111">
        <f>D47*5</f>
        <v>30897759.42490001</v>
      </c>
      <c r="E45" s="39"/>
      <c r="F45" s="59">
        <f>SUM(F20:F40)</f>
        <v>378161.29056658619</v>
      </c>
      <c r="G45" s="59">
        <f t="shared" ref="G45:R45" si="29">SUM(G20:G40)</f>
        <v>729496.13667593407</v>
      </c>
      <c r="H45" s="59">
        <f t="shared" si="29"/>
        <v>-40820.593433723894</v>
      </c>
      <c r="I45" s="59">
        <f t="shared" si="29"/>
        <v>30139.188330591311</v>
      </c>
      <c r="J45" s="59">
        <f t="shared" si="29"/>
        <v>185624.87577639968</v>
      </c>
      <c r="K45" s="59">
        <f t="shared" si="29"/>
        <v>204126.96629807926</v>
      </c>
      <c r="L45" s="59">
        <f t="shared" si="29"/>
        <v>92289.163781561379</v>
      </c>
      <c r="M45" s="59">
        <f t="shared" si="29"/>
        <v>160341.93236613154</v>
      </c>
      <c r="N45" s="59">
        <f t="shared" si="29"/>
        <v>233.20713150905385</v>
      </c>
      <c r="O45" s="59">
        <f t="shared" si="29"/>
        <v>2855.60467174629</v>
      </c>
      <c r="P45" s="59">
        <f t="shared" si="29"/>
        <v>3285.2562549324921</v>
      </c>
      <c r="Q45" s="59">
        <f t="shared" si="29"/>
        <v>3379.0328319830637</v>
      </c>
      <c r="R45" s="146">
        <f t="shared" si="29"/>
        <v>29148647.363648281</v>
      </c>
      <c r="S45" s="170"/>
    </row>
    <row r="46" spans="1:27" s="28" customFormat="1" ht="13.5" thickBot="1" x14ac:dyDescent="0.25">
      <c r="A46" s="38">
        <v>38</v>
      </c>
      <c r="B46" s="63"/>
      <c r="C46" s="39"/>
      <c r="D46" s="5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144"/>
      <c r="S46" s="165"/>
    </row>
    <row r="47" spans="1:27" s="28" customFormat="1" ht="13.5" thickBot="1" x14ac:dyDescent="0.25">
      <c r="A47" s="38">
        <v>39</v>
      </c>
      <c r="B47" s="64"/>
      <c r="C47" s="65" t="s">
        <v>31</v>
      </c>
      <c r="D47" s="66">
        <f>SUM(F47:R47)</f>
        <v>6179551.8849800024</v>
      </c>
      <c r="E47" s="67"/>
      <c r="F47" s="93">
        <f t="shared" ref="F47:R47" si="30">F45/$B$60</f>
        <v>75632.258113317235</v>
      </c>
      <c r="G47" s="93">
        <f t="shared" si="30"/>
        <v>145899.22733518682</v>
      </c>
      <c r="H47" s="93">
        <f t="shared" si="30"/>
        <v>-8164.1186867447786</v>
      </c>
      <c r="I47" s="93">
        <f t="shared" si="30"/>
        <v>6027.837666118262</v>
      </c>
      <c r="J47" s="93">
        <f t="shared" si="30"/>
        <v>37124.975155279935</v>
      </c>
      <c r="K47" s="93">
        <f t="shared" si="30"/>
        <v>40825.393259615856</v>
      </c>
      <c r="L47" s="93">
        <f t="shared" si="30"/>
        <v>18457.832756312277</v>
      </c>
      <c r="M47" s="93">
        <f t="shared" si="30"/>
        <v>32068.38647322631</v>
      </c>
      <c r="N47" s="93">
        <f t="shared" si="30"/>
        <v>46.641426301810768</v>
      </c>
      <c r="O47" s="93">
        <f t="shared" si="30"/>
        <v>571.12093434925805</v>
      </c>
      <c r="P47" s="93">
        <f t="shared" si="30"/>
        <v>657.05125098649842</v>
      </c>
      <c r="Q47" s="93">
        <f t="shared" si="30"/>
        <v>675.80656639661277</v>
      </c>
      <c r="R47" s="147">
        <f t="shared" si="30"/>
        <v>5829729.4727296559</v>
      </c>
      <c r="S47" s="171"/>
    </row>
    <row r="48" spans="1:27" s="28" customFormat="1" x14ac:dyDescent="0.2">
      <c r="A48" s="38">
        <v>40</v>
      </c>
      <c r="B48" s="21"/>
      <c r="C48" s="68"/>
      <c r="D48" s="69"/>
      <c r="E48" s="67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148"/>
      <c r="S48" s="172"/>
    </row>
    <row r="49" spans="1:19" s="28" customFormat="1" ht="25.5" x14ac:dyDescent="0.2">
      <c r="A49" s="38">
        <v>41</v>
      </c>
      <c r="B49" s="189" t="s">
        <v>66</v>
      </c>
      <c r="C49" s="119" t="s">
        <v>80</v>
      </c>
      <c r="D49" s="69">
        <f t="shared" ref="D49:D60" si="31">SUM(F49:R49)</f>
        <v>-69175.225820000051</v>
      </c>
      <c r="E49" s="67"/>
      <c r="F49" s="68">
        <f>SUM(F28,F29,F30,F31,F32,F33,F34,F35,F38,F39,F40)/$B$60</f>
        <v>281.62126868290585</v>
      </c>
      <c r="G49" s="68">
        <f t="shared" ref="G49:R49" si="32">SUM(G28,G29,G30,G31,G32,G33,G34,G35,G38,G39,G40)/$B$60</f>
        <v>-27053.652710997725</v>
      </c>
      <c r="H49" s="68">
        <f t="shared" si="32"/>
        <v>-160558.0385336022</v>
      </c>
      <c r="I49" s="68">
        <f t="shared" si="32"/>
        <v>-24013.782485321841</v>
      </c>
      <c r="J49" s="68">
        <f t="shared" si="32"/>
        <v>-28089.056495342949</v>
      </c>
      <c r="K49" s="68">
        <f t="shared" si="32"/>
        <v>-23932.70993063186</v>
      </c>
      <c r="L49" s="68">
        <f t="shared" si="32"/>
        <v>514.727854242994</v>
      </c>
      <c r="M49" s="68">
        <f t="shared" si="32"/>
        <v>2897.2421990802932</v>
      </c>
      <c r="N49" s="68">
        <f t="shared" si="32"/>
        <v>-3819.8125464191785</v>
      </c>
      <c r="O49" s="68">
        <f t="shared" si="32"/>
        <v>-2415.975974284017</v>
      </c>
      <c r="P49" s="68">
        <f t="shared" si="32"/>
        <v>-579.56022128187794</v>
      </c>
      <c r="Q49" s="68">
        <f t="shared" si="32"/>
        <v>55.537171626217116</v>
      </c>
      <c r="R49" s="148">
        <f t="shared" si="32"/>
        <v>197538.23458424915</v>
      </c>
      <c r="S49" s="172"/>
    </row>
    <row r="50" spans="1:19" s="28" customFormat="1" x14ac:dyDescent="0.2">
      <c r="A50" s="38">
        <v>42</v>
      </c>
      <c r="B50" s="189"/>
      <c r="C50" s="121" t="s">
        <v>81</v>
      </c>
      <c r="D50" s="69">
        <f t="shared" si="31"/>
        <v>-113289.88046203821</v>
      </c>
      <c r="E50" s="67"/>
      <c r="F50" s="68">
        <f t="shared" ref="F50:R50" si="33">F49*(F14/SUM(F14:F15))</f>
        <v>232.40052716605948</v>
      </c>
      <c r="G50" s="68">
        <f t="shared" si="33"/>
        <v>-17665.490047918451</v>
      </c>
      <c r="H50" s="68">
        <f t="shared" si="33"/>
        <v>-109425.52113003771</v>
      </c>
      <c r="I50" s="68">
        <f t="shared" si="33"/>
        <v>-15769.648404348707</v>
      </c>
      <c r="J50" s="68">
        <f t="shared" si="33"/>
        <v>-5677.137326235822</v>
      </c>
      <c r="K50" s="68">
        <f t="shared" si="33"/>
        <v>-1131.4664654914898</v>
      </c>
      <c r="L50" s="68">
        <f t="shared" si="33"/>
        <v>122.04674752452799</v>
      </c>
      <c r="M50" s="68">
        <f t="shared" si="33"/>
        <v>209.31032842178072</v>
      </c>
      <c r="N50" s="68">
        <f t="shared" si="33"/>
        <v>-82.028130685439365</v>
      </c>
      <c r="O50" s="68">
        <f t="shared" si="33"/>
        <v>-654.21968478260828</v>
      </c>
      <c r="P50" s="68">
        <f t="shared" si="33"/>
        <v>-446.71368267609853</v>
      </c>
      <c r="Q50" s="68">
        <f t="shared" si="33"/>
        <v>38.739661064841329</v>
      </c>
      <c r="R50" s="148">
        <f t="shared" si="33"/>
        <v>36959.847145960906</v>
      </c>
      <c r="S50" s="172"/>
    </row>
    <row r="51" spans="1:19" s="28" customFormat="1" x14ac:dyDescent="0.2">
      <c r="A51" s="38">
        <v>43</v>
      </c>
      <c r="B51" s="189"/>
      <c r="C51" s="121" t="s">
        <v>82</v>
      </c>
      <c r="D51" s="69">
        <f t="shared" si="31"/>
        <v>44114.654642038091</v>
      </c>
      <c r="E51" s="67"/>
      <c r="F51" s="68">
        <f t="shared" ref="F51:R51" si="34">F49*(F15/SUM(F14:F15))</f>
        <v>49.220741516846388</v>
      </c>
      <c r="G51" s="68">
        <f t="shared" si="34"/>
        <v>-9388.1626630792744</v>
      </c>
      <c r="H51" s="68">
        <f t="shared" si="34"/>
        <v>-51132.51740356451</v>
      </c>
      <c r="I51" s="68">
        <f t="shared" si="34"/>
        <v>-8244.1340809731337</v>
      </c>
      <c r="J51" s="68">
        <f t="shared" si="34"/>
        <v>-22411.919169107128</v>
      </c>
      <c r="K51" s="68">
        <f t="shared" si="34"/>
        <v>-22801.243465140371</v>
      </c>
      <c r="L51" s="68">
        <f t="shared" si="34"/>
        <v>392.68110671846597</v>
      </c>
      <c r="M51" s="68">
        <f t="shared" si="34"/>
        <v>2687.9318706585123</v>
      </c>
      <c r="N51" s="68">
        <f t="shared" si="34"/>
        <v>-3737.7844157337395</v>
      </c>
      <c r="O51" s="68">
        <f t="shared" si="34"/>
        <v>-1761.7562895014087</v>
      </c>
      <c r="P51" s="68">
        <f t="shared" si="34"/>
        <v>-132.84653860577944</v>
      </c>
      <c r="Q51" s="68">
        <f t="shared" si="34"/>
        <v>16.797510561375788</v>
      </c>
      <c r="R51" s="148">
        <f t="shared" si="34"/>
        <v>160578.38743828825</v>
      </c>
      <c r="S51" s="172"/>
    </row>
    <row r="52" spans="1:19" s="28" customFormat="1" x14ac:dyDescent="0.2">
      <c r="A52" s="38">
        <v>44</v>
      </c>
      <c r="B52" s="189"/>
      <c r="C52" s="71"/>
      <c r="D52" s="69"/>
      <c r="E52" s="67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148"/>
      <c r="S52" s="172"/>
    </row>
    <row r="53" spans="1:19" s="28" customFormat="1" ht="26.45" customHeight="1" x14ac:dyDescent="0.2">
      <c r="A53" s="38">
        <v>45</v>
      </c>
      <c r="B53" s="189"/>
      <c r="C53" s="119" t="s">
        <v>83</v>
      </c>
      <c r="D53" s="69">
        <f t="shared" si="31"/>
        <v>111340.75540000002</v>
      </c>
      <c r="E53" s="67"/>
      <c r="F53" s="68">
        <f t="shared" ref="F53:R53" si="35">(F27+F36+F37)/$B$60</f>
        <v>19220.08519957514</v>
      </c>
      <c r="G53" s="68">
        <f t="shared" si="35"/>
        <v>37947.907476355635</v>
      </c>
      <c r="H53" s="68">
        <f t="shared" si="35"/>
        <v>27936.434501013242</v>
      </c>
      <c r="I53" s="68">
        <f t="shared" si="35"/>
        <v>12716.006209170631</v>
      </c>
      <c r="J53" s="68">
        <f t="shared" si="35"/>
        <v>7526.9389289362862</v>
      </c>
      <c r="K53" s="68">
        <f t="shared" si="35"/>
        <v>547.21164128527585</v>
      </c>
      <c r="L53" s="68">
        <f t="shared" si="35"/>
        <v>1537.465544350697</v>
      </c>
      <c r="M53" s="68">
        <f t="shared" si="35"/>
        <v>176.56832512388311</v>
      </c>
      <c r="N53" s="68">
        <f t="shared" si="35"/>
        <v>538.86752570718704</v>
      </c>
      <c r="O53" s="68">
        <f t="shared" si="35"/>
        <v>2428.1780938119055</v>
      </c>
      <c r="P53" s="68">
        <f t="shared" si="35"/>
        <v>566.6081519549374</v>
      </c>
      <c r="Q53" s="68">
        <f t="shared" si="35"/>
        <v>116.66532625253339</v>
      </c>
      <c r="R53" s="148">
        <f t="shared" si="35"/>
        <v>81.818476462673132</v>
      </c>
      <c r="S53" s="172"/>
    </row>
    <row r="54" spans="1:19" s="28" customFormat="1" ht="25.5" x14ac:dyDescent="0.2">
      <c r="A54" s="38">
        <v>46</v>
      </c>
      <c r="B54" s="189"/>
      <c r="C54" s="119" t="s">
        <v>84</v>
      </c>
      <c r="D54" s="69">
        <f t="shared" si="31"/>
        <v>5277386.3554000026</v>
      </c>
      <c r="E54" s="67"/>
      <c r="F54" s="68">
        <f>(F20+F21+F22+F23+F25)/$B$60</f>
        <v>-29314.890094574912</v>
      </c>
      <c r="G54" s="68">
        <f t="shared" ref="G54:R54" si="36">(G20+G21+G22+G23+G25)/$B$60</f>
        <v>-70508.053406134248</v>
      </c>
      <c r="H54" s="68">
        <f t="shared" si="36"/>
        <v>-64999.494881710038</v>
      </c>
      <c r="I54" s="68">
        <f t="shared" si="36"/>
        <v>-9048.5208795087183</v>
      </c>
      <c r="J54" s="68">
        <f t="shared" si="36"/>
        <v>-30127.813346738461</v>
      </c>
      <c r="K54" s="68">
        <f t="shared" si="36"/>
        <v>-33534.949746003564</v>
      </c>
      <c r="L54" s="68">
        <f t="shared" si="36"/>
        <v>-8568.0525241210125</v>
      </c>
      <c r="M54" s="68">
        <f t="shared" si="36"/>
        <v>-15142.783784830663</v>
      </c>
      <c r="N54" s="68">
        <f t="shared" si="36"/>
        <v>-1737.8740831062896</v>
      </c>
      <c r="O54" s="68">
        <f t="shared" si="36"/>
        <v>-291.90241585164551</v>
      </c>
      <c r="P54" s="68">
        <f t="shared" si="36"/>
        <v>-349.91770296841275</v>
      </c>
      <c r="Q54" s="68">
        <f t="shared" si="36"/>
        <v>-263.01359040859313</v>
      </c>
      <c r="R54" s="148">
        <f t="shared" si="36"/>
        <v>5541273.6218559593</v>
      </c>
      <c r="S54" s="172"/>
    </row>
    <row r="55" spans="1:19" s="28" customFormat="1" hidden="1" x14ac:dyDescent="0.2">
      <c r="A55" s="38">
        <v>49</v>
      </c>
      <c r="B55" s="189"/>
      <c r="C55" s="70" t="s">
        <v>48</v>
      </c>
      <c r="D55" s="69">
        <f t="shared" si="31"/>
        <v>0</v>
      </c>
      <c r="E55" s="67"/>
      <c r="F55" s="68">
        <f t="shared" ref="F55:R55" si="37">F24/$B$60</f>
        <v>0</v>
      </c>
      <c r="G55" s="68">
        <f t="shared" si="37"/>
        <v>0</v>
      </c>
      <c r="H55" s="68">
        <f t="shared" si="37"/>
        <v>0</v>
      </c>
      <c r="I55" s="68">
        <f t="shared" si="37"/>
        <v>0</v>
      </c>
      <c r="J55" s="68">
        <f t="shared" si="37"/>
        <v>0</v>
      </c>
      <c r="K55" s="68">
        <f t="shared" si="37"/>
        <v>0</v>
      </c>
      <c r="L55" s="68">
        <f t="shared" si="37"/>
        <v>0</v>
      </c>
      <c r="M55" s="68">
        <f t="shared" si="37"/>
        <v>0</v>
      </c>
      <c r="N55" s="68">
        <f t="shared" si="37"/>
        <v>0</v>
      </c>
      <c r="O55" s="68">
        <f t="shared" si="37"/>
        <v>0</v>
      </c>
      <c r="P55" s="68">
        <f t="shared" si="37"/>
        <v>0</v>
      </c>
      <c r="Q55" s="68">
        <f t="shared" si="37"/>
        <v>0</v>
      </c>
      <c r="R55" s="148">
        <f t="shared" si="37"/>
        <v>0</v>
      </c>
      <c r="S55" s="172"/>
    </row>
    <row r="56" spans="1:19" s="28" customFormat="1" x14ac:dyDescent="0.2">
      <c r="A56" s="38">
        <v>47</v>
      </c>
      <c r="B56" s="189"/>
      <c r="C56" s="119" t="s">
        <v>85</v>
      </c>
      <c r="D56" s="69">
        <f t="shared" si="31"/>
        <v>859999.99999999988</v>
      </c>
      <c r="E56" s="67"/>
      <c r="F56" s="68">
        <f>F26/$B$60</f>
        <v>85445.44173963413</v>
      </c>
      <c r="G56" s="68">
        <f t="shared" ref="G56:R56" si="38">G26/$B$60</f>
        <v>205513.02597596328</v>
      </c>
      <c r="H56" s="68">
        <f t="shared" si="38"/>
        <v>189456.98022755422</v>
      </c>
      <c r="I56" s="68">
        <f t="shared" si="38"/>
        <v>26374.134821778192</v>
      </c>
      <c r="J56" s="68">
        <f t="shared" si="38"/>
        <v>87814.906068425087</v>
      </c>
      <c r="K56" s="68">
        <f t="shared" si="38"/>
        <v>97745.841294965998</v>
      </c>
      <c r="L56" s="68">
        <f t="shared" si="38"/>
        <v>24973.691881839615</v>
      </c>
      <c r="M56" s="68">
        <f t="shared" si="38"/>
        <v>44137.359733852812</v>
      </c>
      <c r="N56" s="68">
        <f t="shared" si="38"/>
        <v>5065.4605301200927</v>
      </c>
      <c r="O56" s="68">
        <f t="shared" si="38"/>
        <v>850.82123067301507</v>
      </c>
      <c r="P56" s="68">
        <f t="shared" si="38"/>
        <v>1019.9210232818519</v>
      </c>
      <c r="Q56" s="68">
        <f t="shared" si="38"/>
        <v>766.61765892645496</v>
      </c>
      <c r="R56" s="148">
        <f t="shared" si="38"/>
        <v>90835.797812985125</v>
      </c>
      <c r="S56" s="172"/>
    </row>
    <row r="57" spans="1:19" s="28" customFormat="1" ht="27" customHeight="1" x14ac:dyDescent="0.2">
      <c r="A57" s="38">
        <v>48</v>
      </c>
      <c r="B57" s="189"/>
      <c r="C57" s="122" t="s">
        <v>86</v>
      </c>
      <c r="D57" s="25">
        <f t="shared" si="31"/>
        <v>-1949.1250620381979</v>
      </c>
      <c r="E57" s="26"/>
      <c r="F57" s="27">
        <f>F50+F53</f>
        <v>19452.485726741201</v>
      </c>
      <c r="G57" s="27">
        <f t="shared" ref="G57:Q57" si="39">G50+G53</f>
        <v>20282.417428437184</v>
      </c>
      <c r="H57" s="27">
        <f t="shared" si="39"/>
        <v>-81489.086629024474</v>
      </c>
      <c r="I57" s="27">
        <f t="shared" si="39"/>
        <v>-3053.6421951780758</v>
      </c>
      <c r="J57" s="27">
        <f t="shared" si="39"/>
        <v>1849.8016027004642</v>
      </c>
      <c r="K57" s="27">
        <f t="shared" si="39"/>
        <v>-584.25482420621393</v>
      </c>
      <c r="L57" s="27">
        <f t="shared" si="39"/>
        <v>1659.5122918752249</v>
      </c>
      <c r="M57" s="27">
        <f t="shared" si="39"/>
        <v>385.87865354566384</v>
      </c>
      <c r="N57" s="27">
        <f t="shared" si="39"/>
        <v>456.83939502174769</v>
      </c>
      <c r="O57" s="27">
        <f t="shared" si="39"/>
        <v>1773.9584090292972</v>
      </c>
      <c r="P57" s="27">
        <f t="shared" si="39"/>
        <v>119.89446927883887</v>
      </c>
      <c r="Q57" s="27">
        <f t="shared" si="39"/>
        <v>155.40498731737472</v>
      </c>
      <c r="R57" s="149">
        <f>R50+R53</f>
        <v>37041.665622423578</v>
      </c>
      <c r="S57" s="173"/>
    </row>
    <row r="58" spans="1:19" s="28" customFormat="1" ht="34.15" customHeight="1" x14ac:dyDescent="0.2">
      <c r="A58" s="38">
        <v>49</v>
      </c>
      <c r="B58" s="189"/>
      <c r="C58" s="122" t="s">
        <v>87</v>
      </c>
      <c r="D58" s="25">
        <f t="shared" si="31"/>
        <v>5321501.0100420406</v>
      </c>
      <c r="E58" s="26"/>
      <c r="F58" s="27">
        <f>F51+F54</f>
        <v>-29265.669353058067</v>
      </c>
      <c r="G58" s="27">
        <f t="shared" ref="G58:R58" si="40">G51+G54</f>
        <v>-79896.216069213522</v>
      </c>
      <c r="H58" s="27">
        <f t="shared" si="40"/>
        <v>-116132.01228527454</v>
      </c>
      <c r="I58" s="27">
        <f t="shared" si="40"/>
        <v>-17292.65496048185</v>
      </c>
      <c r="J58" s="27">
        <f t="shared" si="40"/>
        <v>-52539.732515845593</v>
      </c>
      <c r="K58" s="27">
        <f t="shared" si="40"/>
        <v>-56336.193211143938</v>
      </c>
      <c r="L58" s="27">
        <f t="shared" si="40"/>
        <v>-8175.3714174025463</v>
      </c>
      <c r="M58" s="27">
        <f t="shared" si="40"/>
        <v>-12454.85191417215</v>
      </c>
      <c r="N58" s="27">
        <f t="shared" si="40"/>
        <v>-5475.6584988400291</v>
      </c>
      <c r="O58" s="27">
        <f t="shared" si="40"/>
        <v>-2053.6587053530543</v>
      </c>
      <c r="P58" s="27">
        <f t="shared" si="40"/>
        <v>-482.76424157419217</v>
      </c>
      <c r="Q58" s="27">
        <f t="shared" si="40"/>
        <v>-246.21607984721734</v>
      </c>
      <c r="R58" s="149">
        <f t="shared" si="40"/>
        <v>5701852.0092942473</v>
      </c>
      <c r="S58" s="173"/>
    </row>
    <row r="59" spans="1:19" s="28" customFormat="1" hidden="1" x14ac:dyDescent="0.2">
      <c r="A59" s="38">
        <v>53</v>
      </c>
      <c r="B59" s="189"/>
      <c r="C59" s="27" t="s">
        <v>49</v>
      </c>
      <c r="D59" s="25">
        <f t="shared" si="31"/>
        <v>0</v>
      </c>
      <c r="E59" s="26"/>
      <c r="F59" s="27">
        <f>F55</f>
        <v>0</v>
      </c>
      <c r="G59" s="27">
        <f t="shared" ref="G59:R59" si="41">G55</f>
        <v>0</v>
      </c>
      <c r="H59" s="27">
        <f t="shared" si="41"/>
        <v>0</v>
      </c>
      <c r="I59" s="27">
        <f t="shared" si="41"/>
        <v>0</v>
      </c>
      <c r="J59" s="27">
        <f t="shared" si="41"/>
        <v>0</v>
      </c>
      <c r="K59" s="27">
        <f t="shared" si="41"/>
        <v>0</v>
      </c>
      <c r="L59" s="27">
        <f t="shared" si="41"/>
        <v>0</v>
      </c>
      <c r="M59" s="27">
        <f t="shared" si="41"/>
        <v>0</v>
      </c>
      <c r="N59" s="27">
        <f t="shared" si="41"/>
        <v>0</v>
      </c>
      <c r="O59" s="27">
        <f t="shared" si="41"/>
        <v>0</v>
      </c>
      <c r="P59" s="27">
        <f t="shared" si="41"/>
        <v>0</v>
      </c>
      <c r="Q59" s="27">
        <f t="shared" si="41"/>
        <v>0</v>
      </c>
      <c r="R59" s="149">
        <f t="shared" si="41"/>
        <v>0</v>
      </c>
      <c r="S59" s="173"/>
    </row>
    <row r="60" spans="1:19" s="28" customFormat="1" ht="13.5" thickBot="1" x14ac:dyDescent="0.25">
      <c r="A60" s="38">
        <v>50</v>
      </c>
      <c r="B60" s="92">
        <v>5</v>
      </c>
      <c r="C60" s="123" t="s">
        <v>88</v>
      </c>
      <c r="D60" s="25">
        <f t="shared" si="31"/>
        <v>859999.99999999988</v>
      </c>
      <c r="E60" s="72"/>
      <c r="F60" s="73">
        <f>F56</f>
        <v>85445.44173963413</v>
      </c>
      <c r="G60" s="73">
        <f t="shared" ref="G60:R60" si="42">G56</f>
        <v>205513.02597596328</v>
      </c>
      <c r="H60" s="73">
        <f t="shared" si="42"/>
        <v>189456.98022755422</v>
      </c>
      <c r="I60" s="73">
        <f t="shared" si="42"/>
        <v>26374.134821778192</v>
      </c>
      <c r="J60" s="73">
        <f t="shared" si="42"/>
        <v>87814.906068425087</v>
      </c>
      <c r="K60" s="73">
        <f t="shared" si="42"/>
        <v>97745.841294965998</v>
      </c>
      <c r="L60" s="73">
        <f t="shared" si="42"/>
        <v>24973.691881839615</v>
      </c>
      <c r="M60" s="73">
        <f t="shared" si="42"/>
        <v>44137.359733852812</v>
      </c>
      <c r="N60" s="73">
        <f t="shared" si="42"/>
        <v>5065.4605301200927</v>
      </c>
      <c r="O60" s="73">
        <f t="shared" si="42"/>
        <v>850.82123067301507</v>
      </c>
      <c r="P60" s="73">
        <f t="shared" si="42"/>
        <v>1019.9210232818519</v>
      </c>
      <c r="Q60" s="73">
        <f t="shared" si="42"/>
        <v>766.61765892645496</v>
      </c>
      <c r="R60" s="150">
        <f t="shared" si="42"/>
        <v>90835.797812985125</v>
      </c>
      <c r="S60" s="172"/>
    </row>
    <row r="61" spans="1:19" s="28" customFormat="1" x14ac:dyDescent="0.2">
      <c r="A61" s="38">
        <v>51</v>
      </c>
      <c r="B61" s="183"/>
      <c r="C61" s="184"/>
      <c r="D61" s="184"/>
      <c r="E61" s="74"/>
      <c r="F61" s="75" t="s">
        <v>1</v>
      </c>
      <c r="G61" s="75" t="s">
        <v>2</v>
      </c>
      <c r="H61" s="75" t="s">
        <v>3</v>
      </c>
      <c r="I61" s="75" t="s">
        <v>4</v>
      </c>
      <c r="J61" s="75" t="s">
        <v>5</v>
      </c>
      <c r="K61" s="75" t="s">
        <v>6</v>
      </c>
      <c r="L61" s="75" t="s">
        <v>11</v>
      </c>
      <c r="M61" s="75" t="s">
        <v>12</v>
      </c>
      <c r="N61" s="75" t="s">
        <v>9</v>
      </c>
      <c r="O61" s="75" t="s">
        <v>10</v>
      </c>
      <c r="P61" s="75" t="s">
        <v>17</v>
      </c>
      <c r="Q61" s="75" t="s">
        <v>7</v>
      </c>
      <c r="R61" s="151" t="s">
        <v>8</v>
      </c>
      <c r="S61" s="174"/>
    </row>
    <row r="62" spans="1:19" s="28" customFormat="1" x14ac:dyDescent="0.2">
      <c r="A62" s="38">
        <v>52</v>
      </c>
      <c r="B62" s="188" t="s">
        <v>35</v>
      </c>
      <c r="C62" s="23" t="s">
        <v>40</v>
      </c>
      <c r="D62" s="76"/>
      <c r="E62" s="77"/>
      <c r="F62" s="120">
        <f t="shared" ref="F62:R62" si="43">ROUND(F57/F6/12,3)</f>
        <v>7.0000000000000001E-3</v>
      </c>
      <c r="G62" s="120">
        <f t="shared" si="43"/>
        <v>4.0000000000000001E-3</v>
      </c>
      <c r="H62" s="120">
        <f t="shared" si="43"/>
        <v>-2.1000000000000001E-2</v>
      </c>
      <c r="I62" s="120">
        <f t="shared" si="43"/>
        <v>-2E-3</v>
      </c>
      <c r="J62" s="120">
        <f t="shared" si="43"/>
        <v>2E-3</v>
      </c>
      <c r="K62" s="120">
        <f t="shared" si="43"/>
        <v>-8.9999999999999993E-3</v>
      </c>
      <c r="L62" s="120">
        <f t="shared" si="43"/>
        <v>8.0000000000000002E-3</v>
      </c>
      <c r="M62" s="120">
        <f t="shared" si="43"/>
        <v>1.7999999999999999E-2</v>
      </c>
      <c r="N62" s="120">
        <f t="shared" si="43"/>
        <v>7.0000000000000001E-3</v>
      </c>
      <c r="O62" s="120">
        <f t="shared" si="43"/>
        <v>6.0000000000000001E-3</v>
      </c>
      <c r="P62" s="120">
        <f t="shared" si="43"/>
        <v>2E-3</v>
      </c>
      <c r="Q62" s="120">
        <f t="shared" si="43"/>
        <v>1.0999999999999999E-2</v>
      </c>
      <c r="R62" s="152">
        <f t="shared" si="43"/>
        <v>3.819</v>
      </c>
      <c r="S62" s="175"/>
    </row>
    <row r="63" spans="1:19" s="28" customFormat="1" x14ac:dyDescent="0.2">
      <c r="A63" s="38">
        <v>53</v>
      </c>
      <c r="B63" s="188"/>
      <c r="C63" s="23" t="s">
        <v>37</v>
      </c>
      <c r="D63" s="76"/>
      <c r="E63" s="77"/>
      <c r="F63" s="126">
        <f>ROUND(F58/F7,5)</f>
        <v>-1.0000000000000001E-5</v>
      </c>
      <c r="G63" s="126">
        <f t="shared" ref="G63:J63" si="44">ROUND(G58/G7,5)</f>
        <v>-2.0000000000000002E-5</v>
      </c>
      <c r="H63" s="126">
        <f t="shared" si="44"/>
        <v>-3.0000000000000001E-5</v>
      </c>
      <c r="I63" s="126">
        <f t="shared" si="44"/>
        <v>-3.0000000000000001E-5</v>
      </c>
      <c r="J63" s="126">
        <f t="shared" si="44"/>
        <v>-2.0000000000000002E-5</v>
      </c>
      <c r="K63" s="127"/>
      <c r="L63" s="126">
        <f>ROUND(L58/L7,5)</f>
        <v>-1.0000000000000001E-5</v>
      </c>
      <c r="M63" s="127"/>
      <c r="N63" s="126">
        <f>ROUND(N58/N7,5)</f>
        <v>-5.0000000000000002E-5</v>
      </c>
      <c r="O63" s="126">
        <f t="shared" ref="O63:P63" si="45">ROUND(O58/O7,5)</f>
        <v>-1E-4</v>
      </c>
      <c r="P63" s="126">
        <f t="shared" si="45"/>
        <v>-2.0000000000000002E-5</v>
      </c>
      <c r="Q63" s="128"/>
      <c r="R63" s="153"/>
      <c r="S63" s="176"/>
    </row>
    <row r="64" spans="1:19" s="28" customFormat="1" ht="25.5" x14ac:dyDescent="0.2">
      <c r="A64" s="38">
        <v>54</v>
      </c>
      <c r="B64" s="188"/>
      <c r="C64" s="23" t="s">
        <v>38</v>
      </c>
      <c r="D64" s="76"/>
      <c r="E64" s="77"/>
      <c r="F64" s="128"/>
      <c r="G64" s="129"/>
      <c r="H64" s="128"/>
      <c r="I64" s="128"/>
      <c r="J64" s="128"/>
      <c r="K64" s="126">
        <f>ROUND(K58/K10,5)</f>
        <v>-7.0200000000000002E-3</v>
      </c>
      <c r="L64" s="130"/>
      <c r="M64" s="126">
        <f>ROUND(M58/M10,5)</f>
        <v>-4.4000000000000003E-3</v>
      </c>
      <c r="N64" s="130"/>
      <c r="O64" s="130"/>
      <c r="P64" s="130"/>
      <c r="Q64" s="126">
        <f>ROUND(Q58/Q10,5)</f>
        <v>-1.33E-3</v>
      </c>
      <c r="R64" s="154" t="s">
        <v>39</v>
      </c>
      <c r="S64" s="177"/>
    </row>
    <row r="65" spans="1:19" s="28" customFormat="1" hidden="1" x14ac:dyDescent="0.2">
      <c r="A65" s="38">
        <v>59</v>
      </c>
      <c r="B65" s="188"/>
      <c r="C65" s="23" t="s">
        <v>36</v>
      </c>
      <c r="D65" s="76"/>
      <c r="E65" s="77"/>
      <c r="F65" s="22">
        <f t="shared" ref="F65:R65" si="46">ROUND(F59/F9,4)</f>
        <v>0</v>
      </c>
      <c r="G65" s="22">
        <f t="shared" si="46"/>
        <v>0</v>
      </c>
      <c r="H65" s="22">
        <f t="shared" si="46"/>
        <v>0</v>
      </c>
      <c r="I65" s="22">
        <f t="shared" si="46"/>
        <v>0</v>
      </c>
      <c r="J65" s="22">
        <f t="shared" si="46"/>
        <v>0</v>
      </c>
      <c r="K65" s="22">
        <f t="shared" si="46"/>
        <v>0</v>
      </c>
      <c r="L65" s="22">
        <f t="shared" si="46"/>
        <v>0</v>
      </c>
      <c r="M65" s="22">
        <f t="shared" si="46"/>
        <v>0</v>
      </c>
      <c r="N65" s="22">
        <f t="shared" si="46"/>
        <v>0</v>
      </c>
      <c r="O65" s="22">
        <f t="shared" si="46"/>
        <v>0</v>
      </c>
      <c r="P65" s="22">
        <f t="shared" si="46"/>
        <v>0</v>
      </c>
      <c r="Q65" s="22">
        <f t="shared" si="46"/>
        <v>0</v>
      </c>
      <c r="R65" s="155">
        <f t="shared" si="46"/>
        <v>0</v>
      </c>
      <c r="S65" s="178"/>
    </row>
    <row r="66" spans="1:19" s="28" customFormat="1" ht="13.5" thickBot="1" x14ac:dyDescent="0.25">
      <c r="A66" s="38">
        <v>55</v>
      </c>
      <c r="B66" s="103"/>
      <c r="C66" s="108" t="s">
        <v>76</v>
      </c>
      <c r="D66" s="104"/>
      <c r="E66" s="78"/>
      <c r="F66" s="114">
        <f>ROUND(F60/F16,5)</f>
        <v>4.0000000000000003E-5</v>
      </c>
      <c r="G66" s="114">
        <f>ROUND(G60/G16,5)</f>
        <v>4.0000000000000003E-5</v>
      </c>
      <c r="H66" s="114">
        <f>ROUND(H60/H16,5)</f>
        <v>4.0000000000000003E-5</v>
      </c>
      <c r="I66" s="114">
        <f>ROUND(I60/I16,5)</f>
        <v>4.0000000000000003E-5</v>
      </c>
      <c r="J66" s="114">
        <f>ROUND(J60/J16,5)</f>
        <v>4.0000000000000003E-5</v>
      </c>
      <c r="K66" s="114">
        <f>ROUND(K60/K10,5)</f>
        <v>1.218E-2</v>
      </c>
      <c r="L66" s="114">
        <f>ROUND(L60/L16,5)</f>
        <v>4.0000000000000003E-5</v>
      </c>
      <c r="M66" s="114">
        <f>ROUND(M60/M10,5)</f>
        <v>1.558E-2</v>
      </c>
      <c r="N66" s="114">
        <f>ROUND(N60/N16,5)</f>
        <v>4.0000000000000003E-5</v>
      </c>
      <c r="O66" s="114">
        <f>ROUND(O60/O16,5)</f>
        <v>4.0000000000000003E-5</v>
      </c>
      <c r="P66" s="114">
        <f>ROUND(P60/P16,5)</f>
        <v>4.0000000000000003E-5</v>
      </c>
      <c r="Q66" s="114">
        <f>ROUND(Q60/Q10,5)</f>
        <v>4.15E-3</v>
      </c>
      <c r="R66" s="156">
        <v>1.111E-2</v>
      </c>
      <c r="S66" s="179"/>
    </row>
    <row r="67" spans="1:19" x14ac:dyDescent="0.2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3.5" thickBot="1" x14ac:dyDescent="0.25"/>
    <row r="69" spans="1:19" ht="26.25" thickBot="1" x14ac:dyDescent="0.25">
      <c r="D69" s="20" t="s">
        <v>41</v>
      </c>
      <c r="E69" s="13"/>
      <c r="F69" s="14" t="s">
        <v>45</v>
      </c>
      <c r="G69" s="14" t="s">
        <v>46</v>
      </c>
      <c r="H69" s="15" t="s">
        <v>26</v>
      </c>
      <c r="I69" s="5"/>
      <c r="J69" s="5"/>
      <c r="K69" s="5"/>
      <c r="L69" s="7"/>
      <c r="M69" s="7"/>
      <c r="N69" s="5"/>
      <c r="O69" s="5"/>
      <c r="P69" s="5"/>
      <c r="Q69" s="5"/>
    </row>
    <row r="70" spans="1:19" x14ac:dyDescent="0.2">
      <c r="D70" s="8"/>
      <c r="E70" s="9"/>
      <c r="F70" s="10"/>
      <c r="G70" s="10"/>
      <c r="H70" s="11"/>
      <c r="I70" s="7"/>
      <c r="J70" s="7"/>
      <c r="K70" s="7"/>
      <c r="L70" s="7"/>
      <c r="M70" s="7"/>
      <c r="N70" s="7"/>
      <c r="O70" s="7"/>
      <c r="P70" s="7"/>
      <c r="Q70" s="7"/>
    </row>
    <row r="71" spans="1:19" ht="38.25" x14ac:dyDescent="0.2">
      <c r="D71" s="80" t="s">
        <v>44</v>
      </c>
      <c r="E71" s="9"/>
      <c r="F71" s="82">
        <f>SUM(R21:R23)/5+R51</f>
        <v>8340505.8246728554</v>
      </c>
      <c r="G71" s="82">
        <v>29977946.365926702</v>
      </c>
      <c r="H71" s="124">
        <f>ROUND(F71/G71,5)</f>
        <v>0.27822000000000002</v>
      </c>
      <c r="J71" s="4"/>
    </row>
    <row r="72" spans="1:19" ht="39" thickBot="1" x14ac:dyDescent="0.25">
      <c r="D72" s="79" t="s">
        <v>43</v>
      </c>
      <c r="E72" s="12"/>
      <c r="F72" s="83">
        <f>(R20+R25)/5</f>
        <v>-2638653.8153786086</v>
      </c>
      <c r="G72" s="83">
        <v>6194033.5846251398</v>
      </c>
      <c r="H72" s="125">
        <f>ROUND(F72/G72,4)</f>
        <v>-0.42599999999999999</v>
      </c>
      <c r="I72" s="4"/>
      <c r="J72" s="4"/>
      <c r="K72" s="4"/>
      <c r="L72" s="4"/>
      <c r="M72" s="4"/>
      <c r="N72" s="4"/>
      <c r="O72" s="4"/>
      <c r="P72" s="4"/>
      <c r="Q72" s="4"/>
    </row>
    <row r="73" spans="1:19" x14ac:dyDescent="0.2">
      <c r="F73" s="86">
        <f>SUM(F71:F72)</f>
        <v>5701852.0092942473</v>
      </c>
    </row>
    <row r="74" spans="1:19" x14ac:dyDescent="0.2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</sheetData>
  <mergeCells count="5">
    <mergeCell ref="B2:R2"/>
    <mergeCell ref="B61:D61"/>
    <mergeCell ref="B43:B45"/>
    <mergeCell ref="B62:B65"/>
    <mergeCell ref="B49:B59"/>
  </mergeCells>
  <phoneticPr fontId="4" type="noConversion"/>
  <printOptions horizontalCentered="1"/>
  <pageMargins left="0.75" right="0.75" top="1" bottom="1" header="0.5" footer="0.5"/>
  <pageSetup paperSize="17" scale="55" orientation="landscape" r:id="rId1"/>
  <headerFooter alignWithMargins="0">
    <oddHeader>&amp;R&amp;"Times New Roman,Regular"&amp;12Updated: 2017-06-07
EB-2017-0049
&amp;10Exhibit H1
Tab 3
Schedule 2
Page 1 of 1</oddHeader>
  </headerFooter>
  <ignoredErrors>
    <ignoredError sqref="M66 K66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edule xmlns="c177ebce-ba5d-4f17-87d0-6a1c56acc62b">2</Schedule>
    <Dir_Approved xmlns="9fda2e78-8e3f-49d4-9e97-25a6337a81ff">true</Dir_Approved>
    <Shell_Created xmlns="9fda2e78-8e3f-49d4-9e97-25a6337a81ff">false</Shell_Created>
    <Tab xmlns="c177ebce-ba5d-4f17-87d0-6a1c56acc62b">3</Tab>
    <Primary_Author xmlns="9fda2e78-8e3f-49d4-9e97-25a6337a81ff">
      <UserInfo>
        <DisplayName/>
        <AccountId xsi:nil="true"/>
        <AccountType/>
      </UserInfo>
    </Primary_Author>
    <Case_x0020_Number_x002f_Docket_x0020_Number xmlns="f9175001-c430-4d57-adde-c1c10539e919">EB-2017-0049</Case_x0020_Number_x002f_Docket_x0020_Number>
    <Witness xmlns="6cd78a55-9298-4f12-88a0-08be2e2ac8f0" xsi:nil="true"/>
    <Filing_x0020_Status xmlns="ea909525-6dd5-47d7-9eed-71e77e5cedc6">Blue Page Formatting Complete</Filing_x0020_Status>
    <Issue_x0020_Date xmlns="f9175001-c430-4d57-adde-c1c10539e919">2017-06-07T04:00:00+00:00</Issue_x0020_Date>
    <Dir_Contact xmlns="9fda2e78-8e3f-49d4-9e97-25a6337a81ff">Karen Taylor</Dir_Contact>
    <RA_x0020_Contact xmlns="31a38067-a042-4e0e-9037-517587b10700">Stephen Vetsis</RA_x0020_Contact>
    <Additional_Reviewers xmlns="9fda2e78-8e3f-49d4-9e97-25a6337a81ff">
      <UserInfo>
        <DisplayName/>
        <AccountId xsi:nil="true"/>
        <AccountType/>
      </UserInfo>
    </Additional_Reviewers>
    <Hydro_x0020_One_x0020_Data_x0020_Classification xmlns="f0af1d65-dfd0-4b99-b523-def3a954563f">Internal Use (Only Internal information is not for release to the public)</Hydro_x0020_One_x0020_Data_x0020_Classification>
    <Legal xmlns="6cd78a55-9298-4f12-88a0-08be2e2ac8f0">false</Legal>
    <SR_Approved xmlns="9fda2e78-8e3f-49d4-9e97-25a6337a81ff">false</SR_Approved>
    <Strategic_x003f_ xmlns="9fda2e78-8e3f-49d4-9e97-25a6337a81ff">false</Strategic_x003f_>
    <RA_Approved xmlns="9fda2e78-8e3f-49d4-9e97-25a6337a81ff">false</RA_Approved>
    <Draft_Ready xmlns="9fda2e78-8e3f-49d4-9e97-25a6337a81ff">false</Draft_Ready>
    <Exhibit xmlns="c177ebce-ba5d-4f17-87d0-6a1c56acc62b">H1</Exhibit>
    <BP_x0020_Update xmlns="6cd78a55-9298-4f12-88a0-08be2e2ac8f0">Yes</BP_x0020_Up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C4D7F394B56A844BBAB815FF7A6EFB5" ma:contentTypeVersion="90" ma:contentTypeDescription="Create a new evidence Exhibit using the Template Master." ma:contentTypeScope="" ma:versionID="6034fbc6a2fdf02dea1dc0f2da1ea152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cc0bbb9d2d6e8568e330d71548e5fce2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  <xsd:element ref="ns7:BP_x0020_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  <xsd:enumeration value="Blue Page Ready"/>
          <xsd:enumeration value="Blue Page Complete"/>
          <xsd:enumeration value="Blue Page Formatting Complete"/>
          <xsd:enumeration value="Blue Page Megafile 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  <xsd:element name="BP_x0020_Update" ma:index="29" nillable="true" ma:displayName="BP Update" ma:default="No" ma:format="Dropdown" ma:internalName="BP_x0020_Updat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16A2C-90E6-489E-B400-5B25F92AE621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ea909525-6dd5-47d7-9eed-71e77e5cedc6"/>
    <ds:schemaRef ds:uri="6cd78a55-9298-4f12-88a0-08be2e2ac8f0"/>
    <ds:schemaRef ds:uri="9fda2e78-8e3f-49d4-9e97-25a6337a81ff"/>
    <ds:schemaRef ds:uri="http://schemas.openxmlformats.org/package/2006/metadata/core-properties"/>
    <ds:schemaRef ds:uri="http://purl.org/dc/elements/1.1/"/>
    <ds:schemaRef ds:uri="f0af1d65-dfd0-4b99-b523-def3a954563f"/>
    <ds:schemaRef ds:uri="http://schemas.microsoft.com/office/2006/documentManagement/types"/>
    <ds:schemaRef ds:uri="f9175001-c430-4d57-adde-c1c10539e919"/>
    <ds:schemaRef ds:uri="31a38067-a042-4e0e-9037-517587b10700"/>
    <ds:schemaRef ds:uri="c177ebce-ba5d-4f17-87d0-6a1c56acc6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8A06217-D3EF-44E3-B1F2-0BB8CD18D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DCFB1-ED8D-428A-863E-1C4BD2F98E9E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91936E79-6BCA-4E02-9CA6-AB148A64E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 Rider</vt:lpstr>
      <vt:lpstr>'VA Rider'!Print_Area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Determination of Riders</dc:title>
  <dc:creator>Hydro One User</dc:creator>
  <cp:lastModifiedBy>GAUVREAU Diane</cp:lastModifiedBy>
  <cp:lastPrinted>2017-06-04T13:50:15Z</cp:lastPrinted>
  <dcterms:created xsi:type="dcterms:W3CDTF">2007-08-28T13:13:37Z</dcterms:created>
  <dcterms:modified xsi:type="dcterms:W3CDTF">2017-06-05T21:27:18Z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Hydro One Networks</vt:lpwstr>
  </property>
  <property fmtid="{D5CDD505-2E9C-101B-9397-08002B2CF9AE}" pid="4" name="Case Number/Docket Number">
    <vt:lpwstr>EB-2009-0096</vt:lpwstr>
  </property>
  <property fmtid="{D5CDD505-2E9C-101B-9397-08002B2CF9AE}" pid="5" name="Case Type">
    <vt:lpwstr>Electricity</vt:lpwstr>
  </property>
  <property fmtid="{D5CDD505-2E9C-101B-9397-08002B2CF9AE}" pid="6" name="Document Type">
    <vt:lpwstr>Prefiled evidence</vt:lpwstr>
  </property>
  <property fmtid="{D5CDD505-2E9C-101B-9397-08002B2CF9AE}" pid="7" name="Issue Date">
    <vt:lpwstr>2009-07-13T00:00:00Z</vt:lpwstr>
  </property>
  <property fmtid="{D5CDD505-2E9C-101B-9397-08002B2CF9AE}" pid="8" name="Jurisdiction">
    <vt:lpwstr>OEB</vt:lpwstr>
  </property>
  <property fmtid="{D5CDD505-2E9C-101B-9397-08002B2CF9AE}" pid="9" name="Authoring Party">
    <vt:lpwstr>Hydro One Networks</vt:lpwstr>
  </property>
  <property fmtid="{D5CDD505-2E9C-101B-9397-08002B2CF9AE}" pid="10" name="Filing Status">
    <vt:lpwstr>Filed</vt:lpwstr>
  </property>
  <property fmtid="{D5CDD505-2E9C-101B-9397-08002B2CF9AE}" pid="11" name="Hydro One Data Classification">
    <vt:lpwstr>Public (Information that is authorized for consumption by the public.)</vt:lpwstr>
  </property>
  <property fmtid="{D5CDD505-2E9C-101B-9397-08002B2CF9AE}" pid="12" name="Order">
    <vt:r8>73300</vt:r8>
  </property>
  <property fmtid="{D5CDD505-2E9C-101B-9397-08002B2CF9AE}" pid="13" name="ContentTypeId">
    <vt:lpwstr>0x0101006C4D7F394B56A844BBAB815FF7A6EFB5</vt:lpwstr>
  </property>
  <property fmtid="{D5CDD505-2E9C-101B-9397-08002B2CF9AE}" pid="14" name="AM_Approved">
    <vt:bool>false</vt:bool>
  </property>
  <property fmtid="{D5CDD505-2E9C-101B-9397-08002B2CF9AE}" pid="15" name="ISD_Category">
    <vt:lpwstr>Other</vt:lpwstr>
  </property>
  <property fmtid="{D5CDD505-2E9C-101B-9397-08002B2CF9AE}" pid="16" name="RA2_Approved">
    <vt:bool>false</vt:bool>
  </property>
</Properties>
</file>