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250" yWindow="855" windowWidth="17280" windowHeight="10215" tabRatio="942" firstSheet="31" activeTab="1"/>
  </bookViews>
  <sheets>
    <sheet name="Data for Bill Impacts" sheetId="3" state="hidden" r:id="rId1"/>
    <sheet name="Bill Impact Summary" sheetId="7" r:id="rId2"/>
    <sheet name="BI_UR_Low" sheetId="4" r:id="rId3"/>
    <sheet name="BI_UR_Typical" sheetId="46" r:id="rId4"/>
    <sheet name="BI_UR_Avg" sheetId="112" r:id="rId5"/>
    <sheet name="BI_UR_High" sheetId="47" r:id="rId6"/>
    <sheet name="BI_R1_Low" sheetId="48" r:id="rId7"/>
    <sheet name="BI_R1_Typical" sheetId="49" r:id="rId8"/>
    <sheet name="BI_R1_Avg" sheetId="113" r:id="rId9"/>
    <sheet name="BI_R1_High" sheetId="50" r:id="rId10"/>
    <sheet name="BI_R2_Low" sheetId="51" r:id="rId11"/>
    <sheet name="BI_R2_Typical" sheetId="52" r:id="rId12"/>
    <sheet name="BI_R2_Avg" sheetId="114" r:id="rId13"/>
    <sheet name="BI_R2_High" sheetId="53" r:id="rId14"/>
    <sheet name="BI_Seas_Low" sheetId="54" r:id="rId15"/>
    <sheet name="BI_Seas_Avg" sheetId="115" r:id="rId16"/>
    <sheet name="BI_Seas_High" sheetId="56" r:id="rId17"/>
    <sheet name="BI_UGe_Low" sheetId="60" r:id="rId18"/>
    <sheet name="BI_UGe_Typical" sheetId="61" r:id="rId19"/>
    <sheet name="BI_UGe_Avg" sheetId="116" r:id="rId20"/>
    <sheet name="BI_UGe_High" sheetId="62" r:id="rId21"/>
    <sheet name="BI_GSe_Low" sheetId="57" r:id="rId22"/>
    <sheet name="BI_GSe_Typical" sheetId="58" r:id="rId23"/>
    <sheet name="BI_GSe_Avg" sheetId="117" r:id="rId24"/>
    <sheet name="BI_GSe_High" sheetId="59" r:id="rId25"/>
    <sheet name="BI_UGd_Low" sheetId="73" r:id="rId26"/>
    <sheet name="BI_UGd_Avg" sheetId="74" r:id="rId27"/>
    <sheet name="BI_UGd_High" sheetId="75" r:id="rId28"/>
    <sheet name="BI_GSd_Low" sheetId="5" r:id="rId29"/>
    <sheet name="BI_GSd_Avg" sheetId="71" r:id="rId30"/>
    <sheet name="BI_GSd_High" sheetId="72" r:id="rId31"/>
    <sheet name="BI_DGen_Low" sheetId="76" r:id="rId32"/>
    <sheet name="BI_DGen_Avg" sheetId="77" r:id="rId33"/>
    <sheet name="BI_DGen_High" sheetId="78" r:id="rId34"/>
    <sheet name="BI_ST_Low" sheetId="79" r:id="rId35"/>
    <sheet name="BI_ST_Avg" sheetId="80" r:id="rId36"/>
    <sheet name="BI_ST_High" sheetId="81" r:id="rId37"/>
    <sheet name="BI_USL_Low" sheetId="68" r:id="rId38"/>
    <sheet name="BI_USL_Avg" sheetId="69" r:id="rId39"/>
    <sheet name="BI_USL_High" sheetId="70" r:id="rId40"/>
    <sheet name="BI_SenLgt_Low" sheetId="65" r:id="rId41"/>
    <sheet name="BI_SenLgt_Avg" sheetId="66" r:id="rId42"/>
    <sheet name="BI_SenLgt_High" sheetId="67" r:id="rId43"/>
    <sheet name="BI_StLgt_Low" sheetId="25" r:id="rId44"/>
    <sheet name="BI_StLgt_Avg" sheetId="63" r:id="rId45"/>
    <sheet name="BI_StLgt_High" sheetId="64" r:id="rId46"/>
  </sheets>
  <definedNames>
    <definedName name="_xlnm.Print_Area" localSheetId="32">BI_DGen_Avg!$A$1:$J$38</definedName>
    <definedName name="_xlnm.Print_Area" localSheetId="1">'Bill Impact Summary'!$A$1:$I$46</definedName>
  </definedNames>
  <calcPr calcId="145621"/>
</workbook>
</file>

<file path=xl/calcChain.xml><?xml version="1.0" encoding="utf-8"?>
<calcChain xmlns="http://schemas.openxmlformats.org/spreadsheetml/2006/main">
  <c r="F13" i="63" l="1"/>
  <c r="F13" i="64"/>
  <c r="F13" i="25"/>
  <c r="F12" i="63"/>
  <c r="F12" i="64"/>
  <c r="F12" i="25"/>
  <c r="F13" i="66"/>
  <c r="F13" i="67"/>
  <c r="F13" i="65"/>
  <c r="F12" i="66"/>
  <c r="F12" i="67"/>
  <c r="F12" i="65"/>
  <c r="F13" i="69" l="1"/>
  <c r="F13" i="70"/>
  <c r="F13" i="68"/>
  <c r="F12" i="69"/>
  <c r="F12" i="70"/>
  <c r="F12" i="68"/>
  <c r="F14" i="80"/>
  <c r="F14" i="81"/>
  <c r="F14" i="79"/>
  <c r="F13" i="80"/>
  <c r="F13" i="81"/>
  <c r="F13" i="79"/>
  <c r="F14" i="77"/>
  <c r="F14" i="78"/>
  <c r="F14" i="76"/>
  <c r="F13" i="77"/>
  <c r="F13" i="78"/>
  <c r="F13" i="76"/>
  <c r="F14" i="71"/>
  <c r="F14" i="72"/>
  <c r="F14" i="5"/>
  <c r="F13" i="71"/>
  <c r="F13" i="72"/>
  <c r="F13" i="5"/>
  <c r="F14" i="74"/>
  <c r="F14" i="75"/>
  <c r="F14" i="73"/>
  <c r="F13" i="74"/>
  <c r="F13" i="75"/>
  <c r="F13" i="73"/>
  <c r="F16" i="58"/>
  <c r="F17" i="58"/>
  <c r="F16" i="117"/>
  <c r="F17" i="117"/>
  <c r="F16" i="59"/>
  <c r="F17" i="59"/>
  <c r="F16" i="57"/>
  <c r="F17" i="57"/>
  <c r="F15" i="58"/>
  <c r="F15" i="117"/>
  <c r="F15" i="59"/>
  <c r="F15" i="57"/>
  <c r="F13" i="58"/>
  <c r="F13" i="117"/>
  <c r="F13" i="59"/>
  <c r="F13" i="57"/>
  <c r="F12" i="58"/>
  <c r="F12" i="117"/>
  <c r="F12" i="59"/>
  <c r="F12" i="57"/>
  <c r="F13" i="61"/>
  <c r="F15" i="61"/>
  <c r="F16" i="61"/>
  <c r="F17" i="61"/>
  <c r="F13" i="116"/>
  <c r="F15" i="116"/>
  <c r="F16" i="116"/>
  <c r="F17" i="116"/>
  <c r="F13" i="62"/>
  <c r="F15" i="62"/>
  <c r="F16" i="62"/>
  <c r="F17" i="62"/>
  <c r="F13" i="60"/>
  <c r="F15" i="60"/>
  <c r="F16" i="60"/>
  <c r="F17" i="60"/>
  <c r="F12" i="61"/>
  <c r="F12" i="116"/>
  <c r="F12" i="62"/>
  <c r="F12" i="60"/>
  <c r="F13" i="54"/>
  <c r="F15" i="54"/>
  <c r="F16" i="54"/>
  <c r="F17" i="54"/>
  <c r="F13" i="56"/>
  <c r="F15" i="56"/>
  <c r="F16" i="56"/>
  <c r="F17" i="56"/>
  <c r="F13" i="115"/>
  <c r="F15" i="115"/>
  <c r="F16" i="115"/>
  <c r="F17" i="115"/>
  <c r="F12" i="54"/>
  <c r="F12" i="56"/>
  <c r="F12" i="115"/>
  <c r="F13" i="52"/>
  <c r="F15" i="52"/>
  <c r="F16" i="52"/>
  <c r="F17" i="52"/>
  <c r="F13" i="114"/>
  <c r="F15" i="114"/>
  <c r="F16" i="114"/>
  <c r="F17" i="114"/>
  <c r="F13" i="53"/>
  <c r="F15" i="53"/>
  <c r="F16" i="53"/>
  <c r="F17" i="53"/>
  <c r="F13" i="51"/>
  <c r="F15" i="51"/>
  <c r="F16" i="51"/>
  <c r="F17" i="51"/>
  <c r="F12" i="52"/>
  <c r="F12" i="114"/>
  <c r="F12" i="53"/>
  <c r="F12" i="51"/>
  <c r="F13" i="49"/>
  <c r="F15" i="49"/>
  <c r="F16" i="49"/>
  <c r="F17" i="49"/>
  <c r="F13" i="113"/>
  <c r="F15" i="113"/>
  <c r="F16" i="113"/>
  <c r="F17" i="113"/>
  <c r="F13" i="50"/>
  <c r="F15" i="50"/>
  <c r="F16" i="50"/>
  <c r="F17" i="50"/>
  <c r="F13" i="48"/>
  <c r="F15" i="48"/>
  <c r="F16" i="48"/>
  <c r="F17" i="48"/>
  <c r="F12" i="49"/>
  <c r="F12" i="113"/>
  <c r="F12" i="50"/>
  <c r="F12" i="48"/>
  <c r="F13" i="112"/>
  <c r="F15" i="112"/>
  <c r="F16" i="112"/>
  <c r="F17" i="112"/>
  <c r="F13" i="47"/>
  <c r="F15" i="47"/>
  <c r="F16" i="47"/>
  <c r="F17" i="47"/>
  <c r="F13" i="46"/>
  <c r="F15" i="46"/>
  <c r="F16" i="46"/>
  <c r="F17" i="46"/>
  <c r="F12" i="112"/>
  <c r="F12" i="47"/>
  <c r="F12" i="46"/>
  <c r="F16" i="4"/>
  <c r="F17" i="4"/>
  <c r="F15" i="4"/>
  <c r="F13" i="4"/>
  <c r="F12" i="4"/>
  <c r="F22" i="46" l="1"/>
  <c r="F22" i="112"/>
  <c r="F22" i="47"/>
  <c r="F22" i="48"/>
  <c r="F22" i="49"/>
  <c r="F22" i="113"/>
  <c r="F22" i="50"/>
  <c r="F22" i="51"/>
  <c r="F22" i="52"/>
  <c r="F22" i="114"/>
  <c r="F22" i="53"/>
  <c r="F22" i="60"/>
  <c r="F22" i="61"/>
  <c r="F22" i="116"/>
  <c r="F22" i="62"/>
  <c r="F22" i="57"/>
  <c r="F22" i="58"/>
  <c r="F22" i="117"/>
  <c r="F22" i="59"/>
  <c r="F22" i="4"/>
  <c r="B22" i="46"/>
  <c r="B22" i="47"/>
  <c r="B22" i="48"/>
  <c r="B22" i="49"/>
  <c r="B22" i="50"/>
  <c r="B22" i="51"/>
  <c r="B22" i="52"/>
  <c r="B22" i="53"/>
  <c r="B22" i="54"/>
  <c r="B22" i="56"/>
  <c r="B22" i="60"/>
  <c r="B22" i="61"/>
  <c r="B22" i="62"/>
  <c r="B22" i="57"/>
  <c r="B22" i="58"/>
  <c r="B22" i="59"/>
  <c r="B22" i="4"/>
  <c r="F50" i="117" l="1"/>
  <c r="F48" i="117"/>
  <c r="F45" i="117"/>
  <c r="F43" i="117"/>
  <c r="F41" i="117"/>
  <c r="F39" i="117"/>
  <c r="E39" i="117"/>
  <c r="G39" i="117" s="1"/>
  <c r="D39" i="117"/>
  <c r="C28" i="117"/>
  <c r="F28" i="117" s="1"/>
  <c r="F26" i="117"/>
  <c r="G26" i="117" s="1"/>
  <c r="C26" i="117"/>
  <c r="D26" i="117" s="1"/>
  <c r="E21" i="117"/>
  <c r="E20" i="117"/>
  <c r="D20" i="117"/>
  <c r="E19" i="117"/>
  <c r="B9" i="117"/>
  <c r="B7" i="117"/>
  <c r="B6" i="117"/>
  <c r="B5" i="117"/>
  <c r="F50" i="116"/>
  <c r="F48" i="116"/>
  <c r="F45" i="116"/>
  <c r="F43" i="116"/>
  <c r="F41" i="116"/>
  <c r="F39" i="116"/>
  <c r="E39" i="116"/>
  <c r="G39" i="116" s="1"/>
  <c r="D39" i="116"/>
  <c r="C28" i="116"/>
  <c r="F28" i="116" s="1"/>
  <c r="F26" i="116"/>
  <c r="G26" i="116" s="1"/>
  <c r="C26" i="116"/>
  <c r="D26" i="116" s="1"/>
  <c r="E21" i="116"/>
  <c r="F20" i="116"/>
  <c r="E20" i="116"/>
  <c r="C20" i="116"/>
  <c r="D20" i="116" s="1"/>
  <c r="E19" i="116"/>
  <c r="B9" i="116"/>
  <c r="B7" i="116"/>
  <c r="B6" i="116"/>
  <c r="B5" i="116"/>
  <c r="F50" i="115"/>
  <c r="F48" i="115"/>
  <c r="F45" i="115"/>
  <c r="F43" i="115"/>
  <c r="F41" i="115"/>
  <c r="F39" i="115"/>
  <c r="G39" i="115" s="1"/>
  <c r="E39" i="115"/>
  <c r="D39" i="115"/>
  <c r="C28" i="115"/>
  <c r="F28" i="115" s="1"/>
  <c r="F26" i="115"/>
  <c r="G26" i="115" s="1"/>
  <c r="C26" i="115"/>
  <c r="D26" i="115" s="1"/>
  <c r="E21" i="115"/>
  <c r="E20" i="115"/>
  <c r="D20" i="115"/>
  <c r="E19" i="115"/>
  <c r="B9" i="115"/>
  <c r="B7" i="115"/>
  <c r="B6" i="115"/>
  <c r="B5" i="115"/>
  <c r="F50" i="114"/>
  <c r="F48" i="114"/>
  <c r="F45" i="114"/>
  <c r="F43" i="114"/>
  <c r="F41" i="114"/>
  <c r="F39" i="114"/>
  <c r="G39" i="114" s="1"/>
  <c r="E39" i="114"/>
  <c r="D39" i="114"/>
  <c r="C28" i="114"/>
  <c r="F28" i="114" s="1"/>
  <c r="F26" i="114"/>
  <c r="G26" i="114" s="1"/>
  <c r="C26" i="114"/>
  <c r="D26" i="114" s="1"/>
  <c r="E21" i="114"/>
  <c r="E20" i="114"/>
  <c r="D20" i="114"/>
  <c r="E19" i="114"/>
  <c r="B9" i="114"/>
  <c r="B7" i="114"/>
  <c r="B6" i="114"/>
  <c r="B5" i="114"/>
  <c r="F50" i="113"/>
  <c r="F48" i="113"/>
  <c r="F45" i="113"/>
  <c r="F43" i="113"/>
  <c r="F41" i="113"/>
  <c r="F39" i="113"/>
  <c r="E39" i="113"/>
  <c r="D39" i="113"/>
  <c r="C28" i="113"/>
  <c r="F28" i="113" s="1"/>
  <c r="F26" i="113"/>
  <c r="G26" i="113" s="1"/>
  <c r="C26" i="113"/>
  <c r="D26" i="113" s="1"/>
  <c r="E21" i="113"/>
  <c r="E20" i="113"/>
  <c r="D20" i="113"/>
  <c r="E19" i="113"/>
  <c r="B9" i="113"/>
  <c r="B7" i="113"/>
  <c r="B6" i="113"/>
  <c r="B5" i="113"/>
  <c r="F50" i="112"/>
  <c r="F48" i="112"/>
  <c r="F45" i="112"/>
  <c r="F43" i="112"/>
  <c r="F41" i="112"/>
  <c r="F39" i="112"/>
  <c r="E39" i="112"/>
  <c r="G39" i="112" s="1"/>
  <c r="D39" i="112"/>
  <c r="C28" i="112"/>
  <c r="F28" i="112" s="1"/>
  <c r="F26" i="112"/>
  <c r="G26" i="112" s="1"/>
  <c r="C26" i="112"/>
  <c r="D26" i="112" s="1"/>
  <c r="E21" i="112"/>
  <c r="F20" i="112"/>
  <c r="E20" i="112"/>
  <c r="D20" i="112"/>
  <c r="E19" i="112"/>
  <c r="B9" i="112"/>
  <c r="B7" i="112"/>
  <c r="B6" i="112"/>
  <c r="B5" i="112"/>
  <c r="B4" i="112"/>
  <c r="B22" i="112" s="1"/>
  <c r="D22" i="112" s="1"/>
  <c r="E22" i="112" l="1"/>
  <c r="G22" i="112" s="1"/>
  <c r="H22" i="112" s="1"/>
  <c r="I22" i="112" s="1"/>
  <c r="G39" i="113"/>
  <c r="H20" i="112"/>
  <c r="I20" i="112" s="1"/>
  <c r="G20" i="117"/>
  <c r="H20" i="117" s="1"/>
  <c r="I20" i="117" s="1"/>
  <c r="G20" i="115"/>
  <c r="H20" i="115" s="1"/>
  <c r="I20" i="115" s="1"/>
  <c r="B41" i="112"/>
  <c r="E41" i="112" s="1"/>
  <c r="G41" i="112" s="1"/>
  <c r="C4" i="7"/>
  <c r="H26" i="113"/>
  <c r="I26" i="113" s="1"/>
  <c r="H26" i="116"/>
  <c r="I26" i="116" s="1"/>
  <c r="H26" i="112"/>
  <c r="I26" i="112" s="1"/>
  <c r="G20" i="113"/>
  <c r="H20" i="113" s="1"/>
  <c r="I20" i="113" s="1"/>
  <c r="G20" i="114"/>
  <c r="H20" i="114" s="1"/>
  <c r="I20" i="114" s="1"/>
  <c r="H39" i="116"/>
  <c r="I39" i="116" s="1"/>
  <c r="H26" i="117"/>
  <c r="I26" i="117" s="1"/>
  <c r="H39" i="117"/>
  <c r="I39" i="117" s="1"/>
  <c r="G20" i="116"/>
  <c r="H39" i="113"/>
  <c r="I39" i="113" s="1"/>
  <c r="H26" i="114"/>
  <c r="I26" i="114" s="1"/>
  <c r="H26" i="115"/>
  <c r="I26" i="115" s="1"/>
  <c r="H39" i="114"/>
  <c r="I39" i="114" s="1"/>
  <c r="H39" i="115"/>
  <c r="I39" i="115" s="1"/>
  <c r="B12" i="112"/>
  <c r="E12" i="112" s="1"/>
  <c r="G12" i="112" s="1"/>
  <c r="B15" i="112"/>
  <c r="B16" i="112"/>
  <c r="B17" i="112"/>
  <c r="B8" i="112"/>
  <c r="B31" i="112" s="1"/>
  <c r="E31" i="112" s="1"/>
  <c r="C27" i="112"/>
  <c r="F27" i="112" s="1"/>
  <c r="B13" i="112"/>
  <c r="D13" i="112" s="1"/>
  <c r="B23" i="112"/>
  <c r="E23" i="112" s="1"/>
  <c r="H39" i="112"/>
  <c r="I39" i="112" s="1"/>
  <c r="B24" i="112"/>
  <c r="E13" i="112" l="1"/>
  <c r="G13" i="112" s="1"/>
  <c r="H13" i="112" s="1"/>
  <c r="I13" i="112" s="1"/>
  <c r="D41" i="112"/>
  <c r="H41" i="112" s="1"/>
  <c r="I41" i="112" s="1"/>
  <c r="B28" i="112"/>
  <c r="E28" i="112" s="1"/>
  <c r="G28" i="112" s="1"/>
  <c r="D12" i="112"/>
  <c r="D14" i="112" s="1"/>
  <c r="B32" i="112"/>
  <c r="E32" i="112" s="1"/>
  <c r="H20" i="116"/>
  <c r="I20" i="116" s="1"/>
  <c r="B36" i="112"/>
  <c r="E36" i="112" s="1"/>
  <c r="G36" i="112" s="1"/>
  <c r="B27" i="112"/>
  <c r="E27" i="112" s="1"/>
  <c r="G27" i="112" s="1"/>
  <c r="B38" i="112"/>
  <c r="E38" i="112" s="1"/>
  <c r="G38" i="112" s="1"/>
  <c r="E15" i="112"/>
  <c r="G15" i="112" s="1"/>
  <c r="D15" i="112"/>
  <c r="E17" i="112"/>
  <c r="G17" i="112" s="1"/>
  <c r="D17" i="112"/>
  <c r="B37" i="112"/>
  <c r="E37" i="112" s="1"/>
  <c r="G37" i="112" s="1"/>
  <c r="E16" i="112"/>
  <c r="G16" i="112" s="1"/>
  <c r="D16" i="112"/>
  <c r="E24" i="112"/>
  <c r="G14" i="112" l="1"/>
  <c r="H14" i="112" s="1"/>
  <c r="I14" i="112" s="1"/>
  <c r="D38" i="112"/>
  <c r="H38" i="112" s="1"/>
  <c r="I38" i="112" s="1"/>
  <c r="D28" i="112"/>
  <c r="H28" i="112" s="1"/>
  <c r="I28" i="112" s="1"/>
  <c r="H12" i="112"/>
  <c r="I12" i="112" s="1"/>
  <c r="D27" i="112"/>
  <c r="H27" i="112" s="1"/>
  <c r="I27" i="112" s="1"/>
  <c r="D36" i="112"/>
  <c r="H36" i="112" s="1"/>
  <c r="I36" i="112" s="1"/>
  <c r="D37" i="112"/>
  <c r="H37" i="112" s="1"/>
  <c r="I37" i="112" s="1"/>
  <c r="D18" i="112"/>
  <c r="G18" i="112"/>
  <c r="H15" i="112"/>
  <c r="I15" i="112" s="1"/>
  <c r="H17" i="112"/>
  <c r="I17" i="112" s="1"/>
  <c r="H16" i="112"/>
  <c r="I16" i="112" s="1"/>
  <c r="G40" i="112"/>
  <c r="H18" i="112" l="1"/>
  <c r="I18" i="112" s="1"/>
  <c r="D40" i="112"/>
  <c r="H40" i="112" s="1"/>
  <c r="I40" i="112" s="1"/>
  <c r="F18" i="73" l="1"/>
  <c r="F18" i="74"/>
  <c r="F18" i="75"/>
  <c r="F18" i="71"/>
  <c r="F18" i="72"/>
  <c r="F18" i="76"/>
  <c r="F18" i="77"/>
  <c r="F18" i="78"/>
  <c r="F18" i="5"/>
  <c r="F20" i="62"/>
  <c r="F20" i="4"/>
  <c r="E18" i="77"/>
  <c r="C18" i="77"/>
  <c r="D18" i="77" s="1"/>
  <c r="E17" i="77"/>
  <c r="G17" i="77" s="1"/>
  <c r="C17" i="77"/>
  <c r="D17" i="77" s="1"/>
  <c r="G18" i="77" l="1"/>
  <c r="H18" i="77" s="1"/>
  <c r="I18" i="77" s="1"/>
  <c r="H17" i="77"/>
  <c r="I17" i="77" s="1"/>
  <c r="C22" i="77" l="1"/>
  <c r="C22" i="78"/>
  <c r="C22" i="76"/>
  <c r="C22" i="75"/>
  <c r="C22" i="74"/>
  <c r="C22" i="73"/>
  <c r="C22" i="5"/>
  <c r="C22" i="72"/>
  <c r="C22" i="71"/>
  <c r="C20" i="79"/>
  <c r="C20" i="80"/>
  <c r="C20" i="81"/>
  <c r="F32" i="113"/>
  <c r="F32" i="114"/>
  <c r="F32" i="115"/>
  <c r="F32" i="117"/>
  <c r="F32" i="116"/>
  <c r="F32" i="112"/>
  <c r="G32" i="112" s="1"/>
  <c r="F31" i="113" l="1"/>
  <c r="F31" i="114"/>
  <c r="F31" i="115"/>
  <c r="F31" i="117"/>
  <c r="F31" i="116"/>
  <c r="F31" i="112"/>
  <c r="G31" i="112" s="1"/>
  <c r="G33" i="112" l="1"/>
  <c r="C23" i="116"/>
  <c r="C23" i="117"/>
  <c r="C23" i="115"/>
  <c r="C23" i="114"/>
  <c r="C23" i="113"/>
  <c r="C23" i="112"/>
  <c r="D23" i="112" s="1"/>
  <c r="F43" i="60" l="1"/>
  <c r="F45" i="60"/>
  <c r="F48" i="60"/>
  <c r="C28" i="59" l="1"/>
  <c r="C28" i="58"/>
  <c r="C28" i="57"/>
  <c r="C28" i="62"/>
  <c r="C28" i="61"/>
  <c r="C28" i="60"/>
  <c r="C28" i="56"/>
  <c r="C28" i="54"/>
  <c r="C28" i="53"/>
  <c r="C28" i="52"/>
  <c r="C28" i="51"/>
  <c r="C28" i="50"/>
  <c r="C28" i="49"/>
  <c r="C28" i="48"/>
  <c r="C28" i="47"/>
  <c r="C28" i="46"/>
  <c r="C28" i="4"/>
  <c r="B16" i="59" l="1"/>
  <c r="B15" i="59"/>
  <c r="B16" i="58"/>
  <c r="B15" i="58"/>
  <c r="B16" i="57"/>
  <c r="B15" i="57"/>
  <c r="B16" i="62"/>
  <c r="B15" i="62"/>
  <c r="B16" i="61"/>
  <c r="B15" i="61"/>
  <c r="B16" i="60"/>
  <c r="B15" i="60"/>
  <c r="B16" i="56"/>
  <c r="B15" i="56"/>
  <c r="B16" i="54"/>
  <c r="B15" i="54"/>
  <c r="B16" i="53"/>
  <c r="B15" i="53"/>
  <c r="B16" i="52"/>
  <c r="B15" i="52"/>
  <c r="B16" i="51"/>
  <c r="B15" i="51"/>
  <c r="B16" i="50"/>
  <c r="B15" i="50"/>
  <c r="B16" i="49"/>
  <c r="B15" i="49"/>
  <c r="B16" i="48"/>
  <c r="B15" i="48"/>
  <c r="B16" i="47"/>
  <c r="B15" i="47"/>
  <c r="B16" i="46"/>
  <c r="B15" i="46"/>
  <c r="B16" i="4"/>
  <c r="B15" i="4"/>
  <c r="F50" i="59" l="1"/>
  <c r="F45" i="59"/>
  <c r="F50" i="62"/>
  <c r="F45" i="62"/>
  <c r="F50" i="4" l="1"/>
  <c r="F50" i="58"/>
  <c r="F50" i="57"/>
  <c r="F50" i="61"/>
  <c r="F50" i="60"/>
  <c r="F50" i="56"/>
  <c r="F50" i="54"/>
  <c r="F50" i="53"/>
  <c r="F50" i="52"/>
  <c r="F50" i="51"/>
  <c r="F50" i="50"/>
  <c r="F50" i="49"/>
  <c r="F50" i="48"/>
  <c r="F50" i="47"/>
  <c r="F50" i="46"/>
  <c r="C17" i="71" l="1"/>
  <c r="C17" i="72"/>
  <c r="C17" i="73"/>
  <c r="C17" i="74"/>
  <c r="C17" i="75"/>
  <c r="C17" i="76"/>
  <c r="C17" i="78"/>
  <c r="C17" i="5"/>
  <c r="X13" i="3" l="1"/>
  <c r="Y13" i="3"/>
  <c r="C16" i="79" l="1"/>
  <c r="C16" i="81"/>
  <c r="C16" i="80"/>
  <c r="B17" i="62"/>
  <c r="B17" i="61"/>
  <c r="B17" i="60"/>
  <c r="B17" i="59"/>
  <c r="B17" i="58"/>
  <c r="B17" i="57"/>
  <c r="B17" i="56"/>
  <c r="B17" i="54"/>
  <c r="B17" i="53"/>
  <c r="B17" i="52"/>
  <c r="B17" i="51"/>
  <c r="B17" i="50"/>
  <c r="B17" i="49"/>
  <c r="B17" i="48"/>
  <c r="B17" i="47"/>
  <c r="B17" i="46"/>
  <c r="B17" i="4"/>
  <c r="D45" i="7" l="1"/>
  <c r="D43" i="7"/>
  <c r="C45" i="7"/>
  <c r="C43" i="7"/>
  <c r="D42" i="7"/>
  <c r="D40" i="7"/>
  <c r="C42" i="7"/>
  <c r="C40" i="7"/>
  <c r="C39" i="7"/>
  <c r="C37" i="7"/>
  <c r="C36" i="7"/>
  <c r="C34" i="7"/>
  <c r="C33" i="7"/>
  <c r="C31" i="7"/>
  <c r="D30" i="7"/>
  <c r="D28" i="7"/>
  <c r="C30" i="7"/>
  <c r="C28" i="7"/>
  <c r="D27" i="7"/>
  <c r="C27" i="7"/>
  <c r="D25" i="7"/>
  <c r="C25" i="7"/>
  <c r="C24" i="7"/>
  <c r="C22" i="7"/>
  <c r="C21" i="7"/>
  <c r="C20" i="7"/>
  <c r="C18" i="7"/>
  <c r="C17" i="7"/>
  <c r="C16" i="7"/>
  <c r="C14" i="7"/>
  <c r="C13" i="7"/>
  <c r="C11" i="7"/>
  <c r="C10" i="7"/>
  <c r="C9" i="7"/>
  <c r="C7" i="7"/>
  <c r="C6" i="7"/>
  <c r="C5" i="7"/>
  <c r="C3" i="7"/>
  <c r="C2" i="7"/>
  <c r="F31" i="81" l="1"/>
  <c r="F29" i="81"/>
  <c r="E29" i="81"/>
  <c r="D29" i="81"/>
  <c r="E17" i="81"/>
  <c r="E16" i="81"/>
  <c r="F31" i="80"/>
  <c r="F29" i="80"/>
  <c r="E29" i="80"/>
  <c r="G29" i="80" s="1"/>
  <c r="D29" i="80"/>
  <c r="E17" i="80"/>
  <c r="E16" i="80"/>
  <c r="F31" i="79"/>
  <c r="F29" i="79"/>
  <c r="E29" i="79"/>
  <c r="D29" i="79"/>
  <c r="E17" i="79"/>
  <c r="E16" i="79"/>
  <c r="F33" i="78"/>
  <c r="F31" i="78"/>
  <c r="E31" i="78"/>
  <c r="D31" i="78"/>
  <c r="E19" i="78"/>
  <c r="E18" i="78"/>
  <c r="E17" i="78"/>
  <c r="G17" i="78" s="1"/>
  <c r="D17" i="78"/>
  <c r="E16" i="78"/>
  <c r="F33" i="77"/>
  <c r="F31" i="77"/>
  <c r="E31" i="77"/>
  <c r="G31" i="77" s="1"/>
  <c r="D31" i="77"/>
  <c r="E19" i="77"/>
  <c r="E16" i="77"/>
  <c r="F33" i="76"/>
  <c r="F31" i="76"/>
  <c r="E31" i="76"/>
  <c r="G31" i="76" s="1"/>
  <c r="D31" i="76"/>
  <c r="E19" i="76"/>
  <c r="E18" i="76"/>
  <c r="E17" i="76"/>
  <c r="G17" i="76" s="1"/>
  <c r="D17" i="76"/>
  <c r="E16" i="76"/>
  <c r="F33" i="75"/>
  <c r="F31" i="75"/>
  <c r="E31" i="75"/>
  <c r="D31" i="75"/>
  <c r="E19" i="75"/>
  <c r="E18" i="75"/>
  <c r="E17" i="75"/>
  <c r="G17" i="75" s="1"/>
  <c r="D17" i="75"/>
  <c r="E16" i="75"/>
  <c r="F33" i="74"/>
  <c r="F31" i="74"/>
  <c r="E31" i="74"/>
  <c r="D31" i="74"/>
  <c r="E19" i="74"/>
  <c r="E18" i="74"/>
  <c r="E17" i="74"/>
  <c r="G17" i="74" s="1"/>
  <c r="D17" i="74"/>
  <c r="E16" i="74"/>
  <c r="F33" i="73"/>
  <c r="F31" i="73"/>
  <c r="E31" i="73"/>
  <c r="D31" i="73"/>
  <c r="E19" i="73"/>
  <c r="E18" i="73"/>
  <c r="E17" i="73"/>
  <c r="G17" i="73" s="1"/>
  <c r="D17" i="73"/>
  <c r="E16" i="73"/>
  <c r="F33" i="72"/>
  <c r="F31" i="72"/>
  <c r="E31" i="72"/>
  <c r="D31" i="72"/>
  <c r="E19" i="72"/>
  <c r="E18" i="72"/>
  <c r="E17" i="72"/>
  <c r="G17" i="72" s="1"/>
  <c r="D17" i="72"/>
  <c r="E16" i="72"/>
  <c r="F33" i="71"/>
  <c r="F31" i="71"/>
  <c r="E31" i="71"/>
  <c r="D31" i="71"/>
  <c r="E19" i="71"/>
  <c r="E18" i="71"/>
  <c r="E17" i="71"/>
  <c r="G17" i="71" s="1"/>
  <c r="D17" i="71"/>
  <c r="E16" i="71"/>
  <c r="F33" i="5"/>
  <c r="F31" i="5"/>
  <c r="E31" i="5"/>
  <c r="D31" i="5"/>
  <c r="E19" i="5"/>
  <c r="E18" i="5"/>
  <c r="E17" i="5"/>
  <c r="G17" i="5" s="1"/>
  <c r="D17" i="5"/>
  <c r="E16" i="5"/>
  <c r="F31" i="70"/>
  <c r="F29" i="70"/>
  <c r="E29" i="70"/>
  <c r="D29" i="70"/>
  <c r="E16" i="70"/>
  <c r="E15" i="70"/>
  <c r="F31" i="69"/>
  <c r="F29" i="69"/>
  <c r="E29" i="69"/>
  <c r="D29" i="69"/>
  <c r="E16" i="69"/>
  <c r="E15" i="69"/>
  <c r="F31" i="68"/>
  <c r="F29" i="68"/>
  <c r="E29" i="68"/>
  <c r="D29" i="68"/>
  <c r="E16" i="68"/>
  <c r="E15" i="68"/>
  <c r="F31" i="67"/>
  <c r="F29" i="67"/>
  <c r="E29" i="67"/>
  <c r="G29" i="67" s="1"/>
  <c r="D29" i="67"/>
  <c r="E16" i="67"/>
  <c r="E15" i="67"/>
  <c r="F31" i="66"/>
  <c r="F29" i="66"/>
  <c r="E29" i="66"/>
  <c r="D29" i="66"/>
  <c r="E16" i="66"/>
  <c r="E15" i="66"/>
  <c r="F31" i="65"/>
  <c r="F29" i="65"/>
  <c r="E29" i="65"/>
  <c r="G29" i="65" s="1"/>
  <c r="D29" i="65"/>
  <c r="E16" i="65"/>
  <c r="E15" i="65"/>
  <c r="F31" i="64"/>
  <c r="F29" i="64"/>
  <c r="E29" i="64"/>
  <c r="D29" i="64"/>
  <c r="E16" i="64"/>
  <c r="E15" i="64"/>
  <c r="F31" i="63"/>
  <c r="F29" i="63"/>
  <c r="E29" i="63"/>
  <c r="D29" i="63"/>
  <c r="E16" i="63"/>
  <c r="E15" i="63"/>
  <c r="F41" i="62"/>
  <c r="F39" i="62"/>
  <c r="E39" i="62"/>
  <c r="D39" i="62"/>
  <c r="F28" i="62"/>
  <c r="F26" i="62"/>
  <c r="G26" i="62" s="1"/>
  <c r="C26" i="62"/>
  <c r="D26" i="62" s="1"/>
  <c r="E21" i="62"/>
  <c r="E20" i="62"/>
  <c r="E22" i="62"/>
  <c r="G22" i="62" s="1"/>
  <c r="D22" i="62"/>
  <c r="E19" i="62"/>
  <c r="F41" i="61"/>
  <c r="F39" i="61"/>
  <c r="E39" i="61"/>
  <c r="D39" i="61"/>
  <c r="F28" i="61"/>
  <c r="F26" i="61"/>
  <c r="G26" i="61" s="1"/>
  <c r="C26" i="61"/>
  <c r="D26" i="61" s="1"/>
  <c r="E21" i="61"/>
  <c r="E20" i="61"/>
  <c r="E22" i="61"/>
  <c r="G22" i="61" s="1"/>
  <c r="D22" i="61"/>
  <c r="E19" i="61"/>
  <c r="F41" i="60"/>
  <c r="F39" i="60"/>
  <c r="E39" i="60"/>
  <c r="D39" i="60"/>
  <c r="F28" i="60"/>
  <c r="F26" i="60"/>
  <c r="G26" i="60" s="1"/>
  <c r="C26" i="60"/>
  <c r="D26" i="60" s="1"/>
  <c r="E21" i="60"/>
  <c r="E20" i="60"/>
  <c r="E22" i="60"/>
  <c r="G22" i="60" s="1"/>
  <c r="D22" i="60"/>
  <c r="E19" i="60"/>
  <c r="F41" i="59"/>
  <c r="F39" i="59"/>
  <c r="E39" i="59"/>
  <c r="D39" i="59"/>
  <c r="F28" i="59"/>
  <c r="F26" i="59"/>
  <c r="G26" i="59" s="1"/>
  <c r="C26" i="59"/>
  <c r="D26" i="59" s="1"/>
  <c r="E21" i="59"/>
  <c r="E20" i="59"/>
  <c r="E22" i="59"/>
  <c r="G22" i="59" s="1"/>
  <c r="D22" i="59"/>
  <c r="E19" i="59"/>
  <c r="F41" i="58"/>
  <c r="F39" i="58"/>
  <c r="E39" i="58"/>
  <c r="D39" i="58"/>
  <c r="F28" i="58"/>
  <c r="F26" i="58"/>
  <c r="G26" i="58" s="1"/>
  <c r="C26" i="58"/>
  <c r="D26" i="58" s="1"/>
  <c r="E21" i="58"/>
  <c r="E20" i="58"/>
  <c r="E22" i="58"/>
  <c r="G22" i="58" s="1"/>
  <c r="D22" i="58"/>
  <c r="E19" i="58"/>
  <c r="F41" i="57"/>
  <c r="F39" i="57"/>
  <c r="E39" i="57"/>
  <c r="D39" i="57"/>
  <c r="F28" i="57"/>
  <c r="F26" i="57"/>
  <c r="G26" i="57" s="1"/>
  <c r="C26" i="57"/>
  <c r="D26" i="57" s="1"/>
  <c r="E21" i="57"/>
  <c r="E20" i="57"/>
  <c r="E22" i="57"/>
  <c r="G22" i="57" s="1"/>
  <c r="D22" i="57"/>
  <c r="E19" i="57"/>
  <c r="F41" i="56"/>
  <c r="F39" i="56"/>
  <c r="E39" i="56"/>
  <c r="G39" i="56" s="1"/>
  <c r="D39" i="56"/>
  <c r="F28" i="56"/>
  <c r="F26" i="56"/>
  <c r="G26" i="56" s="1"/>
  <c r="C26" i="56"/>
  <c r="D26" i="56" s="1"/>
  <c r="E21" i="56"/>
  <c r="E20" i="56"/>
  <c r="E22" i="56"/>
  <c r="G22" i="56" s="1"/>
  <c r="D22" i="56"/>
  <c r="E19" i="56"/>
  <c r="F41" i="54"/>
  <c r="F39" i="54"/>
  <c r="E39" i="54"/>
  <c r="D39" i="54"/>
  <c r="F28" i="54"/>
  <c r="F26" i="54"/>
  <c r="G26" i="54" s="1"/>
  <c r="C26" i="54"/>
  <c r="D26" i="54" s="1"/>
  <c r="E21" i="54"/>
  <c r="E20" i="54"/>
  <c r="E22" i="54"/>
  <c r="G22" i="54" s="1"/>
  <c r="D22" i="54"/>
  <c r="E19" i="54"/>
  <c r="F41" i="53"/>
  <c r="F39" i="53"/>
  <c r="E39" i="53"/>
  <c r="D39" i="53"/>
  <c r="F28" i="53"/>
  <c r="F26" i="53"/>
  <c r="G26" i="53" s="1"/>
  <c r="C26" i="53"/>
  <c r="D26" i="53" s="1"/>
  <c r="E21" i="53"/>
  <c r="E20" i="53"/>
  <c r="E22" i="53"/>
  <c r="G22" i="53" s="1"/>
  <c r="D22" i="53"/>
  <c r="E19" i="53"/>
  <c r="F41" i="52"/>
  <c r="F39" i="52"/>
  <c r="E39" i="52"/>
  <c r="D39" i="52"/>
  <c r="F28" i="52"/>
  <c r="F26" i="52"/>
  <c r="G26" i="52" s="1"/>
  <c r="C26" i="52"/>
  <c r="D26" i="52" s="1"/>
  <c r="E21" i="52"/>
  <c r="E20" i="52"/>
  <c r="E22" i="52"/>
  <c r="G22" i="52" s="1"/>
  <c r="D22" i="52"/>
  <c r="E19" i="52"/>
  <c r="F41" i="51"/>
  <c r="F39" i="51"/>
  <c r="E39" i="51"/>
  <c r="D39" i="51"/>
  <c r="F28" i="51"/>
  <c r="F26" i="51"/>
  <c r="G26" i="51" s="1"/>
  <c r="C26" i="51"/>
  <c r="D26" i="51" s="1"/>
  <c r="E21" i="51"/>
  <c r="E20" i="51"/>
  <c r="E22" i="51"/>
  <c r="G22" i="51" s="1"/>
  <c r="D22" i="51"/>
  <c r="E19" i="51"/>
  <c r="F41" i="50"/>
  <c r="F39" i="50"/>
  <c r="E39" i="50"/>
  <c r="D39" i="50"/>
  <c r="F28" i="50"/>
  <c r="F26" i="50"/>
  <c r="G26" i="50" s="1"/>
  <c r="C26" i="50"/>
  <c r="D26" i="50" s="1"/>
  <c r="E21" i="50"/>
  <c r="E20" i="50"/>
  <c r="E22" i="50"/>
  <c r="G22" i="50" s="1"/>
  <c r="D22" i="50"/>
  <c r="E19" i="50"/>
  <c r="F41" i="49"/>
  <c r="F39" i="49"/>
  <c r="E39" i="49"/>
  <c r="D39" i="49"/>
  <c r="F28" i="49"/>
  <c r="F26" i="49"/>
  <c r="G26" i="49" s="1"/>
  <c r="C26" i="49"/>
  <c r="D26" i="49" s="1"/>
  <c r="E21" i="49"/>
  <c r="E20" i="49"/>
  <c r="E22" i="49"/>
  <c r="G22" i="49" s="1"/>
  <c r="D22" i="49"/>
  <c r="E19" i="49"/>
  <c r="F41" i="48"/>
  <c r="F39" i="48"/>
  <c r="E39" i="48"/>
  <c r="D39" i="48"/>
  <c r="F28" i="48"/>
  <c r="F26" i="48"/>
  <c r="G26" i="48" s="1"/>
  <c r="C26" i="48"/>
  <c r="D26" i="48" s="1"/>
  <c r="E21" i="48"/>
  <c r="E20" i="48"/>
  <c r="E22" i="48"/>
  <c r="G22" i="48" s="1"/>
  <c r="D22" i="48"/>
  <c r="E19" i="48"/>
  <c r="F41" i="47"/>
  <c r="F39" i="47"/>
  <c r="E39" i="47"/>
  <c r="D39" i="47"/>
  <c r="F28" i="47"/>
  <c r="F26" i="47"/>
  <c r="G26" i="47" s="1"/>
  <c r="C26" i="47"/>
  <c r="D26" i="47" s="1"/>
  <c r="E21" i="47"/>
  <c r="E20" i="47"/>
  <c r="E22" i="47"/>
  <c r="G22" i="47" s="1"/>
  <c r="D22" i="47"/>
  <c r="E19" i="47"/>
  <c r="F41" i="46"/>
  <c r="F39" i="46"/>
  <c r="E39" i="46"/>
  <c r="D39" i="46"/>
  <c r="F28" i="46"/>
  <c r="F26" i="46"/>
  <c r="G26" i="46" s="1"/>
  <c r="C26" i="46"/>
  <c r="D26" i="46" s="1"/>
  <c r="E21" i="46"/>
  <c r="E20" i="46"/>
  <c r="E22" i="46"/>
  <c r="G22" i="46" s="1"/>
  <c r="D22" i="46"/>
  <c r="E19" i="46"/>
  <c r="F26" i="4"/>
  <c r="F32" i="46"/>
  <c r="F31" i="46"/>
  <c r="G29" i="64" l="1"/>
  <c r="G29" i="68"/>
  <c r="G29" i="63"/>
  <c r="G29" i="66"/>
  <c r="G29" i="70"/>
  <c r="G29" i="69"/>
  <c r="G29" i="81"/>
  <c r="G31" i="5"/>
  <c r="G31" i="71"/>
  <c r="G31" i="78"/>
  <c r="G31" i="72"/>
  <c r="G39" i="58"/>
  <c r="G39" i="60"/>
  <c r="G39" i="61"/>
  <c r="G39" i="62"/>
  <c r="G39" i="53"/>
  <c r="G39" i="54"/>
  <c r="G39" i="46"/>
  <c r="G39" i="47"/>
  <c r="G39" i="48"/>
  <c r="G39" i="50"/>
  <c r="G39" i="51"/>
  <c r="G39" i="57"/>
  <c r="G29" i="79"/>
  <c r="G39" i="52"/>
  <c r="G39" i="49"/>
  <c r="G39" i="59"/>
  <c r="G31" i="75"/>
  <c r="G31" i="74"/>
  <c r="G31" i="73"/>
  <c r="D16" i="81"/>
  <c r="D16" i="79"/>
  <c r="D16" i="80"/>
  <c r="C18" i="80"/>
  <c r="C18" i="81"/>
  <c r="C18" i="79"/>
  <c r="F32" i="4"/>
  <c r="F31" i="47"/>
  <c r="F32" i="47"/>
  <c r="C20" i="78"/>
  <c r="C20" i="76"/>
  <c r="C20" i="77"/>
  <c r="F31" i="4"/>
  <c r="F23" i="81" l="1"/>
  <c r="F23" i="79"/>
  <c r="F23" i="80"/>
  <c r="F25" i="75"/>
  <c r="F25" i="73"/>
  <c r="F25" i="74"/>
  <c r="F23" i="70"/>
  <c r="F23" i="69"/>
  <c r="F23" i="68"/>
  <c r="F23" i="64"/>
  <c r="F23" i="63"/>
  <c r="F23" i="25"/>
  <c r="F32" i="58"/>
  <c r="F32" i="59"/>
  <c r="F32" i="57"/>
  <c r="F32" i="52"/>
  <c r="F32" i="53"/>
  <c r="F32" i="51"/>
  <c r="F24" i="78"/>
  <c r="F24" i="76"/>
  <c r="F24" i="77"/>
  <c r="F24" i="72"/>
  <c r="F24" i="5"/>
  <c r="F24" i="71"/>
  <c r="F22" i="67"/>
  <c r="F22" i="66"/>
  <c r="F22" i="65"/>
  <c r="F31" i="62"/>
  <c r="F31" i="60"/>
  <c r="F31" i="61"/>
  <c r="F31" i="56"/>
  <c r="F31" i="54"/>
  <c r="F31" i="50"/>
  <c r="F31" i="48"/>
  <c r="F31" i="49"/>
  <c r="F25" i="77"/>
  <c r="F25" i="78"/>
  <c r="F25" i="76"/>
  <c r="F25" i="71"/>
  <c r="F25" i="72"/>
  <c r="F25" i="5"/>
  <c r="F23" i="67"/>
  <c r="F23" i="66"/>
  <c r="F23" i="65"/>
  <c r="F32" i="62"/>
  <c r="F32" i="60"/>
  <c r="F32" i="61"/>
  <c r="F32" i="56"/>
  <c r="F32" i="54"/>
  <c r="F32" i="50"/>
  <c r="F32" i="48"/>
  <c r="F32" i="49"/>
  <c r="F22" i="80"/>
  <c r="F22" i="81"/>
  <c r="F22" i="79"/>
  <c r="F24" i="74"/>
  <c r="F24" i="75"/>
  <c r="F24" i="73"/>
  <c r="F22" i="70"/>
  <c r="F22" i="69"/>
  <c r="F22" i="68"/>
  <c r="F22" i="64"/>
  <c r="F22" i="63"/>
  <c r="F22" i="25"/>
  <c r="F31" i="58"/>
  <c r="F31" i="59"/>
  <c r="F31" i="57"/>
  <c r="F31" i="52"/>
  <c r="F31" i="53"/>
  <c r="F31" i="51"/>
  <c r="F35" i="81" l="1"/>
  <c r="F33" i="81"/>
  <c r="B31" i="81"/>
  <c r="B23" i="81"/>
  <c r="B22" i="81"/>
  <c r="B19" i="81"/>
  <c r="B18" i="81"/>
  <c r="E14" i="81"/>
  <c r="D14" i="81"/>
  <c r="B8" i="81"/>
  <c r="B7" i="81"/>
  <c r="B6" i="81"/>
  <c r="B9" i="81" s="1"/>
  <c r="B20" i="81" s="1"/>
  <c r="F35" i="80"/>
  <c r="F33" i="80"/>
  <c r="E14" i="80"/>
  <c r="D14" i="80"/>
  <c r="B8" i="80"/>
  <c r="B6" i="80"/>
  <c r="F35" i="79"/>
  <c r="F33" i="79"/>
  <c r="B31" i="79"/>
  <c r="B23" i="79"/>
  <c r="B22" i="79"/>
  <c r="B19" i="79"/>
  <c r="B18" i="79"/>
  <c r="E14" i="79"/>
  <c r="D14" i="79"/>
  <c r="B8" i="79"/>
  <c r="B7" i="79"/>
  <c r="B6" i="79"/>
  <c r="B9" i="79" s="1"/>
  <c r="B20" i="79" s="1"/>
  <c r="F37" i="78"/>
  <c r="F35" i="78"/>
  <c r="B33" i="78"/>
  <c r="B25" i="78"/>
  <c r="B24" i="78"/>
  <c r="B21" i="78"/>
  <c r="B20" i="78"/>
  <c r="E14" i="78"/>
  <c r="D14" i="78"/>
  <c r="B8" i="78"/>
  <c r="B7" i="78"/>
  <c r="B6" i="78"/>
  <c r="B9" i="78" s="1"/>
  <c r="B22" i="78" s="1"/>
  <c r="F37" i="77"/>
  <c r="F35" i="77"/>
  <c r="E14" i="77"/>
  <c r="D14" i="77"/>
  <c r="B8" i="77"/>
  <c r="B6" i="77"/>
  <c r="F37" i="76"/>
  <c r="F35" i="76"/>
  <c r="B33" i="76"/>
  <c r="B25" i="76"/>
  <c r="B24" i="76"/>
  <c r="B21" i="76"/>
  <c r="B20" i="76"/>
  <c r="E14" i="76"/>
  <c r="D14" i="76"/>
  <c r="B8" i="76"/>
  <c r="B7" i="76"/>
  <c r="B6" i="76"/>
  <c r="B9" i="76" s="1"/>
  <c r="B22" i="76" s="1"/>
  <c r="F37" i="75"/>
  <c r="F35" i="75"/>
  <c r="B33" i="75"/>
  <c r="B25" i="75"/>
  <c r="B24" i="75"/>
  <c r="B21" i="75"/>
  <c r="B20" i="75"/>
  <c r="E14" i="75"/>
  <c r="D14" i="75"/>
  <c r="B8" i="75"/>
  <c r="B7" i="75"/>
  <c r="B6" i="75"/>
  <c r="B9" i="75" s="1"/>
  <c r="B22" i="75" s="1"/>
  <c r="F37" i="74"/>
  <c r="F35" i="74"/>
  <c r="E14" i="74"/>
  <c r="D14" i="74"/>
  <c r="B8" i="74"/>
  <c r="B6" i="74"/>
  <c r="F37" i="73"/>
  <c r="F35" i="73"/>
  <c r="B33" i="73"/>
  <c r="B25" i="73"/>
  <c r="B24" i="73"/>
  <c r="B21" i="73"/>
  <c r="B20" i="73"/>
  <c r="E14" i="73"/>
  <c r="D14" i="73"/>
  <c r="B8" i="73"/>
  <c r="B7" i="73"/>
  <c r="B6" i="73"/>
  <c r="B9" i="73" s="1"/>
  <c r="B22" i="73" s="1"/>
  <c r="B7" i="72"/>
  <c r="B7" i="5"/>
  <c r="F37" i="72"/>
  <c r="F35" i="72"/>
  <c r="B25" i="72"/>
  <c r="B24" i="72"/>
  <c r="B21" i="72"/>
  <c r="B20" i="72"/>
  <c r="E14" i="72"/>
  <c r="D14" i="72"/>
  <c r="B8" i="72"/>
  <c r="B6" i="72"/>
  <c r="B33" i="72"/>
  <c r="F37" i="71"/>
  <c r="F35" i="71"/>
  <c r="E14" i="71"/>
  <c r="D14" i="71"/>
  <c r="B8" i="71"/>
  <c r="B6" i="71"/>
  <c r="F35" i="70"/>
  <c r="F33" i="70"/>
  <c r="B31" i="70"/>
  <c r="B9" i="70"/>
  <c r="B18" i="70" s="1"/>
  <c r="B7" i="70"/>
  <c r="B6" i="70"/>
  <c r="B8" i="70" s="1"/>
  <c r="B5" i="70"/>
  <c r="F35" i="69"/>
  <c r="F33" i="69"/>
  <c r="B9" i="69"/>
  <c r="B7" i="69"/>
  <c r="B6" i="69"/>
  <c r="B5" i="69"/>
  <c r="F35" i="68"/>
  <c r="F33" i="68"/>
  <c r="B31" i="68"/>
  <c r="B9" i="68"/>
  <c r="B18" i="68" s="1"/>
  <c r="B7" i="68"/>
  <c r="B6" i="68"/>
  <c r="B8" i="68" s="1"/>
  <c r="B5" i="68"/>
  <c r="F35" i="67"/>
  <c r="F33" i="67"/>
  <c r="B31" i="67"/>
  <c r="B9" i="67"/>
  <c r="B18" i="67" s="1"/>
  <c r="B7" i="67"/>
  <c r="B6" i="67"/>
  <c r="B8" i="67" s="1"/>
  <c r="B5" i="67"/>
  <c r="F35" i="66"/>
  <c r="F33" i="66"/>
  <c r="B9" i="66"/>
  <c r="B7" i="66"/>
  <c r="B6" i="66"/>
  <c r="B5" i="66"/>
  <c r="F35" i="65"/>
  <c r="F33" i="65"/>
  <c r="B31" i="65"/>
  <c r="B9" i="65"/>
  <c r="B18" i="65" s="1"/>
  <c r="B7" i="65"/>
  <c r="B6" i="65"/>
  <c r="B8" i="65" s="1"/>
  <c r="B5" i="65"/>
  <c r="F35" i="64"/>
  <c r="F33" i="64"/>
  <c r="B31" i="64"/>
  <c r="B9" i="64"/>
  <c r="B18" i="64" s="1"/>
  <c r="B7" i="64"/>
  <c r="B6" i="64"/>
  <c r="B8" i="64" s="1"/>
  <c r="B5" i="64"/>
  <c r="F35" i="63"/>
  <c r="F33" i="63"/>
  <c r="B9" i="63"/>
  <c r="B7" i="63"/>
  <c r="B6" i="63"/>
  <c r="B5" i="63"/>
  <c r="E16" i="25"/>
  <c r="F48" i="62"/>
  <c r="F43" i="62"/>
  <c r="B41" i="62"/>
  <c r="B9" i="62"/>
  <c r="B24" i="62" s="1"/>
  <c r="B7" i="62"/>
  <c r="B6" i="62"/>
  <c r="B8" i="62" s="1"/>
  <c r="B38" i="62" s="1"/>
  <c r="B5" i="62"/>
  <c r="F48" i="61"/>
  <c r="F45" i="61"/>
  <c r="F43" i="61"/>
  <c r="B41" i="61"/>
  <c r="B9" i="61"/>
  <c r="B24" i="61" s="1"/>
  <c r="B7" i="61"/>
  <c r="B6" i="61"/>
  <c r="B5" i="61"/>
  <c r="B41" i="60"/>
  <c r="B9" i="60"/>
  <c r="B24" i="60" s="1"/>
  <c r="B7" i="60"/>
  <c r="B6" i="60"/>
  <c r="B5" i="60"/>
  <c r="F48" i="59"/>
  <c r="F43" i="59"/>
  <c r="B41" i="59"/>
  <c r="B9" i="59"/>
  <c r="B24" i="59" s="1"/>
  <c r="B7" i="59"/>
  <c r="B6" i="59"/>
  <c r="B8" i="59" s="1"/>
  <c r="B38" i="59" s="1"/>
  <c r="B5" i="59"/>
  <c r="F48" i="58"/>
  <c r="F45" i="58"/>
  <c r="F43" i="58"/>
  <c r="B41" i="58"/>
  <c r="B9" i="58"/>
  <c r="B24" i="58" s="1"/>
  <c r="B7" i="58"/>
  <c r="B6" i="58"/>
  <c r="B5" i="58"/>
  <c r="F48" i="57"/>
  <c r="F45" i="57"/>
  <c r="F43" i="57"/>
  <c r="B41" i="57"/>
  <c r="B9" i="57"/>
  <c r="B24" i="57" s="1"/>
  <c r="B7" i="57"/>
  <c r="B6" i="57"/>
  <c r="B8" i="57" s="1"/>
  <c r="B38" i="57" s="1"/>
  <c r="B5" i="57"/>
  <c r="F48" i="56"/>
  <c r="F45" i="56"/>
  <c r="F43" i="56"/>
  <c r="B41" i="56"/>
  <c r="B9" i="56"/>
  <c r="B24" i="56" s="1"/>
  <c r="B7" i="56"/>
  <c r="B6" i="56"/>
  <c r="B5" i="56"/>
  <c r="F48" i="54"/>
  <c r="F45" i="54"/>
  <c r="F43" i="54"/>
  <c r="B41" i="54"/>
  <c r="B9" i="54"/>
  <c r="B24" i="54" s="1"/>
  <c r="B7" i="54"/>
  <c r="B6" i="54"/>
  <c r="B5" i="54"/>
  <c r="F48" i="53"/>
  <c r="F45" i="53"/>
  <c r="F43" i="53"/>
  <c r="B41" i="53"/>
  <c r="B9" i="53"/>
  <c r="B24" i="53" s="1"/>
  <c r="B7" i="53"/>
  <c r="B6" i="53"/>
  <c r="B8" i="53" s="1"/>
  <c r="B38" i="53" s="1"/>
  <c r="B5" i="53"/>
  <c r="F48" i="52"/>
  <c r="F45" i="52"/>
  <c r="F43" i="52"/>
  <c r="B41" i="52"/>
  <c r="B9" i="52"/>
  <c r="B24" i="52" s="1"/>
  <c r="B7" i="52"/>
  <c r="B6" i="52"/>
  <c r="B5" i="52"/>
  <c r="F48" i="51"/>
  <c r="F45" i="51"/>
  <c r="F43" i="51"/>
  <c r="B41" i="51"/>
  <c r="B9" i="51"/>
  <c r="B7" i="51"/>
  <c r="B6" i="51"/>
  <c r="B8" i="51" s="1"/>
  <c r="B38" i="51" s="1"/>
  <c r="B5" i="51"/>
  <c r="F48" i="50"/>
  <c r="F45" i="50"/>
  <c r="F43" i="50"/>
  <c r="B41" i="50"/>
  <c r="B9" i="50"/>
  <c r="B24" i="50" s="1"/>
  <c r="B7" i="50"/>
  <c r="B6" i="50"/>
  <c r="B5" i="50"/>
  <c r="F48" i="49"/>
  <c r="F45" i="49"/>
  <c r="F43" i="49"/>
  <c r="B41" i="49"/>
  <c r="B9" i="49"/>
  <c r="B24" i="49" s="1"/>
  <c r="B7" i="49"/>
  <c r="B6" i="49"/>
  <c r="B5" i="49"/>
  <c r="F48" i="48"/>
  <c r="F45" i="48"/>
  <c r="F43" i="48"/>
  <c r="B41" i="48"/>
  <c r="B9" i="48"/>
  <c r="B24" i="48" s="1"/>
  <c r="B7" i="48"/>
  <c r="B6" i="48"/>
  <c r="B8" i="48" s="1"/>
  <c r="B38" i="48" s="1"/>
  <c r="B5" i="48"/>
  <c r="F48" i="47"/>
  <c r="F45" i="47"/>
  <c r="F43" i="47"/>
  <c r="B41" i="47"/>
  <c r="B9" i="47"/>
  <c r="B7" i="47"/>
  <c r="B6" i="47"/>
  <c r="B8" i="47" s="1"/>
  <c r="B38" i="47" s="1"/>
  <c r="B5" i="47"/>
  <c r="F48" i="46"/>
  <c r="F45" i="46"/>
  <c r="F43" i="46"/>
  <c r="B41" i="46"/>
  <c r="B9" i="46"/>
  <c r="B24" i="46" s="1"/>
  <c r="B7" i="46"/>
  <c r="B6" i="46"/>
  <c r="B5" i="46"/>
  <c r="E20" i="4"/>
  <c r="E21" i="4"/>
  <c r="B28" i="65" l="1"/>
  <c r="D28" i="65" s="1"/>
  <c r="B28" i="70"/>
  <c r="D28" i="70" s="1"/>
  <c r="B28" i="67"/>
  <c r="E28" i="67" s="1"/>
  <c r="G28" i="67" s="1"/>
  <c r="B28" i="64"/>
  <c r="E28" i="64" s="1"/>
  <c r="G28" i="64" s="1"/>
  <c r="B28" i="68"/>
  <c r="E28" i="68" s="1"/>
  <c r="G28" i="68" s="1"/>
  <c r="E22" i="76"/>
  <c r="D22" i="76"/>
  <c r="E22" i="78"/>
  <c r="D22" i="78"/>
  <c r="D22" i="73"/>
  <c r="E22" i="73"/>
  <c r="E22" i="75"/>
  <c r="D22" i="75"/>
  <c r="D41" i="57"/>
  <c r="E41" i="57"/>
  <c r="G41" i="57" s="1"/>
  <c r="H41" i="57" s="1"/>
  <c r="I41" i="57" s="1"/>
  <c r="E31" i="68"/>
  <c r="G31" i="68" s="1"/>
  <c r="D31" i="68"/>
  <c r="E41" i="61"/>
  <c r="G41" i="61" s="1"/>
  <c r="D41" i="61"/>
  <c r="E31" i="65"/>
  <c r="G31" i="65" s="1"/>
  <c r="D31" i="65"/>
  <c r="E41" i="54"/>
  <c r="G41" i="54" s="1"/>
  <c r="D41" i="54"/>
  <c r="E31" i="64"/>
  <c r="G31" i="64" s="1"/>
  <c r="D31" i="64"/>
  <c r="E41" i="58"/>
  <c r="G41" i="58" s="1"/>
  <c r="D41" i="58"/>
  <c r="E31" i="67"/>
  <c r="G31" i="67" s="1"/>
  <c r="D31" i="67"/>
  <c r="E41" i="60"/>
  <c r="G41" i="60" s="1"/>
  <c r="D41" i="60"/>
  <c r="H41" i="60" s="1"/>
  <c r="I41" i="60" s="1"/>
  <c r="E31" i="70"/>
  <c r="G31" i="70" s="1"/>
  <c r="D31" i="70"/>
  <c r="E41" i="52"/>
  <c r="G41" i="52" s="1"/>
  <c r="H41" i="52" s="1"/>
  <c r="I41" i="52" s="1"/>
  <c r="D41" i="52"/>
  <c r="D41" i="49"/>
  <c r="E41" i="49"/>
  <c r="G41" i="49" s="1"/>
  <c r="E41" i="46"/>
  <c r="G41" i="46" s="1"/>
  <c r="D41" i="46"/>
  <c r="G14" i="80"/>
  <c r="H14" i="80" s="1"/>
  <c r="I14" i="80" s="1"/>
  <c r="G14" i="76"/>
  <c r="H14" i="76" s="1"/>
  <c r="I14" i="76" s="1"/>
  <c r="G14" i="71"/>
  <c r="H14" i="71" s="1"/>
  <c r="I14" i="71" s="1"/>
  <c r="B13" i="75"/>
  <c r="B30" i="75"/>
  <c r="B13" i="79"/>
  <c r="B28" i="79"/>
  <c r="B13" i="78"/>
  <c r="B30" i="78"/>
  <c r="B13" i="73"/>
  <c r="B30" i="73"/>
  <c r="B13" i="81"/>
  <c r="B28" i="81"/>
  <c r="B13" i="76"/>
  <c r="B30" i="76"/>
  <c r="E38" i="48"/>
  <c r="G38" i="48" s="1"/>
  <c r="D38" i="48"/>
  <c r="E38" i="47"/>
  <c r="G38" i="47" s="1"/>
  <c r="D38" i="47"/>
  <c r="D38" i="51"/>
  <c r="E38" i="51"/>
  <c r="G38" i="51" s="1"/>
  <c r="E38" i="59"/>
  <c r="G38" i="59" s="1"/>
  <c r="D38" i="59"/>
  <c r="E38" i="53"/>
  <c r="G38" i="53" s="1"/>
  <c r="D38" i="53"/>
  <c r="E38" i="57"/>
  <c r="G38" i="57" s="1"/>
  <c r="D38" i="57"/>
  <c r="D38" i="62"/>
  <c r="E38" i="62"/>
  <c r="G38" i="62" s="1"/>
  <c r="D41" i="56"/>
  <c r="E41" i="56"/>
  <c r="G41" i="56" s="1"/>
  <c r="E41" i="53"/>
  <c r="G41" i="53" s="1"/>
  <c r="D41" i="53"/>
  <c r="E41" i="51"/>
  <c r="G41" i="51" s="1"/>
  <c r="D41" i="51"/>
  <c r="D41" i="50"/>
  <c r="E41" i="50"/>
  <c r="G41" i="50" s="1"/>
  <c r="D41" i="48"/>
  <c r="E41" i="48"/>
  <c r="G41" i="48" s="1"/>
  <c r="E41" i="47"/>
  <c r="G41" i="47" s="1"/>
  <c r="D41" i="47"/>
  <c r="G14" i="72"/>
  <c r="H14" i="72" s="1"/>
  <c r="I14" i="72" s="1"/>
  <c r="G14" i="74"/>
  <c r="H14" i="74" s="1"/>
  <c r="I14" i="74" s="1"/>
  <c r="G14" i="78"/>
  <c r="H14" i="78" s="1"/>
  <c r="I14" i="78" s="1"/>
  <c r="E24" i="76"/>
  <c r="G24" i="76" s="1"/>
  <c r="D33" i="76"/>
  <c r="E33" i="76"/>
  <c r="G33" i="76" s="1"/>
  <c r="E20" i="76"/>
  <c r="D20" i="76"/>
  <c r="E21" i="76"/>
  <c r="E25" i="76"/>
  <c r="G25" i="76" s="1"/>
  <c r="E20" i="73"/>
  <c r="E21" i="73"/>
  <c r="E25" i="73"/>
  <c r="G25" i="73" s="1"/>
  <c r="E24" i="73"/>
  <c r="G24" i="73" s="1"/>
  <c r="E33" i="73"/>
  <c r="G33" i="73" s="1"/>
  <c r="H33" i="73" s="1"/>
  <c r="I33" i="73" s="1"/>
  <c r="D33" i="73"/>
  <c r="G14" i="81"/>
  <c r="H14" i="81" s="1"/>
  <c r="I14" i="81" s="1"/>
  <c r="G14" i="79"/>
  <c r="H14" i="79" s="1"/>
  <c r="I14" i="79" s="1"/>
  <c r="G14" i="77"/>
  <c r="H14" i="77" s="1"/>
  <c r="I14" i="77" s="1"/>
  <c r="G14" i="75"/>
  <c r="H14" i="75" s="1"/>
  <c r="I14" i="75" s="1"/>
  <c r="G14" i="73"/>
  <c r="H14" i="73" s="1"/>
  <c r="I14" i="73" s="1"/>
  <c r="C27" i="46"/>
  <c r="F27" i="46" s="1"/>
  <c r="B12" i="46"/>
  <c r="B13" i="46"/>
  <c r="D13" i="46" s="1"/>
  <c r="C27" i="47"/>
  <c r="F27" i="47" s="1"/>
  <c r="B13" i="47"/>
  <c r="B12" i="47"/>
  <c r="C27" i="48"/>
  <c r="F27" i="48" s="1"/>
  <c r="B12" i="48"/>
  <c r="B13" i="48"/>
  <c r="C27" i="49"/>
  <c r="F27" i="49" s="1"/>
  <c r="B13" i="49"/>
  <c r="D13" i="49" s="1"/>
  <c r="B12" i="49"/>
  <c r="C27" i="50"/>
  <c r="F27" i="50" s="1"/>
  <c r="B12" i="50"/>
  <c r="D12" i="50" s="1"/>
  <c r="B13" i="50"/>
  <c r="C27" i="51"/>
  <c r="F27" i="51" s="1"/>
  <c r="B13" i="51"/>
  <c r="B12" i="51"/>
  <c r="C27" i="52"/>
  <c r="F27" i="52" s="1"/>
  <c r="B12" i="52"/>
  <c r="B13" i="52"/>
  <c r="D13" i="52" s="1"/>
  <c r="C27" i="53"/>
  <c r="F27" i="53" s="1"/>
  <c r="B13" i="53"/>
  <c r="B12" i="53"/>
  <c r="C27" i="54"/>
  <c r="F27" i="54" s="1"/>
  <c r="B12" i="54"/>
  <c r="B13" i="54"/>
  <c r="D13" i="54" s="1"/>
  <c r="C27" i="56"/>
  <c r="F27" i="56" s="1"/>
  <c r="B12" i="56"/>
  <c r="B13" i="56"/>
  <c r="D13" i="56" s="1"/>
  <c r="C27" i="57"/>
  <c r="F27" i="57" s="1"/>
  <c r="B13" i="57"/>
  <c r="B12" i="57"/>
  <c r="C27" i="58"/>
  <c r="F27" i="58" s="1"/>
  <c r="B12" i="58"/>
  <c r="B13" i="58"/>
  <c r="C27" i="59"/>
  <c r="F27" i="59" s="1"/>
  <c r="B13" i="59"/>
  <c r="B12" i="59"/>
  <c r="C27" i="60"/>
  <c r="F27" i="60" s="1"/>
  <c r="B12" i="60"/>
  <c r="D12" i="60" s="1"/>
  <c r="B13" i="60"/>
  <c r="C27" i="61"/>
  <c r="F27" i="61" s="1"/>
  <c r="B13" i="61"/>
  <c r="B12" i="61"/>
  <c r="C27" i="62"/>
  <c r="F27" i="62" s="1"/>
  <c r="B12" i="62"/>
  <c r="B13" i="62"/>
  <c r="C20" i="64"/>
  <c r="F20" i="64" s="1"/>
  <c r="B13" i="64"/>
  <c r="D13" i="64" s="1"/>
  <c r="B12" i="64"/>
  <c r="C20" i="65"/>
  <c r="F20" i="65" s="1"/>
  <c r="B13" i="65"/>
  <c r="D13" i="65" s="1"/>
  <c r="B12" i="65"/>
  <c r="B13" i="67"/>
  <c r="E13" i="67" s="1"/>
  <c r="G13" i="67" s="1"/>
  <c r="B12" i="67"/>
  <c r="B13" i="68"/>
  <c r="E13" i="68" s="1"/>
  <c r="G13" i="68" s="1"/>
  <c r="B12" i="68"/>
  <c r="C20" i="70"/>
  <c r="F20" i="70" s="1"/>
  <c r="B13" i="70"/>
  <c r="D13" i="70" s="1"/>
  <c r="B12" i="70"/>
  <c r="E41" i="62"/>
  <c r="G41" i="62" s="1"/>
  <c r="D41" i="62"/>
  <c r="H41" i="62" s="1"/>
  <c r="I41" i="62" s="1"/>
  <c r="D41" i="59"/>
  <c r="E41" i="59"/>
  <c r="G41" i="59" s="1"/>
  <c r="D31" i="81"/>
  <c r="E31" i="81"/>
  <c r="G31" i="81" s="1"/>
  <c r="E18" i="81"/>
  <c r="D18" i="81"/>
  <c r="E19" i="81"/>
  <c r="E23" i="81"/>
  <c r="G23" i="81" s="1"/>
  <c r="E20" i="81"/>
  <c r="E22" i="81"/>
  <c r="G22" i="81" s="1"/>
  <c r="D31" i="79"/>
  <c r="E31" i="79"/>
  <c r="G31" i="79" s="1"/>
  <c r="E18" i="79"/>
  <c r="D18" i="79"/>
  <c r="E19" i="79"/>
  <c r="E23" i="79"/>
  <c r="G23" i="79" s="1"/>
  <c r="E20" i="79"/>
  <c r="E22" i="79"/>
  <c r="G22" i="79" s="1"/>
  <c r="E33" i="78"/>
  <c r="G33" i="78" s="1"/>
  <c r="D33" i="78"/>
  <c r="E20" i="78"/>
  <c r="D20" i="78"/>
  <c r="E21" i="78"/>
  <c r="E25" i="78"/>
  <c r="G25" i="78" s="1"/>
  <c r="E24" i="78"/>
  <c r="G24" i="78" s="1"/>
  <c r="D33" i="75"/>
  <c r="E33" i="75"/>
  <c r="G33" i="75" s="1"/>
  <c r="E20" i="75"/>
  <c r="E21" i="75"/>
  <c r="E25" i="75"/>
  <c r="G25" i="75" s="1"/>
  <c r="E24" i="75"/>
  <c r="G24" i="75" s="1"/>
  <c r="E33" i="72"/>
  <c r="G33" i="72" s="1"/>
  <c r="D33" i="72"/>
  <c r="E24" i="72"/>
  <c r="G24" i="72" s="1"/>
  <c r="E20" i="72"/>
  <c r="E21" i="72"/>
  <c r="E25" i="72"/>
  <c r="G25" i="72" s="1"/>
  <c r="E18" i="64"/>
  <c r="E18" i="65"/>
  <c r="E18" i="67"/>
  <c r="E18" i="68"/>
  <c r="E18" i="70"/>
  <c r="E24" i="46"/>
  <c r="E24" i="48"/>
  <c r="E24" i="49"/>
  <c r="E24" i="50"/>
  <c r="E24" i="52"/>
  <c r="E24" i="53"/>
  <c r="E24" i="54"/>
  <c r="E24" i="56"/>
  <c r="E24" i="57"/>
  <c r="E24" i="58"/>
  <c r="E24" i="59"/>
  <c r="E24" i="60"/>
  <c r="E24" i="61"/>
  <c r="E24" i="62"/>
  <c r="C20" i="67"/>
  <c r="F20" i="67" s="1"/>
  <c r="C20" i="68"/>
  <c r="F20" i="68" s="1"/>
  <c r="B26" i="81"/>
  <c r="B27" i="81"/>
  <c r="H29" i="81"/>
  <c r="I29" i="81" s="1"/>
  <c r="H29" i="80"/>
  <c r="I29" i="80" s="1"/>
  <c r="B26" i="79"/>
  <c r="B27" i="79"/>
  <c r="H29" i="79"/>
  <c r="I29" i="79" s="1"/>
  <c r="E15" i="53"/>
  <c r="G15" i="53" s="1"/>
  <c r="E16" i="53"/>
  <c r="G16" i="53" s="1"/>
  <c r="E17" i="53"/>
  <c r="G17" i="53" s="1"/>
  <c r="D15" i="47"/>
  <c r="B23" i="49"/>
  <c r="E15" i="61"/>
  <c r="G15" i="61" s="1"/>
  <c r="E15" i="62"/>
  <c r="G15" i="62" s="1"/>
  <c r="E16" i="62"/>
  <c r="G16" i="62" s="1"/>
  <c r="E17" i="62"/>
  <c r="G17" i="62" s="1"/>
  <c r="B28" i="78"/>
  <c r="B29" i="78"/>
  <c r="H31" i="78"/>
  <c r="I31" i="78" s="1"/>
  <c r="H17" i="78"/>
  <c r="I17" i="78" s="1"/>
  <c r="H31" i="77"/>
  <c r="I31" i="77" s="1"/>
  <c r="H17" i="76"/>
  <c r="I17" i="76" s="1"/>
  <c r="B28" i="76"/>
  <c r="B29" i="76"/>
  <c r="H31" i="76"/>
  <c r="I31" i="76" s="1"/>
  <c r="B28" i="75"/>
  <c r="B29" i="75"/>
  <c r="H31" i="75"/>
  <c r="I31" i="75" s="1"/>
  <c r="H17" i="75"/>
  <c r="I17" i="75" s="1"/>
  <c r="H31" i="74"/>
  <c r="I31" i="74" s="1"/>
  <c r="H17" i="74"/>
  <c r="I17" i="74" s="1"/>
  <c r="H31" i="73"/>
  <c r="I31" i="73" s="1"/>
  <c r="B28" i="73"/>
  <c r="B29" i="73"/>
  <c r="H17" i="73"/>
  <c r="I17" i="73" s="1"/>
  <c r="H17" i="72"/>
  <c r="I17" i="72" s="1"/>
  <c r="H31" i="72"/>
  <c r="I31" i="72" s="1"/>
  <c r="B9" i="72"/>
  <c r="B22" i="72" s="1"/>
  <c r="H17" i="71"/>
  <c r="I17" i="71" s="1"/>
  <c r="H31" i="71"/>
  <c r="I31" i="71" s="1"/>
  <c r="B26" i="70"/>
  <c r="B22" i="70"/>
  <c r="B20" i="70"/>
  <c r="B27" i="70"/>
  <c r="B23" i="70"/>
  <c r="H29" i="70"/>
  <c r="I29" i="70" s="1"/>
  <c r="B17" i="70"/>
  <c r="H29" i="69"/>
  <c r="I29" i="69" s="1"/>
  <c r="B26" i="68"/>
  <c r="B22" i="68"/>
  <c r="B20" i="68"/>
  <c r="B27" i="68"/>
  <c r="B23" i="68"/>
  <c r="H29" i="68"/>
  <c r="I29" i="68" s="1"/>
  <c r="B17" i="68"/>
  <c r="B26" i="67"/>
  <c r="B22" i="67"/>
  <c r="B20" i="67"/>
  <c r="B27" i="67"/>
  <c r="B23" i="67"/>
  <c r="H29" i="67"/>
  <c r="I29" i="67" s="1"/>
  <c r="B17" i="67"/>
  <c r="H29" i="66"/>
  <c r="I29" i="66" s="1"/>
  <c r="B26" i="65"/>
  <c r="B22" i="65"/>
  <c r="B20" i="65"/>
  <c r="B27" i="65"/>
  <c r="B23" i="65"/>
  <c r="H29" i="65"/>
  <c r="I29" i="65" s="1"/>
  <c r="B17" i="65"/>
  <c r="B26" i="64"/>
  <c r="B22" i="64"/>
  <c r="B20" i="64"/>
  <c r="B27" i="64"/>
  <c r="B23" i="64"/>
  <c r="H29" i="64"/>
  <c r="I29" i="64" s="1"/>
  <c r="B17" i="64"/>
  <c r="H29" i="63"/>
  <c r="I29" i="63" s="1"/>
  <c r="B37" i="62"/>
  <c r="B36" i="62"/>
  <c r="B32" i="62"/>
  <c r="B31" i="62"/>
  <c r="B28" i="62"/>
  <c r="B27" i="62"/>
  <c r="H22" i="62"/>
  <c r="I22" i="62" s="1"/>
  <c r="B23" i="62"/>
  <c r="H39" i="62"/>
  <c r="I39" i="62" s="1"/>
  <c r="H26" i="62"/>
  <c r="I26" i="62" s="1"/>
  <c r="E17" i="61"/>
  <c r="G17" i="61" s="1"/>
  <c r="D17" i="61"/>
  <c r="B8" i="61"/>
  <c r="B38" i="61" s="1"/>
  <c r="H22" i="61"/>
  <c r="I22" i="61" s="1"/>
  <c r="B23" i="61"/>
  <c r="H39" i="61"/>
  <c r="I39" i="61" s="1"/>
  <c r="H26" i="61"/>
  <c r="I26" i="61" s="1"/>
  <c r="E17" i="60"/>
  <c r="G17" i="60" s="1"/>
  <c r="D17" i="60"/>
  <c r="H22" i="60"/>
  <c r="I22" i="60" s="1"/>
  <c r="B8" i="60"/>
  <c r="B38" i="60" s="1"/>
  <c r="B23" i="60"/>
  <c r="H39" i="60"/>
  <c r="I39" i="60" s="1"/>
  <c r="H26" i="60"/>
  <c r="I26" i="60" s="1"/>
  <c r="H22" i="59"/>
  <c r="I22" i="59" s="1"/>
  <c r="B37" i="59"/>
  <c r="B36" i="59"/>
  <c r="B32" i="59"/>
  <c r="B31" i="59"/>
  <c r="B28" i="59"/>
  <c r="B27" i="59"/>
  <c r="H39" i="59"/>
  <c r="I39" i="59" s="1"/>
  <c r="B23" i="59"/>
  <c r="H26" i="59"/>
  <c r="I26" i="59" s="1"/>
  <c r="E17" i="58"/>
  <c r="G17" i="58" s="1"/>
  <c r="D17" i="58"/>
  <c r="B8" i="58"/>
  <c r="B38" i="58" s="1"/>
  <c r="H22" i="58"/>
  <c r="I22" i="58" s="1"/>
  <c r="B23" i="58"/>
  <c r="H39" i="58"/>
  <c r="I39" i="58" s="1"/>
  <c r="H41" i="58"/>
  <c r="I41" i="58" s="1"/>
  <c r="H26" i="58"/>
  <c r="I26" i="58" s="1"/>
  <c r="E15" i="57"/>
  <c r="G15" i="57" s="1"/>
  <c r="E16" i="57"/>
  <c r="G16" i="57" s="1"/>
  <c r="E17" i="57"/>
  <c r="G17" i="57" s="1"/>
  <c r="B37" i="57"/>
  <c r="B36" i="57"/>
  <c r="B32" i="57"/>
  <c r="B31" i="57"/>
  <c r="B28" i="57"/>
  <c r="B27" i="57"/>
  <c r="H22" i="57"/>
  <c r="I22" i="57" s="1"/>
  <c r="B23" i="57"/>
  <c r="H39" i="57"/>
  <c r="I39" i="57" s="1"/>
  <c r="H26" i="57"/>
  <c r="I26" i="57" s="1"/>
  <c r="E17" i="56"/>
  <c r="G17" i="56" s="1"/>
  <c r="D17" i="56"/>
  <c r="H22" i="56"/>
  <c r="I22" i="56" s="1"/>
  <c r="B8" i="56"/>
  <c r="B38" i="56" s="1"/>
  <c r="B23" i="56"/>
  <c r="H26" i="56"/>
  <c r="I26" i="56" s="1"/>
  <c r="H39" i="56"/>
  <c r="I39" i="56" s="1"/>
  <c r="B23" i="54"/>
  <c r="E17" i="54"/>
  <c r="G17" i="54" s="1"/>
  <c r="D17" i="54"/>
  <c r="H22" i="54"/>
  <c r="I22" i="54" s="1"/>
  <c r="B8" i="54"/>
  <c r="B38" i="54" s="1"/>
  <c r="H39" i="54"/>
  <c r="I39" i="54" s="1"/>
  <c r="H26" i="54"/>
  <c r="I26" i="54" s="1"/>
  <c r="B37" i="53"/>
  <c r="B36" i="53"/>
  <c r="B32" i="53"/>
  <c r="B31" i="53"/>
  <c r="B28" i="53"/>
  <c r="B27" i="53"/>
  <c r="H22" i="53"/>
  <c r="I22" i="53" s="1"/>
  <c r="B23" i="53"/>
  <c r="H39" i="53"/>
  <c r="I39" i="53" s="1"/>
  <c r="H26" i="53"/>
  <c r="I26" i="53" s="1"/>
  <c r="E17" i="52"/>
  <c r="G17" i="52" s="1"/>
  <c r="D17" i="52"/>
  <c r="H22" i="52"/>
  <c r="I22" i="52" s="1"/>
  <c r="B8" i="52"/>
  <c r="B38" i="52" s="1"/>
  <c r="B23" i="52"/>
  <c r="H39" i="52"/>
  <c r="I39" i="52" s="1"/>
  <c r="H26" i="52"/>
  <c r="I26" i="52" s="1"/>
  <c r="D15" i="51"/>
  <c r="D16" i="51"/>
  <c r="D17" i="51"/>
  <c r="B37" i="51"/>
  <c r="B36" i="51"/>
  <c r="B32" i="51"/>
  <c r="B31" i="51"/>
  <c r="B28" i="51"/>
  <c r="B27" i="51"/>
  <c r="B24" i="51"/>
  <c r="H39" i="51"/>
  <c r="I39" i="51" s="1"/>
  <c r="H22" i="51"/>
  <c r="I22" i="51" s="1"/>
  <c r="B23" i="51"/>
  <c r="H26" i="51"/>
  <c r="I26" i="51" s="1"/>
  <c r="E17" i="50"/>
  <c r="G17" i="50" s="1"/>
  <c r="D17" i="50"/>
  <c r="H22" i="50"/>
  <c r="I22" i="50" s="1"/>
  <c r="B8" i="50"/>
  <c r="B38" i="50" s="1"/>
  <c r="B23" i="50"/>
  <c r="H39" i="50"/>
  <c r="I39" i="50" s="1"/>
  <c r="H26" i="50"/>
  <c r="I26" i="50" s="1"/>
  <c r="E17" i="49"/>
  <c r="G17" i="49" s="1"/>
  <c r="D17" i="49"/>
  <c r="H22" i="49"/>
  <c r="I22" i="49" s="1"/>
  <c r="B8" i="49"/>
  <c r="B38" i="49" s="1"/>
  <c r="H39" i="49"/>
  <c r="I39" i="49" s="1"/>
  <c r="H26" i="49"/>
  <c r="I26" i="49" s="1"/>
  <c r="E15" i="48"/>
  <c r="G15" i="48" s="1"/>
  <c r="E16" i="48"/>
  <c r="G16" i="48" s="1"/>
  <c r="E17" i="48"/>
  <c r="G17" i="48" s="1"/>
  <c r="B37" i="48"/>
  <c r="B36" i="48"/>
  <c r="B32" i="48"/>
  <c r="B31" i="48"/>
  <c r="B28" i="48"/>
  <c r="B27" i="48"/>
  <c r="H22" i="48"/>
  <c r="I22" i="48" s="1"/>
  <c r="B23" i="48"/>
  <c r="H39" i="48"/>
  <c r="I39" i="48" s="1"/>
  <c r="H26" i="48"/>
  <c r="I26" i="48" s="1"/>
  <c r="B37" i="47"/>
  <c r="B36" i="47"/>
  <c r="B32" i="47"/>
  <c r="B31" i="47"/>
  <c r="B28" i="47"/>
  <c r="B27" i="47"/>
  <c r="B24" i="47"/>
  <c r="H22" i="47"/>
  <c r="I22" i="47" s="1"/>
  <c r="B23" i="47"/>
  <c r="H39" i="47"/>
  <c r="I39" i="47" s="1"/>
  <c r="H26" i="47"/>
  <c r="I26" i="47" s="1"/>
  <c r="E17" i="46"/>
  <c r="G17" i="46" s="1"/>
  <c r="D17" i="46"/>
  <c r="H22" i="46"/>
  <c r="I22" i="46" s="1"/>
  <c r="B8" i="46"/>
  <c r="B38" i="46" s="1"/>
  <c r="B23" i="46"/>
  <c r="H39" i="46"/>
  <c r="I39" i="46" s="1"/>
  <c r="H26" i="46"/>
  <c r="I26" i="46" s="1"/>
  <c r="E28" i="65" l="1"/>
  <c r="G28" i="65" s="1"/>
  <c r="H28" i="65" s="1"/>
  <c r="I28" i="65" s="1"/>
  <c r="H31" i="64"/>
  <c r="I31" i="64" s="1"/>
  <c r="H41" i="54"/>
  <c r="I41" i="54" s="1"/>
  <c r="D28" i="64"/>
  <c r="H28" i="64" s="1"/>
  <c r="I28" i="64" s="1"/>
  <c r="H33" i="75"/>
  <c r="I33" i="75" s="1"/>
  <c r="H31" i="70"/>
  <c r="I31" i="70" s="1"/>
  <c r="H31" i="65"/>
  <c r="I31" i="65" s="1"/>
  <c r="H33" i="76"/>
  <c r="I33" i="76" s="1"/>
  <c r="D28" i="68"/>
  <c r="H28" i="68" s="1"/>
  <c r="I28" i="68" s="1"/>
  <c r="E28" i="70"/>
  <c r="G28" i="70" s="1"/>
  <c r="H28" i="70" s="1"/>
  <c r="I28" i="70" s="1"/>
  <c r="D28" i="67"/>
  <c r="H28" i="67" s="1"/>
  <c r="I28" i="67" s="1"/>
  <c r="H31" i="68"/>
  <c r="I31" i="68" s="1"/>
  <c r="H31" i="67"/>
  <c r="I31" i="67" s="1"/>
  <c r="H31" i="79"/>
  <c r="I31" i="79" s="1"/>
  <c r="H31" i="81"/>
  <c r="I31" i="81" s="1"/>
  <c r="D22" i="72"/>
  <c r="E22" i="72"/>
  <c r="H33" i="78"/>
  <c r="I33" i="78" s="1"/>
  <c r="H41" i="61"/>
  <c r="I41" i="61" s="1"/>
  <c r="H41" i="49"/>
  <c r="I41" i="49" s="1"/>
  <c r="H41" i="51"/>
  <c r="I41" i="51" s="1"/>
  <c r="H41" i="46"/>
  <c r="I41" i="46" s="1"/>
  <c r="H41" i="50"/>
  <c r="I41" i="50" s="1"/>
  <c r="H41" i="53"/>
  <c r="I41" i="53" s="1"/>
  <c r="E30" i="76"/>
  <c r="G30" i="76" s="1"/>
  <c r="D30" i="76"/>
  <c r="E30" i="73"/>
  <c r="G30" i="73" s="1"/>
  <c r="D30" i="73"/>
  <c r="H38" i="53"/>
  <c r="I38" i="53" s="1"/>
  <c r="H38" i="48"/>
  <c r="I38" i="48" s="1"/>
  <c r="E28" i="81"/>
  <c r="G28" i="81" s="1"/>
  <c r="D28" i="81"/>
  <c r="E28" i="79"/>
  <c r="G28" i="79" s="1"/>
  <c r="D28" i="79"/>
  <c r="B13" i="72"/>
  <c r="B30" i="72"/>
  <c r="E30" i="78"/>
  <c r="G30" i="78" s="1"/>
  <c r="D30" i="78"/>
  <c r="E30" i="75"/>
  <c r="G30" i="75" s="1"/>
  <c r="D30" i="75"/>
  <c r="E38" i="54"/>
  <c r="G38" i="54" s="1"/>
  <c r="D38" i="54"/>
  <c r="D38" i="46"/>
  <c r="E38" i="46"/>
  <c r="G38" i="46" s="1"/>
  <c r="H38" i="47"/>
  <c r="I38" i="47" s="1"/>
  <c r="E38" i="49"/>
  <c r="G38" i="49" s="1"/>
  <c r="D38" i="49"/>
  <c r="E38" i="50"/>
  <c r="G38" i="50" s="1"/>
  <c r="D38" i="50"/>
  <c r="E38" i="52"/>
  <c r="G38" i="52" s="1"/>
  <c r="D38" i="52"/>
  <c r="E38" i="56"/>
  <c r="G38" i="56" s="1"/>
  <c r="D38" i="56"/>
  <c r="E38" i="60"/>
  <c r="G38" i="60" s="1"/>
  <c r="D38" i="60"/>
  <c r="H38" i="62"/>
  <c r="I38" i="62" s="1"/>
  <c r="H38" i="51"/>
  <c r="I38" i="51" s="1"/>
  <c r="E38" i="61"/>
  <c r="G38" i="61" s="1"/>
  <c r="D38" i="61"/>
  <c r="H38" i="57"/>
  <c r="I38" i="57" s="1"/>
  <c r="H38" i="59"/>
  <c r="I38" i="59" s="1"/>
  <c r="D38" i="58"/>
  <c r="E38" i="58"/>
  <c r="G38" i="58" s="1"/>
  <c r="H41" i="48"/>
  <c r="I41" i="48" s="1"/>
  <c r="H41" i="56"/>
  <c r="I41" i="56" s="1"/>
  <c r="H41" i="47"/>
  <c r="I41" i="47" s="1"/>
  <c r="H41" i="59"/>
  <c r="I41" i="59" s="1"/>
  <c r="D13" i="68"/>
  <c r="H13" i="68" s="1"/>
  <c r="I13" i="68" s="1"/>
  <c r="G26" i="73"/>
  <c r="D13" i="67"/>
  <c r="H13" i="67" s="1"/>
  <c r="I13" i="67" s="1"/>
  <c r="G26" i="76"/>
  <c r="E13" i="56"/>
  <c r="G13" i="56" s="1"/>
  <c r="H13" i="56" s="1"/>
  <c r="I13" i="56" s="1"/>
  <c r="E13" i="70"/>
  <c r="G13" i="70" s="1"/>
  <c r="H13" i="70" s="1"/>
  <c r="I13" i="70" s="1"/>
  <c r="G26" i="75"/>
  <c r="G24" i="79"/>
  <c r="G24" i="81"/>
  <c r="G26" i="78"/>
  <c r="E13" i="64"/>
  <c r="G13" i="64" s="1"/>
  <c r="H13" i="64" s="1"/>
  <c r="I13" i="64" s="1"/>
  <c r="G26" i="72"/>
  <c r="E23" i="46"/>
  <c r="E23" i="47"/>
  <c r="E27" i="47"/>
  <c r="G27" i="47" s="1"/>
  <c r="D27" i="47"/>
  <c r="E31" i="47"/>
  <c r="G31" i="47" s="1"/>
  <c r="D36" i="47"/>
  <c r="E36" i="47"/>
  <c r="G36" i="47" s="1"/>
  <c r="E23" i="48"/>
  <c r="E27" i="48"/>
  <c r="G27" i="48" s="1"/>
  <c r="D27" i="48"/>
  <c r="E31" i="48"/>
  <c r="G31" i="48" s="1"/>
  <c r="E36" i="48"/>
  <c r="G36" i="48" s="1"/>
  <c r="D36" i="48"/>
  <c r="E27" i="51"/>
  <c r="G27" i="51" s="1"/>
  <c r="D27" i="51"/>
  <c r="E31" i="51"/>
  <c r="G31" i="51" s="1"/>
  <c r="D36" i="51"/>
  <c r="E36" i="51"/>
  <c r="G36" i="51" s="1"/>
  <c r="E28" i="53"/>
  <c r="G28" i="53" s="1"/>
  <c r="D28" i="53"/>
  <c r="E32" i="53"/>
  <c r="G32" i="53" s="1"/>
  <c r="D37" i="53"/>
  <c r="E37" i="53"/>
  <c r="G37" i="53" s="1"/>
  <c r="E23" i="57"/>
  <c r="E27" i="57"/>
  <c r="G27" i="57" s="1"/>
  <c r="D27" i="57"/>
  <c r="E31" i="57"/>
  <c r="G31" i="57" s="1"/>
  <c r="E36" i="57"/>
  <c r="G36" i="57" s="1"/>
  <c r="D36" i="57"/>
  <c r="E27" i="59"/>
  <c r="G27" i="59" s="1"/>
  <c r="D27" i="59"/>
  <c r="E31" i="59"/>
  <c r="G31" i="59" s="1"/>
  <c r="E36" i="59"/>
  <c r="G36" i="59" s="1"/>
  <c r="D36" i="59"/>
  <c r="E23" i="62"/>
  <c r="E27" i="62"/>
  <c r="G27" i="62" s="1"/>
  <c r="D27" i="62"/>
  <c r="E31" i="62"/>
  <c r="G31" i="62" s="1"/>
  <c r="D36" i="62"/>
  <c r="E36" i="62"/>
  <c r="G36" i="62" s="1"/>
  <c r="E17" i="64"/>
  <c r="E27" i="64"/>
  <c r="G27" i="64" s="1"/>
  <c r="D27" i="64"/>
  <c r="E22" i="64"/>
  <c r="G22" i="64" s="1"/>
  <c r="D27" i="65"/>
  <c r="E27" i="65"/>
  <c r="G27" i="65" s="1"/>
  <c r="E22" i="65"/>
  <c r="G22" i="65" s="1"/>
  <c r="E23" i="67"/>
  <c r="G23" i="67" s="1"/>
  <c r="E20" i="67"/>
  <c r="G20" i="67" s="1"/>
  <c r="D20" i="67"/>
  <c r="D26" i="67"/>
  <c r="E26" i="67"/>
  <c r="G26" i="67" s="1"/>
  <c r="E17" i="68"/>
  <c r="E23" i="68"/>
  <c r="G23" i="68" s="1"/>
  <c r="E20" i="68"/>
  <c r="G20" i="68" s="1"/>
  <c r="D20" i="68"/>
  <c r="E26" i="68"/>
  <c r="G26" i="68" s="1"/>
  <c r="D26" i="68"/>
  <c r="E17" i="70"/>
  <c r="D27" i="70"/>
  <c r="E27" i="70"/>
  <c r="G27" i="70" s="1"/>
  <c r="E22" i="70"/>
  <c r="G22" i="70" s="1"/>
  <c r="E29" i="73"/>
  <c r="G29" i="73" s="1"/>
  <c r="D29" i="73"/>
  <c r="E29" i="75"/>
  <c r="G29" i="75" s="1"/>
  <c r="D29" i="75"/>
  <c r="D29" i="76"/>
  <c r="E29" i="76"/>
  <c r="G29" i="76" s="1"/>
  <c r="D29" i="78"/>
  <c r="E29" i="78"/>
  <c r="G29" i="78" s="1"/>
  <c r="E27" i="79"/>
  <c r="G27" i="79" s="1"/>
  <c r="D27" i="79"/>
  <c r="D26" i="81"/>
  <c r="E26" i="81"/>
  <c r="G26" i="81" s="1"/>
  <c r="E24" i="47"/>
  <c r="E28" i="47"/>
  <c r="G28" i="47" s="1"/>
  <c r="D28" i="47"/>
  <c r="E32" i="47"/>
  <c r="G32" i="47" s="1"/>
  <c r="D37" i="47"/>
  <c r="E37" i="47"/>
  <c r="G37" i="47" s="1"/>
  <c r="E28" i="48"/>
  <c r="G28" i="48" s="1"/>
  <c r="D28" i="48"/>
  <c r="E32" i="48"/>
  <c r="G32" i="48" s="1"/>
  <c r="E37" i="48"/>
  <c r="G37" i="48" s="1"/>
  <c r="D37" i="48"/>
  <c r="E23" i="50"/>
  <c r="E23" i="51"/>
  <c r="E24" i="51"/>
  <c r="E28" i="51"/>
  <c r="G28" i="51" s="1"/>
  <c r="D28" i="51"/>
  <c r="E32" i="51"/>
  <c r="G32" i="51" s="1"/>
  <c r="D37" i="51"/>
  <c r="E37" i="51"/>
  <c r="G37" i="51" s="1"/>
  <c r="E23" i="52"/>
  <c r="E23" i="53"/>
  <c r="E27" i="53"/>
  <c r="G27" i="53" s="1"/>
  <c r="D27" i="53"/>
  <c r="E31" i="53"/>
  <c r="G31" i="53" s="1"/>
  <c r="D36" i="53"/>
  <c r="E36" i="53"/>
  <c r="G36" i="53" s="1"/>
  <c r="E23" i="54"/>
  <c r="E23" i="56"/>
  <c r="E28" i="57"/>
  <c r="G28" i="57" s="1"/>
  <c r="D28" i="57"/>
  <c r="E32" i="57"/>
  <c r="G32" i="57" s="1"/>
  <c r="E37" i="57"/>
  <c r="G37" i="57" s="1"/>
  <c r="D37" i="57"/>
  <c r="E23" i="58"/>
  <c r="E23" i="59"/>
  <c r="E28" i="59"/>
  <c r="G28" i="59" s="1"/>
  <c r="D28" i="59"/>
  <c r="E32" i="59"/>
  <c r="G32" i="59" s="1"/>
  <c r="E37" i="59"/>
  <c r="G37" i="59" s="1"/>
  <c r="D37" i="59"/>
  <c r="E23" i="60"/>
  <c r="E23" i="61"/>
  <c r="E28" i="62"/>
  <c r="G28" i="62" s="1"/>
  <c r="D28" i="62"/>
  <c r="E32" i="62"/>
  <c r="G32" i="62" s="1"/>
  <c r="D37" i="62"/>
  <c r="E37" i="62"/>
  <c r="G37" i="62" s="1"/>
  <c r="E23" i="64"/>
  <c r="G23" i="64" s="1"/>
  <c r="E20" i="64"/>
  <c r="G20" i="64" s="1"/>
  <c r="D20" i="64"/>
  <c r="E26" i="64"/>
  <c r="G26" i="64" s="1"/>
  <c r="D26" i="64"/>
  <c r="E17" i="65"/>
  <c r="E23" i="65"/>
  <c r="G23" i="65" s="1"/>
  <c r="E20" i="65"/>
  <c r="G20" i="65" s="1"/>
  <c r="D20" i="65"/>
  <c r="D26" i="65"/>
  <c r="E26" i="65"/>
  <c r="G26" i="65" s="1"/>
  <c r="E17" i="67"/>
  <c r="D27" i="67"/>
  <c r="E27" i="67"/>
  <c r="G27" i="67" s="1"/>
  <c r="E22" i="67"/>
  <c r="G22" i="67" s="1"/>
  <c r="E27" i="68"/>
  <c r="G27" i="68" s="1"/>
  <c r="D27" i="68"/>
  <c r="E22" i="68"/>
  <c r="G22" i="68" s="1"/>
  <c r="E23" i="70"/>
  <c r="G23" i="70" s="1"/>
  <c r="E20" i="70"/>
  <c r="G20" i="70" s="1"/>
  <c r="D20" i="70"/>
  <c r="D26" i="70"/>
  <c r="E26" i="70"/>
  <c r="G26" i="70" s="1"/>
  <c r="E28" i="73"/>
  <c r="G28" i="73" s="1"/>
  <c r="D28" i="73"/>
  <c r="E28" i="75"/>
  <c r="G28" i="75" s="1"/>
  <c r="D28" i="75"/>
  <c r="D28" i="76"/>
  <c r="E28" i="76"/>
  <c r="G28" i="76" s="1"/>
  <c r="D28" i="78"/>
  <c r="E28" i="78"/>
  <c r="G28" i="78" s="1"/>
  <c r="E23" i="49"/>
  <c r="E26" i="79"/>
  <c r="G26" i="79" s="1"/>
  <c r="D26" i="79"/>
  <c r="D27" i="81"/>
  <c r="E27" i="81"/>
  <c r="G27" i="81" s="1"/>
  <c r="D15" i="61"/>
  <c r="H15" i="61" s="1"/>
  <c r="I15" i="61" s="1"/>
  <c r="E13" i="49"/>
  <c r="G13" i="49" s="1"/>
  <c r="H13" i="49" s="1"/>
  <c r="I13" i="49" s="1"/>
  <c r="D15" i="53"/>
  <c r="H15" i="53" s="1"/>
  <c r="I15" i="53" s="1"/>
  <c r="D15" i="62"/>
  <c r="H15" i="62" s="1"/>
  <c r="I15" i="62" s="1"/>
  <c r="G18" i="62"/>
  <c r="G18" i="53"/>
  <c r="E13" i="46"/>
  <c r="G13" i="46" s="1"/>
  <c r="H13" i="46" s="1"/>
  <c r="I13" i="46" s="1"/>
  <c r="E15" i="47"/>
  <c r="G15" i="47" s="1"/>
  <c r="H15" i="47" s="1"/>
  <c r="I15" i="47" s="1"/>
  <c r="E13" i="52"/>
  <c r="G13" i="52" s="1"/>
  <c r="H13" i="52" s="1"/>
  <c r="I13" i="52" s="1"/>
  <c r="D17" i="53"/>
  <c r="H17" i="53" s="1"/>
  <c r="I17" i="53" s="1"/>
  <c r="D17" i="57"/>
  <c r="H17" i="57" s="1"/>
  <c r="I17" i="57" s="1"/>
  <c r="D17" i="62"/>
  <c r="H17" i="62" s="1"/>
  <c r="I17" i="62" s="1"/>
  <c r="E13" i="65"/>
  <c r="G13" i="65" s="1"/>
  <c r="H13" i="65" s="1"/>
  <c r="I13" i="65" s="1"/>
  <c r="E15" i="51"/>
  <c r="G15" i="51" s="1"/>
  <c r="H15" i="51" s="1"/>
  <c r="I15" i="51" s="1"/>
  <c r="E12" i="50"/>
  <c r="G12" i="50" s="1"/>
  <c r="H12" i="50" s="1"/>
  <c r="I12" i="50" s="1"/>
  <c r="E17" i="51"/>
  <c r="G17" i="51" s="1"/>
  <c r="H17" i="51" s="1"/>
  <c r="I17" i="51" s="1"/>
  <c r="D16" i="53"/>
  <c r="H16" i="53" s="1"/>
  <c r="I16" i="53" s="1"/>
  <c r="D15" i="57"/>
  <c r="H15" i="57" s="1"/>
  <c r="I15" i="57" s="1"/>
  <c r="D16" i="62"/>
  <c r="H16" i="62" s="1"/>
  <c r="I16" i="62" s="1"/>
  <c r="E13" i="81"/>
  <c r="G13" i="81" s="1"/>
  <c r="D13" i="81"/>
  <c r="D15" i="81" s="1"/>
  <c r="E13" i="79"/>
  <c r="G13" i="79" s="1"/>
  <c r="D13" i="79"/>
  <c r="D15" i="79" s="1"/>
  <c r="D17" i="48"/>
  <c r="H17" i="48" s="1"/>
  <c r="I17" i="48" s="1"/>
  <c r="G18" i="57"/>
  <c r="E12" i="60"/>
  <c r="G12" i="60" s="1"/>
  <c r="H12" i="60" s="1"/>
  <c r="I12" i="60" s="1"/>
  <c r="D15" i="48"/>
  <c r="H15" i="48" s="1"/>
  <c r="I15" i="48" s="1"/>
  <c r="G18" i="48"/>
  <c r="E13" i="78"/>
  <c r="G13" i="78" s="1"/>
  <c r="D13" i="78"/>
  <c r="D15" i="78" s="1"/>
  <c r="E13" i="76"/>
  <c r="G13" i="76" s="1"/>
  <c r="D13" i="76"/>
  <c r="D15" i="76" s="1"/>
  <c r="E13" i="75"/>
  <c r="D13" i="75"/>
  <c r="D15" i="75" s="1"/>
  <c r="E13" i="73"/>
  <c r="G13" i="73" s="1"/>
  <c r="D13" i="73"/>
  <c r="D15" i="73" s="1"/>
  <c r="B28" i="72"/>
  <c r="B29" i="72"/>
  <c r="H33" i="72"/>
  <c r="I33" i="72" s="1"/>
  <c r="E12" i="70"/>
  <c r="G12" i="70" s="1"/>
  <c r="D12" i="70"/>
  <c r="D14" i="70" s="1"/>
  <c r="E12" i="68"/>
  <c r="G12" i="68" s="1"/>
  <c r="D12" i="68"/>
  <c r="E12" i="67"/>
  <c r="G12" i="67" s="1"/>
  <c r="D12" i="67"/>
  <c r="E12" i="65"/>
  <c r="G12" i="65" s="1"/>
  <c r="D12" i="65"/>
  <c r="D14" i="65" s="1"/>
  <c r="E12" i="64"/>
  <c r="G12" i="64" s="1"/>
  <c r="D12" i="64"/>
  <c r="D14" i="64" s="1"/>
  <c r="D12" i="62"/>
  <c r="E12" i="62"/>
  <c r="G12" i="62" s="1"/>
  <c r="D13" i="62"/>
  <c r="E13" i="62"/>
  <c r="G13" i="62" s="1"/>
  <c r="E16" i="61"/>
  <c r="G16" i="61" s="1"/>
  <c r="D16" i="61"/>
  <c r="D13" i="61"/>
  <c r="E13" i="61"/>
  <c r="G13" i="61" s="1"/>
  <c r="B37" i="61"/>
  <c r="B36" i="61"/>
  <c r="B32" i="61"/>
  <c r="B31" i="61"/>
  <c r="B28" i="61"/>
  <c r="B27" i="61"/>
  <c r="D12" i="61"/>
  <c r="E12" i="61"/>
  <c r="G12" i="61" s="1"/>
  <c r="H17" i="61"/>
  <c r="I17" i="61" s="1"/>
  <c r="E16" i="60"/>
  <c r="G16" i="60" s="1"/>
  <c r="D16" i="60"/>
  <c r="E15" i="60"/>
  <c r="G15" i="60" s="1"/>
  <c r="D15" i="60"/>
  <c r="D13" i="60"/>
  <c r="D14" i="60" s="1"/>
  <c r="E13" i="60"/>
  <c r="G13" i="60" s="1"/>
  <c r="B37" i="60"/>
  <c r="B36" i="60"/>
  <c r="B32" i="60"/>
  <c r="B31" i="60"/>
  <c r="B28" i="60"/>
  <c r="B27" i="60"/>
  <c r="H17" i="60"/>
  <c r="I17" i="60" s="1"/>
  <c r="E13" i="59"/>
  <c r="G13" i="59" s="1"/>
  <c r="D13" i="59"/>
  <c r="D17" i="59"/>
  <c r="E17" i="59"/>
  <c r="G17" i="59" s="1"/>
  <c r="D15" i="59"/>
  <c r="E15" i="59"/>
  <c r="G15" i="59" s="1"/>
  <c r="E12" i="59"/>
  <c r="G12" i="59" s="1"/>
  <c r="D12" i="59"/>
  <c r="D16" i="59"/>
  <c r="E16" i="59"/>
  <c r="G16" i="59" s="1"/>
  <c r="E15" i="58"/>
  <c r="G15" i="58" s="1"/>
  <c r="D15" i="58"/>
  <c r="D12" i="58"/>
  <c r="E12" i="58"/>
  <c r="G12" i="58" s="1"/>
  <c r="H17" i="58"/>
  <c r="I17" i="58" s="1"/>
  <c r="E16" i="58"/>
  <c r="G16" i="58" s="1"/>
  <c r="D16" i="58"/>
  <c r="D13" i="58"/>
  <c r="E13" i="58"/>
  <c r="G13" i="58" s="1"/>
  <c r="B37" i="58"/>
  <c r="B36" i="58"/>
  <c r="B32" i="58"/>
  <c r="B31" i="58"/>
  <c r="B28" i="58"/>
  <c r="B27" i="58"/>
  <c r="D16" i="57"/>
  <c r="H16" i="57" s="1"/>
  <c r="I16" i="57" s="1"/>
  <c r="D12" i="57"/>
  <c r="E12" i="57"/>
  <c r="G12" i="57" s="1"/>
  <c r="D13" i="57"/>
  <c r="E13" i="57"/>
  <c r="G13" i="57" s="1"/>
  <c r="E16" i="56"/>
  <c r="G16" i="56" s="1"/>
  <c r="D16" i="56"/>
  <c r="B37" i="56"/>
  <c r="B36" i="56"/>
  <c r="B32" i="56"/>
  <c r="B31" i="56"/>
  <c r="B28" i="56"/>
  <c r="B27" i="56"/>
  <c r="H17" i="56"/>
  <c r="I17" i="56" s="1"/>
  <c r="E15" i="56"/>
  <c r="G15" i="56" s="1"/>
  <c r="D15" i="56"/>
  <c r="D12" i="56"/>
  <c r="D14" i="56" s="1"/>
  <c r="E12" i="56"/>
  <c r="G12" i="56" s="1"/>
  <c r="E13" i="54"/>
  <c r="G13" i="54" s="1"/>
  <c r="H13" i="54" s="1"/>
  <c r="I13" i="54" s="1"/>
  <c r="E16" i="54"/>
  <c r="G16" i="54" s="1"/>
  <c r="D16" i="54"/>
  <c r="D12" i="54"/>
  <c r="D14" i="54" s="1"/>
  <c r="E12" i="54"/>
  <c r="G12" i="54" s="1"/>
  <c r="E15" i="54"/>
  <c r="G15" i="54" s="1"/>
  <c r="D15" i="54"/>
  <c r="B37" i="54"/>
  <c r="B36" i="54"/>
  <c r="B32" i="54"/>
  <c r="B31" i="54"/>
  <c r="B28" i="54"/>
  <c r="B27" i="54"/>
  <c r="H17" i="54"/>
  <c r="I17" i="54" s="1"/>
  <c r="D12" i="53"/>
  <c r="E12" i="53"/>
  <c r="G12" i="53" s="1"/>
  <c r="D13" i="53"/>
  <c r="E13" i="53"/>
  <c r="G13" i="53" s="1"/>
  <c r="E15" i="52"/>
  <c r="G15" i="52" s="1"/>
  <c r="D15" i="52"/>
  <c r="B37" i="52"/>
  <c r="B36" i="52"/>
  <c r="B32" i="52"/>
  <c r="B31" i="52"/>
  <c r="B28" i="52"/>
  <c r="B27" i="52"/>
  <c r="E16" i="52"/>
  <c r="G16" i="52" s="1"/>
  <c r="D16" i="52"/>
  <c r="D12" i="52"/>
  <c r="D14" i="52" s="1"/>
  <c r="E12" i="52"/>
  <c r="G12" i="52" s="1"/>
  <c r="H17" i="52"/>
  <c r="I17" i="52" s="1"/>
  <c r="E16" i="51"/>
  <c r="G16" i="51" s="1"/>
  <c r="D18" i="51"/>
  <c r="E12" i="51"/>
  <c r="G12" i="51" s="1"/>
  <c r="D12" i="51"/>
  <c r="E13" i="51"/>
  <c r="G13" i="51" s="1"/>
  <c r="D13" i="51"/>
  <c r="E16" i="50"/>
  <c r="G16" i="50" s="1"/>
  <c r="D16" i="50"/>
  <c r="E15" i="50"/>
  <c r="G15" i="50" s="1"/>
  <c r="D15" i="50"/>
  <c r="D13" i="50"/>
  <c r="D14" i="50" s="1"/>
  <c r="E13" i="50"/>
  <c r="G13" i="50" s="1"/>
  <c r="B37" i="50"/>
  <c r="B36" i="50"/>
  <c r="B32" i="50"/>
  <c r="B31" i="50"/>
  <c r="B28" i="50"/>
  <c r="B27" i="50"/>
  <c r="H17" i="50"/>
  <c r="I17" i="50" s="1"/>
  <c r="E16" i="49"/>
  <c r="G16" i="49" s="1"/>
  <c r="D16" i="49"/>
  <c r="D12" i="49"/>
  <c r="D14" i="49" s="1"/>
  <c r="E12" i="49"/>
  <c r="G12" i="49" s="1"/>
  <c r="E15" i="49"/>
  <c r="G15" i="49" s="1"/>
  <c r="D15" i="49"/>
  <c r="B37" i="49"/>
  <c r="B36" i="49"/>
  <c r="B32" i="49"/>
  <c r="B31" i="49"/>
  <c r="B28" i="49"/>
  <c r="B27" i="49"/>
  <c r="H17" i="49"/>
  <c r="I17" i="49" s="1"/>
  <c r="D16" i="48"/>
  <c r="H16" i="48" s="1"/>
  <c r="I16" i="48" s="1"/>
  <c r="D12" i="48"/>
  <c r="E12" i="48"/>
  <c r="G12" i="48" s="1"/>
  <c r="D13" i="48"/>
  <c r="E13" i="48"/>
  <c r="G13" i="48" s="1"/>
  <c r="E13" i="47"/>
  <c r="G13" i="47" s="1"/>
  <c r="D13" i="47"/>
  <c r="D17" i="47"/>
  <c r="E17" i="47"/>
  <c r="G17" i="47" s="1"/>
  <c r="E12" i="47"/>
  <c r="G12" i="47" s="1"/>
  <c r="D12" i="47"/>
  <c r="D16" i="47"/>
  <c r="E16" i="47"/>
  <c r="G16" i="47" s="1"/>
  <c r="H17" i="46"/>
  <c r="I17" i="46" s="1"/>
  <c r="E15" i="46"/>
  <c r="G15" i="46" s="1"/>
  <c r="D15" i="46"/>
  <c r="D12" i="46"/>
  <c r="D14" i="46" s="1"/>
  <c r="E12" i="46"/>
  <c r="G12" i="46" s="1"/>
  <c r="B37" i="46"/>
  <c r="B36" i="46"/>
  <c r="B32" i="46"/>
  <c r="B31" i="46"/>
  <c r="B28" i="46"/>
  <c r="B27" i="46"/>
  <c r="E16" i="46"/>
  <c r="G16" i="46" s="1"/>
  <c r="D16" i="46"/>
  <c r="D18" i="47" l="1"/>
  <c r="G13" i="75"/>
  <c r="G15" i="75" s="1"/>
  <c r="G30" i="79"/>
  <c r="H38" i="60"/>
  <c r="I38" i="60" s="1"/>
  <c r="H38" i="52"/>
  <c r="I38" i="52" s="1"/>
  <c r="H38" i="49"/>
  <c r="I38" i="49" s="1"/>
  <c r="H30" i="76"/>
  <c r="I30" i="76" s="1"/>
  <c r="D30" i="79"/>
  <c r="H30" i="75"/>
  <c r="I30" i="75" s="1"/>
  <c r="H28" i="79"/>
  <c r="I28" i="79" s="1"/>
  <c r="H28" i="81"/>
  <c r="I28" i="81" s="1"/>
  <c r="H38" i="46"/>
  <c r="I38" i="46" s="1"/>
  <c r="H30" i="78"/>
  <c r="I30" i="78" s="1"/>
  <c r="E30" i="72"/>
  <c r="G30" i="72" s="1"/>
  <c r="D30" i="72"/>
  <c r="H30" i="73"/>
  <c r="I30" i="73" s="1"/>
  <c r="H38" i="54"/>
  <c r="I38" i="54" s="1"/>
  <c r="H38" i="58"/>
  <c r="I38" i="58" s="1"/>
  <c r="H38" i="61"/>
  <c r="I38" i="61" s="1"/>
  <c r="H38" i="56"/>
  <c r="I38" i="56" s="1"/>
  <c r="H38" i="50"/>
  <c r="I38" i="50" s="1"/>
  <c r="D14" i="61"/>
  <c r="D18" i="61"/>
  <c r="D14" i="68"/>
  <c r="D14" i="67"/>
  <c r="G24" i="67"/>
  <c r="D30" i="65"/>
  <c r="G33" i="53"/>
  <c r="G30" i="65"/>
  <c r="G40" i="53"/>
  <c r="D14" i="59"/>
  <c r="D40" i="53"/>
  <c r="G32" i="78"/>
  <c r="D32" i="75"/>
  <c r="D32" i="73"/>
  <c r="G30" i="70"/>
  <c r="G30" i="64"/>
  <c r="G32" i="76"/>
  <c r="D32" i="78"/>
  <c r="D32" i="76"/>
  <c r="G32" i="75"/>
  <c r="G32" i="73"/>
  <c r="D30" i="70"/>
  <c r="D30" i="64"/>
  <c r="G24" i="68"/>
  <c r="G18" i="51"/>
  <c r="H18" i="51" s="1"/>
  <c r="I18" i="51" s="1"/>
  <c r="E28" i="46"/>
  <c r="G28" i="46" s="1"/>
  <c r="D28" i="46"/>
  <c r="E32" i="46"/>
  <c r="G32" i="46" s="1"/>
  <c r="E37" i="46"/>
  <c r="G37" i="46" s="1"/>
  <c r="D37" i="46"/>
  <c r="E28" i="49"/>
  <c r="G28" i="49" s="1"/>
  <c r="D28" i="49"/>
  <c r="E32" i="49"/>
  <c r="G32" i="49" s="1"/>
  <c r="D37" i="49"/>
  <c r="E37" i="49"/>
  <c r="G37" i="49" s="1"/>
  <c r="E28" i="50"/>
  <c r="G28" i="50" s="1"/>
  <c r="D28" i="50"/>
  <c r="E32" i="50"/>
  <c r="G32" i="50" s="1"/>
  <c r="E37" i="50"/>
  <c r="G37" i="50" s="1"/>
  <c r="D37" i="50"/>
  <c r="E27" i="52"/>
  <c r="G27" i="52" s="1"/>
  <c r="D27" i="52"/>
  <c r="E31" i="52"/>
  <c r="G31" i="52" s="1"/>
  <c r="E36" i="52"/>
  <c r="G36" i="52" s="1"/>
  <c r="D36" i="52"/>
  <c r="E27" i="54"/>
  <c r="G27" i="54" s="1"/>
  <c r="D27" i="54"/>
  <c r="E31" i="54"/>
  <c r="G31" i="54" s="1"/>
  <c r="D36" i="54"/>
  <c r="E36" i="54"/>
  <c r="G36" i="54" s="1"/>
  <c r="E28" i="56"/>
  <c r="G28" i="56" s="1"/>
  <c r="D28" i="56"/>
  <c r="E32" i="56"/>
  <c r="G32" i="56" s="1"/>
  <c r="D37" i="56"/>
  <c r="E37" i="56"/>
  <c r="G37" i="56" s="1"/>
  <c r="E27" i="58"/>
  <c r="G27" i="58" s="1"/>
  <c r="D27" i="58"/>
  <c r="E31" i="58"/>
  <c r="G31" i="58" s="1"/>
  <c r="D36" i="58"/>
  <c r="E36" i="58"/>
  <c r="G36" i="58" s="1"/>
  <c r="E27" i="60"/>
  <c r="G27" i="60" s="1"/>
  <c r="D27" i="60"/>
  <c r="E31" i="60"/>
  <c r="G31" i="60" s="1"/>
  <c r="D36" i="60"/>
  <c r="E36" i="60"/>
  <c r="G36" i="60" s="1"/>
  <c r="E27" i="61"/>
  <c r="G27" i="61" s="1"/>
  <c r="D27" i="61"/>
  <c r="E31" i="61"/>
  <c r="G31" i="61" s="1"/>
  <c r="E36" i="61"/>
  <c r="G36" i="61" s="1"/>
  <c r="D36" i="61"/>
  <c r="D29" i="72"/>
  <c r="E29" i="72"/>
  <c r="G29" i="72" s="1"/>
  <c r="G30" i="81"/>
  <c r="D30" i="68"/>
  <c r="G30" i="67"/>
  <c r="G40" i="62"/>
  <c r="D40" i="59"/>
  <c r="D40" i="57"/>
  <c r="G40" i="51"/>
  <c r="D40" i="48"/>
  <c r="G40" i="47"/>
  <c r="E27" i="46"/>
  <c r="G27" i="46" s="1"/>
  <c r="D27" i="46"/>
  <c r="E31" i="46"/>
  <c r="G31" i="46" s="1"/>
  <c r="E36" i="46"/>
  <c r="G36" i="46" s="1"/>
  <c r="D36" i="46"/>
  <c r="E27" i="49"/>
  <c r="G27" i="49" s="1"/>
  <c r="D27" i="49"/>
  <c r="E31" i="49"/>
  <c r="G31" i="49" s="1"/>
  <c r="D36" i="49"/>
  <c r="E36" i="49"/>
  <c r="G36" i="49" s="1"/>
  <c r="E27" i="50"/>
  <c r="G27" i="50" s="1"/>
  <c r="D27" i="50"/>
  <c r="E31" i="50"/>
  <c r="G31" i="50" s="1"/>
  <c r="E36" i="50"/>
  <c r="G36" i="50" s="1"/>
  <c r="D36" i="50"/>
  <c r="E28" i="52"/>
  <c r="G28" i="52" s="1"/>
  <c r="D28" i="52"/>
  <c r="E32" i="52"/>
  <c r="G32" i="52" s="1"/>
  <c r="E37" i="52"/>
  <c r="G37" i="52" s="1"/>
  <c r="D37" i="52"/>
  <c r="E28" i="54"/>
  <c r="G28" i="54" s="1"/>
  <c r="D28" i="54"/>
  <c r="E32" i="54"/>
  <c r="G32" i="54" s="1"/>
  <c r="D37" i="54"/>
  <c r="E37" i="54"/>
  <c r="G37" i="54" s="1"/>
  <c r="E27" i="56"/>
  <c r="G27" i="56" s="1"/>
  <c r="D27" i="56"/>
  <c r="E31" i="56"/>
  <c r="G31" i="56" s="1"/>
  <c r="D36" i="56"/>
  <c r="E36" i="56"/>
  <c r="G36" i="56" s="1"/>
  <c r="E28" i="58"/>
  <c r="G28" i="58" s="1"/>
  <c r="D28" i="58"/>
  <c r="E32" i="58"/>
  <c r="G32" i="58" s="1"/>
  <c r="D37" i="58"/>
  <c r="E37" i="58"/>
  <c r="G37" i="58" s="1"/>
  <c r="E28" i="60"/>
  <c r="G28" i="60" s="1"/>
  <c r="D28" i="60"/>
  <c r="E32" i="60"/>
  <c r="G32" i="60" s="1"/>
  <c r="D37" i="60"/>
  <c r="E37" i="60"/>
  <c r="G37" i="60" s="1"/>
  <c r="E28" i="61"/>
  <c r="G28" i="61" s="1"/>
  <c r="D28" i="61"/>
  <c r="E32" i="61"/>
  <c r="G32" i="61" s="1"/>
  <c r="E37" i="61"/>
  <c r="G37" i="61" s="1"/>
  <c r="D37" i="61"/>
  <c r="D28" i="72"/>
  <c r="E28" i="72"/>
  <c r="G28" i="72" s="1"/>
  <c r="D30" i="81"/>
  <c r="G24" i="70"/>
  <c r="G30" i="68"/>
  <c r="D30" i="67"/>
  <c r="G24" i="65"/>
  <c r="G24" i="64"/>
  <c r="D40" i="62"/>
  <c r="G33" i="62"/>
  <c r="G40" i="59"/>
  <c r="G33" i="59"/>
  <c r="G40" i="57"/>
  <c r="G33" i="57"/>
  <c r="D40" i="51"/>
  <c r="G33" i="51"/>
  <c r="G40" i="48"/>
  <c r="G33" i="48"/>
  <c r="D40" i="47"/>
  <c r="G33" i="47"/>
  <c r="D18" i="53"/>
  <c r="H18" i="53" s="1"/>
  <c r="I18" i="53" s="1"/>
  <c r="D18" i="62"/>
  <c r="H18" i="62" s="1"/>
  <c r="I18" i="62" s="1"/>
  <c r="D18" i="48"/>
  <c r="H18" i="48" s="1"/>
  <c r="I18" i="48" s="1"/>
  <c r="D18" i="49"/>
  <c r="D18" i="50"/>
  <c r="D18" i="60"/>
  <c r="H26" i="81"/>
  <c r="I26" i="81" s="1"/>
  <c r="G15" i="81"/>
  <c r="H13" i="81"/>
  <c r="I13" i="81" s="1"/>
  <c r="H27" i="81"/>
  <c r="I27" i="81" s="1"/>
  <c r="H26" i="79"/>
  <c r="I26" i="79" s="1"/>
  <c r="G15" i="79"/>
  <c r="H13" i="79"/>
  <c r="I13" i="79" s="1"/>
  <c r="H27" i="79"/>
  <c r="I27" i="79" s="1"/>
  <c r="D18" i="57"/>
  <c r="H18" i="57" s="1"/>
  <c r="I18" i="57" s="1"/>
  <c r="H16" i="51"/>
  <c r="I16" i="51" s="1"/>
  <c r="D14" i="51"/>
  <c r="H28" i="78"/>
  <c r="I28" i="78" s="1"/>
  <c r="G15" i="78"/>
  <c r="H13" i="78"/>
  <c r="I13" i="78" s="1"/>
  <c r="H29" i="78"/>
  <c r="I29" i="78" s="1"/>
  <c r="H28" i="76"/>
  <c r="I28" i="76" s="1"/>
  <c r="G15" i="76"/>
  <c r="H13" i="76"/>
  <c r="I13" i="76" s="1"/>
  <c r="H29" i="76"/>
  <c r="I29" i="76" s="1"/>
  <c r="H28" i="75"/>
  <c r="I28" i="75" s="1"/>
  <c r="H29" i="75"/>
  <c r="I29" i="75" s="1"/>
  <c r="H28" i="73"/>
  <c r="I28" i="73" s="1"/>
  <c r="G15" i="73"/>
  <c r="H13" i="73"/>
  <c r="I13" i="73" s="1"/>
  <c r="H29" i="73"/>
  <c r="I29" i="73" s="1"/>
  <c r="E13" i="72"/>
  <c r="D13" i="72"/>
  <c r="D15" i="72" s="1"/>
  <c r="H20" i="70"/>
  <c r="I20" i="70" s="1"/>
  <c r="H27" i="70"/>
  <c r="I27" i="70" s="1"/>
  <c r="H26" i="70"/>
  <c r="I26" i="70" s="1"/>
  <c r="G14" i="70"/>
  <c r="H12" i="70"/>
  <c r="I12" i="70" s="1"/>
  <c r="H20" i="68"/>
  <c r="I20" i="68" s="1"/>
  <c r="H27" i="68"/>
  <c r="I27" i="68" s="1"/>
  <c r="H26" i="68"/>
  <c r="I26" i="68" s="1"/>
  <c r="G14" i="68"/>
  <c r="H12" i="68"/>
  <c r="I12" i="68" s="1"/>
  <c r="H27" i="67"/>
  <c r="I27" i="67" s="1"/>
  <c r="H20" i="67"/>
  <c r="I20" i="67" s="1"/>
  <c r="H26" i="67"/>
  <c r="I26" i="67" s="1"/>
  <c r="G14" i="67"/>
  <c r="H12" i="67"/>
  <c r="I12" i="67" s="1"/>
  <c r="H20" i="65"/>
  <c r="I20" i="65" s="1"/>
  <c r="H27" i="65"/>
  <c r="I27" i="65" s="1"/>
  <c r="H26" i="65"/>
  <c r="I26" i="65" s="1"/>
  <c r="G14" i="65"/>
  <c r="H12" i="65"/>
  <c r="I12" i="65" s="1"/>
  <c r="H20" i="64"/>
  <c r="I20" i="64" s="1"/>
  <c r="H27" i="64"/>
  <c r="I27" i="64" s="1"/>
  <c r="H26" i="64"/>
  <c r="I26" i="64" s="1"/>
  <c r="G14" i="64"/>
  <c r="H12" i="64"/>
  <c r="I12" i="64" s="1"/>
  <c r="D14" i="62"/>
  <c r="H37" i="62"/>
  <c r="I37" i="62" s="1"/>
  <c r="H36" i="62"/>
  <c r="I36" i="62" s="1"/>
  <c r="G14" i="62"/>
  <c r="H12" i="62"/>
  <c r="I12" i="62" s="1"/>
  <c r="H28" i="62"/>
  <c r="I28" i="62" s="1"/>
  <c r="H13" i="62"/>
  <c r="I13" i="62" s="1"/>
  <c r="H27" i="62"/>
  <c r="I27" i="62" s="1"/>
  <c r="G14" i="61"/>
  <c r="H12" i="61"/>
  <c r="I12" i="61" s="1"/>
  <c r="H13" i="61"/>
  <c r="I13" i="61" s="1"/>
  <c r="H16" i="61"/>
  <c r="I16" i="61" s="1"/>
  <c r="G18" i="61"/>
  <c r="H13" i="60"/>
  <c r="I13" i="60" s="1"/>
  <c r="G14" i="60"/>
  <c r="G18" i="60"/>
  <c r="H15" i="60"/>
  <c r="I15" i="60" s="1"/>
  <c r="H16" i="60"/>
  <c r="I16" i="60" s="1"/>
  <c r="D14" i="58"/>
  <c r="H37" i="59"/>
  <c r="I37" i="59" s="1"/>
  <c r="H16" i="59"/>
  <c r="I16" i="59" s="1"/>
  <c r="H27" i="59"/>
  <c r="I27" i="59" s="1"/>
  <c r="G18" i="59"/>
  <c r="H15" i="59"/>
  <c r="I15" i="59" s="1"/>
  <c r="H17" i="59"/>
  <c r="I17" i="59" s="1"/>
  <c r="H28" i="59"/>
  <c r="I28" i="59" s="1"/>
  <c r="G14" i="59"/>
  <c r="H12" i="59"/>
  <c r="I12" i="59" s="1"/>
  <c r="H36" i="59"/>
  <c r="I36" i="59" s="1"/>
  <c r="D18" i="59"/>
  <c r="H13" i="59"/>
  <c r="I13" i="59" s="1"/>
  <c r="G14" i="58"/>
  <c r="H12" i="58"/>
  <c r="I12" i="58" s="1"/>
  <c r="D18" i="58"/>
  <c r="H13" i="58"/>
  <c r="I13" i="58" s="1"/>
  <c r="H16" i="58"/>
  <c r="I16" i="58" s="1"/>
  <c r="G18" i="58"/>
  <c r="H15" i="58"/>
  <c r="I15" i="58" s="1"/>
  <c r="H28" i="57"/>
  <c r="I28" i="57" s="1"/>
  <c r="H13" i="57"/>
  <c r="I13" i="57" s="1"/>
  <c r="H27" i="57"/>
  <c r="I27" i="57" s="1"/>
  <c r="G14" i="57"/>
  <c r="H12" i="57"/>
  <c r="I12" i="57" s="1"/>
  <c r="H37" i="57"/>
  <c r="I37" i="57" s="1"/>
  <c r="H36" i="57"/>
  <c r="I36" i="57" s="1"/>
  <c r="D14" i="57"/>
  <c r="G18" i="56"/>
  <c r="H15" i="56"/>
  <c r="I15" i="56" s="1"/>
  <c r="G14" i="56"/>
  <c r="H12" i="56"/>
  <c r="I12" i="56" s="1"/>
  <c r="D18" i="56"/>
  <c r="H16" i="56"/>
  <c r="I16" i="56" s="1"/>
  <c r="D18" i="54"/>
  <c r="G18" i="54"/>
  <c r="H15" i="54"/>
  <c r="I15" i="54" s="1"/>
  <c r="G14" i="54"/>
  <c r="H12" i="54"/>
  <c r="I12" i="54" s="1"/>
  <c r="H16" i="54"/>
  <c r="I16" i="54" s="1"/>
  <c r="D14" i="53"/>
  <c r="H28" i="53"/>
  <c r="I28" i="53" s="1"/>
  <c r="H37" i="53"/>
  <c r="I37" i="53" s="1"/>
  <c r="H36" i="53"/>
  <c r="I36" i="53" s="1"/>
  <c r="G14" i="53"/>
  <c r="H12" i="53"/>
  <c r="I12" i="53" s="1"/>
  <c r="H13" i="53"/>
  <c r="I13" i="53" s="1"/>
  <c r="H27" i="53"/>
  <c r="I27" i="53" s="1"/>
  <c r="G14" i="52"/>
  <c r="H12" i="52"/>
  <c r="I12" i="52" s="1"/>
  <c r="D18" i="52"/>
  <c r="H16" i="52"/>
  <c r="I16" i="52" s="1"/>
  <c r="G18" i="52"/>
  <c r="H15" i="52"/>
  <c r="I15" i="52" s="1"/>
  <c r="H13" i="51"/>
  <c r="I13" i="51" s="1"/>
  <c r="H36" i="51"/>
  <c r="I36" i="51" s="1"/>
  <c r="H37" i="51"/>
  <c r="I37" i="51" s="1"/>
  <c r="H28" i="51"/>
  <c r="I28" i="51" s="1"/>
  <c r="H27" i="51"/>
  <c r="I27" i="51" s="1"/>
  <c r="G14" i="51"/>
  <c r="H12" i="51"/>
  <c r="I12" i="51" s="1"/>
  <c r="H13" i="50"/>
  <c r="I13" i="50" s="1"/>
  <c r="G18" i="50"/>
  <c r="H15" i="50"/>
  <c r="I15" i="50" s="1"/>
  <c r="G14" i="50"/>
  <c r="H16" i="50"/>
  <c r="I16" i="50" s="1"/>
  <c r="G14" i="49"/>
  <c r="H12" i="49"/>
  <c r="I12" i="49" s="1"/>
  <c r="G18" i="49"/>
  <c r="H15" i="49"/>
  <c r="I15" i="49" s="1"/>
  <c r="H16" i="49"/>
  <c r="I16" i="49" s="1"/>
  <c r="H36" i="48"/>
  <c r="I36" i="48" s="1"/>
  <c r="H27" i="48"/>
  <c r="I27" i="48" s="1"/>
  <c r="H13" i="48"/>
  <c r="I13" i="48" s="1"/>
  <c r="H28" i="48"/>
  <c r="I28" i="48" s="1"/>
  <c r="G14" i="48"/>
  <c r="H12" i="48"/>
  <c r="I12" i="48" s="1"/>
  <c r="H37" i="48"/>
  <c r="I37" i="48" s="1"/>
  <c r="D14" i="48"/>
  <c r="H37" i="47"/>
  <c r="I37" i="47" s="1"/>
  <c r="G14" i="47"/>
  <c r="H12" i="47"/>
  <c r="I12" i="47" s="1"/>
  <c r="H36" i="47"/>
  <c r="I36" i="47" s="1"/>
  <c r="H28" i="47"/>
  <c r="I28" i="47" s="1"/>
  <c r="H16" i="47"/>
  <c r="I16" i="47" s="1"/>
  <c r="D14" i="47"/>
  <c r="H17" i="47"/>
  <c r="I17" i="47" s="1"/>
  <c r="H27" i="47"/>
  <c r="I27" i="47" s="1"/>
  <c r="G18" i="47"/>
  <c r="H13" i="47"/>
  <c r="I13" i="47" s="1"/>
  <c r="G14" i="46"/>
  <c r="H12" i="46"/>
  <c r="I12" i="46" s="1"/>
  <c r="D18" i="46"/>
  <c r="H16" i="46"/>
  <c r="I16" i="46" s="1"/>
  <c r="G18" i="46"/>
  <c r="H15" i="46"/>
  <c r="I15" i="46" s="1"/>
  <c r="H13" i="75" l="1"/>
  <c r="I13" i="75" s="1"/>
  <c r="G13" i="72"/>
  <c r="G15" i="72" s="1"/>
  <c r="H30" i="72"/>
  <c r="I30" i="72" s="1"/>
  <c r="D32" i="72"/>
  <c r="D40" i="56"/>
  <c r="G33" i="56"/>
  <c r="G40" i="50"/>
  <c r="D40" i="49"/>
  <c r="G33" i="49"/>
  <c r="G40" i="46"/>
  <c r="G33" i="50"/>
  <c r="G33" i="46"/>
  <c r="G32" i="72"/>
  <c r="G40" i="56"/>
  <c r="D40" i="50"/>
  <c r="G40" i="49"/>
  <c r="D40" i="46"/>
  <c r="D40" i="61"/>
  <c r="G40" i="60"/>
  <c r="G40" i="58"/>
  <c r="G40" i="54"/>
  <c r="D40" i="52"/>
  <c r="G40" i="61"/>
  <c r="G33" i="61"/>
  <c r="D40" i="60"/>
  <c r="G33" i="60"/>
  <c r="D40" i="58"/>
  <c r="G33" i="58"/>
  <c r="D40" i="54"/>
  <c r="G33" i="54"/>
  <c r="G40" i="52"/>
  <c r="G33" i="52"/>
  <c r="H30" i="81"/>
  <c r="I30" i="81" s="1"/>
  <c r="H15" i="81"/>
  <c r="I15" i="81" s="1"/>
  <c r="H30" i="79"/>
  <c r="I30" i="79" s="1"/>
  <c r="H15" i="79"/>
  <c r="I15" i="79" s="1"/>
  <c r="H15" i="78"/>
  <c r="I15" i="78" s="1"/>
  <c r="H32" i="78"/>
  <c r="I32" i="78" s="1"/>
  <c r="H15" i="76"/>
  <c r="I15" i="76" s="1"/>
  <c r="H32" i="76"/>
  <c r="I32" i="76" s="1"/>
  <c r="H32" i="75"/>
  <c r="I32" i="75" s="1"/>
  <c r="H15" i="75"/>
  <c r="I15" i="75" s="1"/>
  <c r="H15" i="73"/>
  <c r="I15" i="73" s="1"/>
  <c r="H32" i="73"/>
  <c r="I32" i="73" s="1"/>
  <c r="H29" i="72"/>
  <c r="I29" i="72" s="1"/>
  <c r="H28" i="72"/>
  <c r="I28" i="72" s="1"/>
  <c r="H30" i="70"/>
  <c r="I30" i="70" s="1"/>
  <c r="H14" i="70"/>
  <c r="I14" i="70" s="1"/>
  <c r="H14" i="68"/>
  <c r="I14" i="68" s="1"/>
  <c r="H30" i="68"/>
  <c r="I30" i="68" s="1"/>
  <c r="H14" i="67"/>
  <c r="I14" i="67" s="1"/>
  <c r="H30" i="67"/>
  <c r="I30" i="67" s="1"/>
  <c r="H30" i="65"/>
  <c r="I30" i="65" s="1"/>
  <c r="H14" i="65"/>
  <c r="I14" i="65" s="1"/>
  <c r="H30" i="64"/>
  <c r="I30" i="64" s="1"/>
  <c r="H14" i="64"/>
  <c r="I14" i="64" s="1"/>
  <c r="H40" i="62"/>
  <c r="I40" i="62" s="1"/>
  <c r="H14" i="62"/>
  <c r="I14" i="62" s="1"/>
  <c r="H18" i="61"/>
  <c r="I18" i="61" s="1"/>
  <c r="H37" i="61"/>
  <c r="I37" i="61" s="1"/>
  <c r="H27" i="61"/>
  <c r="I27" i="61" s="1"/>
  <c r="H28" i="61"/>
  <c r="I28" i="61" s="1"/>
  <c r="H36" i="61"/>
  <c r="I36" i="61" s="1"/>
  <c r="H14" i="61"/>
  <c r="I14" i="61" s="1"/>
  <c r="H37" i="60"/>
  <c r="I37" i="60" s="1"/>
  <c r="H27" i="60"/>
  <c r="I27" i="60" s="1"/>
  <c r="H18" i="60"/>
  <c r="I18" i="60" s="1"/>
  <c r="H28" i="60"/>
  <c r="I28" i="60" s="1"/>
  <c r="H14" i="60"/>
  <c r="I14" i="60" s="1"/>
  <c r="H36" i="60"/>
  <c r="I36" i="60" s="1"/>
  <c r="H18" i="59"/>
  <c r="I18" i="59" s="1"/>
  <c r="H40" i="59"/>
  <c r="I40" i="59" s="1"/>
  <c r="H14" i="59"/>
  <c r="I14" i="59" s="1"/>
  <c r="H18" i="58"/>
  <c r="I18" i="58" s="1"/>
  <c r="H27" i="58"/>
  <c r="I27" i="58" s="1"/>
  <c r="H14" i="58"/>
  <c r="I14" i="58" s="1"/>
  <c r="H28" i="58"/>
  <c r="I28" i="58" s="1"/>
  <c r="H36" i="58"/>
  <c r="I36" i="58" s="1"/>
  <c r="H37" i="58"/>
  <c r="I37" i="58" s="1"/>
  <c r="H14" i="57"/>
  <c r="I14" i="57" s="1"/>
  <c r="H40" i="57"/>
  <c r="I40" i="57" s="1"/>
  <c r="H36" i="56"/>
  <c r="I36" i="56" s="1"/>
  <c r="H14" i="56"/>
  <c r="I14" i="56" s="1"/>
  <c r="H37" i="56"/>
  <c r="I37" i="56" s="1"/>
  <c r="H27" i="56"/>
  <c r="I27" i="56" s="1"/>
  <c r="H28" i="56"/>
  <c r="I28" i="56" s="1"/>
  <c r="H18" i="56"/>
  <c r="I18" i="56" s="1"/>
  <c r="H14" i="54"/>
  <c r="I14" i="54" s="1"/>
  <c r="H27" i="54"/>
  <c r="I27" i="54" s="1"/>
  <c r="H28" i="54"/>
  <c r="I28" i="54" s="1"/>
  <c r="H36" i="54"/>
  <c r="I36" i="54" s="1"/>
  <c r="H18" i="54"/>
  <c r="I18" i="54" s="1"/>
  <c r="H37" i="54"/>
  <c r="I37" i="54" s="1"/>
  <c r="H40" i="53"/>
  <c r="I40" i="53" s="1"/>
  <c r="H14" i="53"/>
  <c r="I14" i="53" s="1"/>
  <c r="H27" i="52"/>
  <c r="I27" i="52" s="1"/>
  <c r="H18" i="52"/>
  <c r="I18" i="52" s="1"/>
  <c r="H37" i="52"/>
  <c r="I37" i="52" s="1"/>
  <c r="H28" i="52"/>
  <c r="I28" i="52" s="1"/>
  <c r="H36" i="52"/>
  <c r="I36" i="52" s="1"/>
  <c r="H14" i="52"/>
  <c r="I14" i="52" s="1"/>
  <c r="H40" i="51"/>
  <c r="I40" i="51" s="1"/>
  <c r="H14" i="51"/>
  <c r="I14" i="51" s="1"/>
  <c r="H18" i="50"/>
  <c r="I18" i="50" s="1"/>
  <c r="H28" i="50"/>
  <c r="I28" i="50" s="1"/>
  <c r="H36" i="50"/>
  <c r="I36" i="50" s="1"/>
  <c r="H14" i="50"/>
  <c r="I14" i="50" s="1"/>
  <c r="H37" i="50"/>
  <c r="I37" i="50" s="1"/>
  <c r="H27" i="50"/>
  <c r="I27" i="50" s="1"/>
  <c r="H18" i="49"/>
  <c r="I18" i="49" s="1"/>
  <c r="H37" i="49"/>
  <c r="I37" i="49" s="1"/>
  <c r="H14" i="49"/>
  <c r="I14" i="49" s="1"/>
  <c r="H27" i="49"/>
  <c r="I27" i="49" s="1"/>
  <c r="H28" i="49"/>
  <c r="I28" i="49" s="1"/>
  <c r="H36" i="49"/>
  <c r="I36" i="49" s="1"/>
  <c r="H40" i="48"/>
  <c r="I40" i="48" s="1"/>
  <c r="H14" i="48"/>
  <c r="I14" i="48" s="1"/>
  <c r="H40" i="47"/>
  <c r="I40" i="47" s="1"/>
  <c r="H14" i="47"/>
  <c r="I14" i="47" s="1"/>
  <c r="H18" i="47"/>
  <c r="I18" i="47" s="1"/>
  <c r="H18" i="46"/>
  <c r="I18" i="46" s="1"/>
  <c r="H28" i="46"/>
  <c r="I28" i="46" s="1"/>
  <c r="H27" i="46"/>
  <c r="I27" i="46" s="1"/>
  <c r="H37" i="46"/>
  <c r="I37" i="46" s="1"/>
  <c r="H14" i="46"/>
  <c r="I14" i="46" s="1"/>
  <c r="H36" i="46"/>
  <c r="I36" i="46" s="1"/>
  <c r="H13" i="72" l="1"/>
  <c r="I13" i="72" s="1"/>
  <c r="H32" i="72"/>
  <c r="I32" i="72" s="1"/>
  <c r="H15" i="72"/>
  <c r="I15" i="72" s="1"/>
  <c r="H40" i="61"/>
  <c r="I40" i="61" s="1"/>
  <c r="H40" i="60"/>
  <c r="I40" i="60" s="1"/>
  <c r="H40" i="58"/>
  <c r="I40" i="58" s="1"/>
  <c r="H40" i="56"/>
  <c r="I40" i="56" s="1"/>
  <c r="H40" i="54"/>
  <c r="I40" i="54" s="1"/>
  <c r="H40" i="52"/>
  <c r="I40" i="52" s="1"/>
  <c r="H40" i="50"/>
  <c r="I40" i="50" s="1"/>
  <c r="H40" i="49"/>
  <c r="I40" i="49" s="1"/>
  <c r="H40" i="46"/>
  <c r="I40" i="46" s="1"/>
  <c r="F37" i="5" l="1"/>
  <c r="F35" i="5"/>
  <c r="B25" i="5" l="1"/>
  <c r="B24" i="5"/>
  <c r="H17" i="5"/>
  <c r="I17" i="5" s="1"/>
  <c r="F35" i="25"/>
  <c r="F33" i="25"/>
  <c r="F31" i="25"/>
  <c r="B31" i="25"/>
  <c r="E31" i="25" s="1"/>
  <c r="F29" i="25"/>
  <c r="E29" i="25"/>
  <c r="D29" i="25"/>
  <c r="E15" i="25"/>
  <c r="G29" i="25" l="1"/>
  <c r="G31" i="25"/>
  <c r="E25" i="5"/>
  <c r="G25" i="5" s="1"/>
  <c r="E24" i="5"/>
  <c r="G24" i="5" s="1"/>
  <c r="H31" i="5"/>
  <c r="I31" i="5" s="1"/>
  <c r="H29" i="25"/>
  <c r="I29" i="25" s="1"/>
  <c r="D31" i="25"/>
  <c r="B9" i="4"/>
  <c r="C26" i="4"/>
  <c r="D26" i="4" s="1"/>
  <c r="H31" i="25" l="1"/>
  <c r="I31" i="25" s="1"/>
  <c r="G26" i="5"/>
  <c r="B23" i="4"/>
  <c r="B24" i="4"/>
  <c r="B9" i="25" l="1"/>
  <c r="B7" i="25"/>
  <c r="B6" i="25"/>
  <c r="B5" i="25"/>
  <c r="B13" i="25" l="1"/>
  <c r="B12" i="25"/>
  <c r="B18" i="25"/>
  <c r="B17" i="25"/>
  <c r="C20" i="25"/>
  <c r="F20" i="25" s="1"/>
  <c r="B8" i="25"/>
  <c r="B28" i="25" l="1"/>
  <c r="E28" i="25" s="1"/>
  <c r="G28" i="25" s="1"/>
  <c r="E13" i="25"/>
  <c r="G13" i="25" s="1"/>
  <c r="D13" i="25"/>
  <c r="E17" i="25"/>
  <c r="B27" i="25"/>
  <c r="B23" i="25"/>
  <c r="B26" i="25"/>
  <c r="B22" i="25"/>
  <c r="B20" i="25"/>
  <c r="E12" i="25"/>
  <c r="G12" i="25" s="1"/>
  <c r="D12" i="25"/>
  <c r="E18" i="25"/>
  <c r="D28" i="25" l="1"/>
  <c r="H28" i="25" s="1"/>
  <c r="I28" i="25" s="1"/>
  <c r="D14" i="25"/>
  <c r="D20" i="25"/>
  <c r="E20" i="25"/>
  <c r="G20" i="25" s="1"/>
  <c r="E22" i="25"/>
  <c r="E23" i="25"/>
  <c r="H12" i="25"/>
  <c r="I12" i="25" s="1"/>
  <c r="G14" i="25"/>
  <c r="E26" i="25"/>
  <c r="G26" i="25" s="1"/>
  <c r="D26" i="25"/>
  <c r="E27" i="25"/>
  <c r="G27" i="25" s="1"/>
  <c r="D27" i="25"/>
  <c r="H13" i="25"/>
  <c r="I13" i="25" s="1"/>
  <c r="B33" i="5"/>
  <c r="D33" i="5" l="1"/>
  <c r="E33" i="5"/>
  <c r="G33" i="5" s="1"/>
  <c r="H20" i="25"/>
  <c r="I20" i="25" s="1"/>
  <c r="G30" i="25"/>
  <c r="H26" i="25"/>
  <c r="I26" i="25" s="1"/>
  <c r="H27" i="25"/>
  <c r="I27" i="25" s="1"/>
  <c r="D30" i="25"/>
  <c r="H14" i="25"/>
  <c r="I14" i="25" s="1"/>
  <c r="H30" i="25" l="1"/>
  <c r="I30" i="25" s="1"/>
  <c r="H33" i="5"/>
  <c r="I33" i="5" s="1"/>
  <c r="B8" i="5" l="1"/>
  <c r="B6" i="5"/>
  <c r="B7" i="4"/>
  <c r="B6" i="4"/>
  <c r="B5" i="4"/>
  <c r="B13" i="4" l="1"/>
  <c r="B12" i="4"/>
  <c r="B21" i="5"/>
  <c r="B20" i="5"/>
  <c r="E14" i="5"/>
  <c r="G14" i="5" s="1"/>
  <c r="D14" i="5"/>
  <c r="F28" i="4"/>
  <c r="C27" i="4"/>
  <c r="F27" i="4" s="1"/>
  <c r="E24" i="4"/>
  <c r="E21" i="5" l="1"/>
  <c r="E20" i="5"/>
  <c r="H14" i="5"/>
  <c r="I14" i="5" s="1"/>
  <c r="B9" i="5"/>
  <c r="B22" i="5" s="1"/>
  <c r="D22" i="5" l="1"/>
  <c r="E22" i="5"/>
  <c r="B13" i="5"/>
  <c r="E13" i="5" s="1"/>
  <c r="G13" i="5" s="1"/>
  <c r="B30" i="5"/>
  <c r="B28" i="5"/>
  <c r="B29" i="5"/>
  <c r="F48" i="4"/>
  <c r="F45" i="4"/>
  <c r="F43" i="4"/>
  <c r="F41" i="4"/>
  <c r="F39" i="4"/>
  <c r="E39" i="4"/>
  <c r="D39" i="4"/>
  <c r="E22" i="4"/>
  <c r="G22" i="4" s="1"/>
  <c r="D22" i="4"/>
  <c r="E19" i="4"/>
  <c r="D13" i="5" l="1"/>
  <c r="D15" i="5" s="1"/>
  <c r="E30" i="5"/>
  <c r="G30" i="5" s="1"/>
  <c r="D30" i="5"/>
  <c r="D28" i="5"/>
  <c r="E28" i="5"/>
  <c r="G28" i="5" s="1"/>
  <c r="D29" i="5"/>
  <c r="E29" i="5"/>
  <c r="G29" i="5" s="1"/>
  <c r="G39" i="4"/>
  <c r="H39" i="4" s="1"/>
  <c r="I39" i="4" s="1"/>
  <c r="G15" i="5"/>
  <c r="E13" i="4"/>
  <c r="G13" i="4" s="1"/>
  <c r="D13" i="4"/>
  <c r="B41" i="4"/>
  <c r="B8" i="4"/>
  <c r="B38" i="4" s="1"/>
  <c r="H22" i="4"/>
  <c r="I22" i="4" s="1"/>
  <c r="H13" i="5" l="1"/>
  <c r="I13" i="5" s="1"/>
  <c r="H30" i="5"/>
  <c r="I30" i="5" s="1"/>
  <c r="E38" i="4"/>
  <c r="G38" i="4" s="1"/>
  <c r="D38" i="4"/>
  <c r="H15" i="5"/>
  <c r="I15" i="5" s="1"/>
  <c r="G32" i="5"/>
  <c r="D32" i="5"/>
  <c r="H28" i="5"/>
  <c r="I28" i="5" s="1"/>
  <c r="H29" i="5"/>
  <c r="I29" i="5" s="1"/>
  <c r="B27" i="4"/>
  <c r="D27" i="4" s="1"/>
  <c r="B28" i="4"/>
  <c r="D15" i="4"/>
  <c r="E15" i="4"/>
  <c r="G15" i="4" s="1"/>
  <c r="E16" i="4"/>
  <c r="G16" i="4" s="1"/>
  <c r="D16" i="4"/>
  <c r="E41" i="4"/>
  <c r="G41" i="4" s="1"/>
  <c r="D41" i="4"/>
  <c r="E23" i="4"/>
  <c r="B37" i="4"/>
  <c r="B36" i="4"/>
  <c r="B32" i="4"/>
  <c r="B31" i="4"/>
  <c r="E17" i="4"/>
  <c r="G17" i="4" s="1"/>
  <c r="D17" i="4"/>
  <c r="E12" i="4"/>
  <c r="G12" i="4" s="1"/>
  <c r="D12" i="4"/>
  <c r="D14" i="4" s="1"/>
  <c r="H13" i="4"/>
  <c r="I13" i="4" s="1"/>
  <c r="H38" i="4" l="1"/>
  <c r="I38" i="4" s="1"/>
  <c r="H32" i="5"/>
  <c r="I32" i="5" s="1"/>
  <c r="E27" i="4"/>
  <c r="G27" i="4" s="1"/>
  <c r="D28" i="4"/>
  <c r="E28" i="4"/>
  <c r="G28" i="4" s="1"/>
  <c r="D18" i="4"/>
  <c r="E31" i="4"/>
  <c r="E36" i="4"/>
  <c r="G36" i="4" s="1"/>
  <c r="D36" i="4"/>
  <c r="G18" i="4"/>
  <c r="H15" i="4"/>
  <c r="I15" i="4" s="1"/>
  <c r="G14" i="4"/>
  <c r="H12" i="4"/>
  <c r="I12" i="4" s="1"/>
  <c r="H17" i="4"/>
  <c r="I17" i="4" s="1"/>
  <c r="E32" i="4"/>
  <c r="E37" i="4"/>
  <c r="G37" i="4" s="1"/>
  <c r="D37" i="4"/>
  <c r="H41" i="4"/>
  <c r="I41" i="4" s="1"/>
  <c r="H16" i="4"/>
  <c r="I16" i="4" s="1"/>
  <c r="H27" i="4" l="1"/>
  <c r="I27" i="4" s="1"/>
  <c r="H28" i="4"/>
  <c r="I28" i="4" s="1"/>
  <c r="D40" i="4"/>
  <c r="H37" i="4"/>
  <c r="I37" i="4" s="1"/>
  <c r="H14" i="4"/>
  <c r="I14" i="4" s="1"/>
  <c r="H36" i="4"/>
  <c r="I36" i="4" s="1"/>
  <c r="G40" i="4"/>
  <c r="H18" i="4"/>
  <c r="I18" i="4" s="1"/>
  <c r="H40" i="4" l="1"/>
  <c r="I40" i="4" s="1"/>
  <c r="G26" i="4" l="1"/>
  <c r="H26" i="4" s="1"/>
  <c r="I26" i="4" s="1"/>
  <c r="G23" i="25" l="1"/>
  <c r="G32" i="4"/>
  <c r="G22" i="25"/>
  <c r="G31" i="4"/>
  <c r="G33" i="4" l="1"/>
  <c r="G24" i="25"/>
  <c r="G20" i="59" l="1"/>
  <c r="G20" i="58"/>
  <c r="G20" i="57"/>
  <c r="G20" i="60"/>
  <c r="G20" i="62"/>
  <c r="G20" i="61"/>
  <c r="G20" i="46"/>
  <c r="G20" i="47"/>
  <c r="G20" i="4"/>
  <c r="G20" i="53"/>
  <c r="G20" i="52"/>
  <c r="G20" i="51"/>
  <c r="G20" i="50" l="1"/>
  <c r="G20" i="49"/>
  <c r="G20" i="48"/>
  <c r="G18" i="5"/>
  <c r="G18" i="72"/>
  <c r="G18" i="71"/>
  <c r="G18" i="78"/>
  <c r="G18" i="76"/>
  <c r="G18" i="75"/>
  <c r="G18" i="73"/>
  <c r="G18" i="74"/>
  <c r="G20" i="56"/>
  <c r="G20" i="54"/>
  <c r="D20" i="47" l="1"/>
  <c r="C20" i="4"/>
  <c r="D20" i="4" s="1"/>
  <c r="D20" i="46"/>
  <c r="D20" i="50"/>
  <c r="D20" i="48"/>
  <c r="D20" i="49"/>
  <c r="D20" i="51"/>
  <c r="D20" i="53"/>
  <c r="D20" i="52"/>
  <c r="D20" i="54"/>
  <c r="D20" i="56"/>
  <c r="D20" i="57"/>
  <c r="D20" i="59"/>
  <c r="D20" i="58"/>
  <c r="D20" i="61"/>
  <c r="D20" i="60"/>
  <c r="C20" i="62"/>
  <c r="D20" i="62" s="1"/>
  <c r="C18" i="72"/>
  <c r="D18" i="72" s="1"/>
  <c r="C18" i="71"/>
  <c r="D18" i="71" s="1"/>
  <c r="C18" i="5"/>
  <c r="D18" i="5" s="1"/>
  <c r="C18" i="75"/>
  <c r="D18" i="75" s="1"/>
  <c r="C18" i="74"/>
  <c r="D18" i="74" s="1"/>
  <c r="C18" i="73"/>
  <c r="D18" i="73" s="1"/>
  <c r="C18" i="78"/>
  <c r="D18" i="78" s="1"/>
  <c r="C18" i="76"/>
  <c r="D18" i="76" s="1"/>
  <c r="D20" i="79"/>
  <c r="D20" i="81"/>
  <c r="H18" i="76" l="1"/>
  <c r="I18" i="76" s="1"/>
  <c r="H18" i="78"/>
  <c r="I18" i="78" s="1"/>
  <c r="H18" i="74"/>
  <c r="I18" i="74" s="1"/>
  <c r="H18" i="5"/>
  <c r="I18" i="5" s="1"/>
  <c r="H18" i="72"/>
  <c r="I18" i="72" s="1"/>
  <c r="H20" i="62"/>
  <c r="I20" i="62" s="1"/>
  <c r="H20" i="61"/>
  <c r="I20" i="61" s="1"/>
  <c r="H20" i="59"/>
  <c r="I20" i="59" s="1"/>
  <c r="H20" i="56"/>
  <c r="I20" i="56" s="1"/>
  <c r="H20" i="53"/>
  <c r="I20" i="53" s="1"/>
  <c r="H20" i="49"/>
  <c r="I20" i="49" s="1"/>
  <c r="H20" i="50"/>
  <c r="I20" i="50" s="1"/>
  <c r="H20" i="4"/>
  <c r="I20" i="4" s="1"/>
  <c r="H18" i="73"/>
  <c r="I18" i="73" s="1"/>
  <c r="H18" i="75"/>
  <c r="I18" i="75" s="1"/>
  <c r="H18" i="71"/>
  <c r="I18" i="71" s="1"/>
  <c r="H20" i="60"/>
  <c r="I20" i="60" s="1"/>
  <c r="H20" i="58"/>
  <c r="I20" i="58" s="1"/>
  <c r="H20" i="57"/>
  <c r="I20" i="57" s="1"/>
  <c r="H20" i="54"/>
  <c r="I20" i="54" s="1"/>
  <c r="H20" i="52"/>
  <c r="I20" i="52" s="1"/>
  <c r="H20" i="51"/>
  <c r="I20" i="51" s="1"/>
  <c r="H20" i="48"/>
  <c r="I20" i="48" s="1"/>
  <c r="H20" i="46"/>
  <c r="I20" i="46" s="1"/>
  <c r="H20" i="47"/>
  <c r="I20" i="47" s="1"/>
  <c r="C23" i="50" l="1"/>
  <c r="D23" i="50" s="1"/>
  <c r="C23" i="58"/>
  <c r="D23" i="58" s="1"/>
  <c r="C23" i="59"/>
  <c r="D23" i="59" s="1"/>
  <c r="C23" i="48"/>
  <c r="D23" i="48" s="1"/>
  <c r="C23" i="49"/>
  <c r="D23" i="49" s="1"/>
  <c r="C23" i="57"/>
  <c r="D23" i="57" s="1"/>
  <c r="C23" i="47" l="1"/>
  <c r="D23" i="47" s="1"/>
  <c r="C23" i="46"/>
  <c r="D23" i="46" s="1"/>
  <c r="C23" i="4"/>
  <c r="D23" i="4" s="1"/>
  <c r="C17" i="70" l="1"/>
  <c r="D17" i="70" s="1"/>
  <c r="C17" i="69"/>
  <c r="C17" i="68"/>
  <c r="D17" i="68" s="1"/>
  <c r="C23" i="53" l="1"/>
  <c r="D23" i="53" s="1"/>
  <c r="C23" i="52"/>
  <c r="D23" i="52" s="1"/>
  <c r="C23" i="51"/>
  <c r="D23" i="51" s="1"/>
  <c r="C20" i="74"/>
  <c r="C20" i="75"/>
  <c r="D20" i="75" s="1"/>
  <c r="C20" i="73"/>
  <c r="D20" i="73" s="1"/>
  <c r="C17" i="65"/>
  <c r="D17" i="65" s="1"/>
  <c r="C17" i="66"/>
  <c r="C17" i="67"/>
  <c r="D17" i="67" s="1"/>
  <c r="C20" i="5" l="1"/>
  <c r="D20" i="5" s="1"/>
  <c r="C17" i="63"/>
  <c r="C23" i="61"/>
  <c r="D23" i="61" s="1"/>
  <c r="C20" i="72"/>
  <c r="D20" i="72" s="1"/>
  <c r="C20" i="71"/>
  <c r="C17" i="25"/>
  <c r="D17" i="25" s="1"/>
  <c r="C17" i="64"/>
  <c r="D17" i="64" s="1"/>
  <c r="C23" i="62"/>
  <c r="D23" i="62" s="1"/>
  <c r="C23" i="60"/>
  <c r="D23" i="60" s="1"/>
  <c r="C23" i="56" l="1"/>
  <c r="D23" i="56" s="1"/>
  <c r="C23" i="54"/>
  <c r="D23" i="54" s="1"/>
  <c r="C24" i="116" l="1"/>
  <c r="C21" i="116"/>
  <c r="D21" i="116" s="1"/>
  <c r="C24" i="117"/>
  <c r="C21" i="117"/>
  <c r="D21" i="117" s="1"/>
  <c r="C24" i="115"/>
  <c r="C21" i="115"/>
  <c r="D21" i="115" s="1"/>
  <c r="C24" i="114"/>
  <c r="C21" i="114"/>
  <c r="D21" i="114" s="1"/>
  <c r="C24" i="113"/>
  <c r="C21" i="113"/>
  <c r="D21" i="113" s="1"/>
  <c r="C24" i="112"/>
  <c r="D24" i="112" s="1"/>
  <c r="C21" i="112"/>
  <c r="D21" i="112" s="1"/>
  <c r="C19" i="116"/>
  <c r="D19" i="116" s="1"/>
  <c r="C19" i="117"/>
  <c r="D19" i="117" s="1"/>
  <c r="C19" i="115"/>
  <c r="D19" i="115" s="1"/>
  <c r="C19" i="114"/>
  <c r="D19" i="114" s="1"/>
  <c r="C19" i="113"/>
  <c r="D19" i="113" s="1"/>
  <c r="C19" i="112"/>
  <c r="D19" i="112" s="1"/>
  <c r="C16" i="25" l="1"/>
  <c r="D16" i="25" s="1"/>
  <c r="C16" i="63"/>
  <c r="D16" i="63" s="1"/>
  <c r="C16" i="64"/>
  <c r="D16" i="64" s="1"/>
  <c r="D25" i="112"/>
  <c r="C21" i="50"/>
  <c r="D21" i="50" s="1"/>
  <c r="C21" i="48"/>
  <c r="D21" i="48" s="1"/>
  <c r="C21" i="49"/>
  <c r="D21" i="49" s="1"/>
  <c r="C21" i="54"/>
  <c r="D21" i="54" s="1"/>
  <c r="C21" i="56"/>
  <c r="D21" i="56" s="1"/>
  <c r="C21" i="62"/>
  <c r="D21" i="62" s="1"/>
  <c r="C21" i="61"/>
  <c r="D21" i="61" s="1"/>
  <c r="C21" i="60"/>
  <c r="D21" i="60" s="1"/>
  <c r="C16" i="67"/>
  <c r="D16" i="67" s="1"/>
  <c r="C16" i="66"/>
  <c r="D16" i="66" s="1"/>
  <c r="C16" i="65"/>
  <c r="D16" i="65" s="1"/>
  <c r="C19" i="71"/>
  <c r="D19" i="71" s="1"/>
  <c r="C19" i="5"/>
  <c r="D19" i="5" s="1"/>
  <c r="C19" i="72"/>
  <c r="D19" i="72" s="1"/>
  <c r="C19" i="76"/>
  <c r="D19" i="76" s="1"/>
  <c r="C19" i="78"/>
  <c r="D19" i="78" s="1"/>
  <c r="C19" i="77"/>
  <c r="D19" i="77" s="1"/>
  <c r="C19" i="50"/>
  <c r="D19" i="50" s="1"/>
  <c r="C19" i="49"/>
  <c r="D19" i="49" s="1"/>
  <c r="C19" i="48"/>
  <c r="D19" i="48" s="1"/>
  <c r="C19" i="54"/>
  <c r="D19" i="54" s="1"/>
  <c r="C19" i="56"/>
  <c r="D19" i="56" s="1"/>
  <c r="C19" i="60"/>
  <c r="D19" i="60" s="1"/>
  <c r="C19" i="61"/>
  <c r="D19" i="61" s="1"/>
  <c r="C19" i="62"/>
  <c r="D19" i="62" s="1"/>
  <c r="C15" i="65"/>
  <c r="D15" i="65" s="1"/>
  <c r="C15" i="66"/>
  <c r="D15" i="66" s="1"/>
  <c r="C15" i="67"/>
  <c r="D15" i="67" s="1"/>
  <c r="C16" i="72"/>
  <c r="D16" i="72" s="1"/>
  <c r="C16" i="71"/>
  <c r="D16" i="71" s="1"/>
  <c r="C16" i="5"/>
  <c r="D16" i="5" s="1"/>
  <c r="C16" i="76"/>
  <c r="D16" i="76" s="1"/>
  <c r="C16" i="77"/>
  <c r="D16" i="77" s="1"/>
  <c r="C16" i="78"/>
  <c r="D16" i="78" s="1"/>
  <c r="C24" i="49"/>
  <c r="D24" i="49" s="1"/>
  <c r="C24" i="50"/>
  <c r="D24" i="50" s="1"/>
  <c r="C24" i="48"/>
  <c r="D24" i="48" s="1"/>
  <c r="C24" i="54"/>
  <c r="D24" i="54" s="1"/>
  <c r="C24" i="56"/>
  <c r="D24" i="56" s="1"/>
  <c r="C24" i="61"/>
  <c r="D24" i="61" s="1"/>
  <c r="C24" i="60"/>
  <c r="D24" i="60" s="1"/>
  <c r="C24" i="62"/>
  <c r="D24" i="62" s="1"/>
  <c r="C18" i="66"/>
  <c r="C18" i="65"/>
  <c r="D18" i="65" s="1"/>
  <c r="C18" i="67"/>
  <c r="D18" i="67" s="1"/>
  <c r="C21" i="5"/>
  <c r="D21" i="5" s="1"/>
  <c r="C21" i="71"/>
  <c r="C21" i="72"/>
  <c r="D21" i="72" s="1"/>
  <c r="C21" i="77"/>
  <c r="C21" i="76"/>
  <c r="D21" i="76" s="1"/>
  <c r="C21" i="78"/>
  <c r="D21" i="78" s="1"/>
  <c r="C21" i="46"/>
  <c r="D21" i="46" s="1"/>
  <c r="C21" i="47"/>
  <c r="D21" i="47" s="1"/>
  <c r="C21" i="4"/>
  <c r="D21" i="4" s="1"/>
  <c r="C21" i="53"/>
  <c r="D21" i="53" s="1"/>
  <c r="C21" i="52"/>
  <c r="D21" i="52" s="1"/>
  <c r="C21" i="51"/>
  <c r="D21" i="51" s="1"/>
  <c r="C21" i="57"/>
  <c r="D21" i="57" s="1"/>
  <c r="C21" i="58"/>
  <c r="D21" i="58" s="1"/>
  <c r="C21" i="59"/>
  <c r="D21" i="59" s="1"/>
  <c r="C16" i="70"/>
  <c r="D16" i="70" s="1"/>
  <c r="C16" i="68"/>
  <c r="D16" i="68" s="1"/>
  <c r="C16" i="69"/>
  <c r="D16" i="69" s="1"/>
  <c r="C19" i="73"/>
  <c r="D19" i="73" s="1"/>
  <c r="C19" i="74"/>
  <c r="D19" i="74" s="1"/>
  <c r="C19" i="75"/>
  <c r="D19" i="75" s="1"/>
  <c r="C17" i="80"/>
  <c r="D17" i="80" s="1"/>
  <c r="C17" i="81"/>
  <c r="D17" i="81" s="1"/>
  <c r="C17" i="79"/>
  <c r="D17" i="79" s="1"/>
  <c r="C19" i="47"/>
  <c r="D19" i="47" s="1"/>
  <c r="C19" i="46"/>
  <c r="D19" i="46" s="1"/>
  <c r="C19" i="4"/>
  <c r="D19" i="4" s="1"/>
  <c r="C19" i="53"/>
  <c r="D19" i="53" s="1"/>
  <c r="C19" i="52"/>
  <c r="D19" i="52" s="1"/>
  <c r="C19" i="51"/>
  <c r="D19" i="51" s="1"/>
  <c r="C19" i="58"/>
  <c r="D19" i="58" s="1"/>
  <c r="C19" i="59"/>
  <c r="D19" i="59" s="1"/>
  <c r="C19" i="57"/>
  <c r="D19" i="57" s="1"/>
  <c r="C15" i="25"/>
  <c r="D15" i="25" s="1"/>
  <c r="C15" i="64"/>
  <c r="D15" i="64" s="1"/>
  <c r="C15" i="63"/>
  <c r="D15" i="63" s="1"/>
  <c r="C15" i="69"/>
  <c r="D15" i="69" s="1"/>
  <c r="C15" i="68"/>
  <c r="D15" i="68" s="1"/>
  <c r="C15" i="70"/>
  <c r="D15" i="70" s="1"/>
  <c r="C16" i="74"/>
  <c r="D16" i="74" s="1"/>
  <c r="C16" i="75"/>
  <c r="D16" i="75" s="1"/>
  <c r="C16" i="73"/>
  <c r="D16" i="73" s="1"/>
  <c r="C24" i="46"/>
  <c r="D24" i="46" s="1"/>
  <c r="C24" i="47"/>
  <c r="D24" i="47" s="1"/>
  <c r="C24" i="4"/>
  <c r="D24" i="4" s="1"/>
  <c r="C24" i="53"/>
  <c r="D24" i="53" s="1"/>
  <c r="C24" i="51"/>
  <c r="D24" i="51" s="1"/>
  <c r="C24" i="52"/>
  <c r="D24" i="52" s="1"/>
  <c r="C24" i="57"/>
  <c r="D24" i="57" s="1"/>
  <c r="C24" i="58"/>
  <c r="D24" i="58" s="1"/>
  <c r="C24" i="59"/>
  <c r="D24" i="59" s="1"/>
  <c r="C18" i="64"/>
  <c r="D18" i="64" s="1"/>
  <c r="C18" i="25"/>
  <c r="D18" i="25" s="1"/>
  <c r="C18" i="63"/>
  <c r="C18" i="68"/>
  <c r="D18" i="68" s="1"/>
  <c r="C18" i="70"/>
  <c r="D18" i="70" s="1"/>
  <c r="C18" i="69"/>
  <c r="C21" i="73"/>
  <c r="D21" i="73" s="1"/>
  <c r="C21" i="74"/>
  <c r="C21" i="75"/>
  <c r="D21" i="75" s="1"/>
  <c r="C19" i="81"/>
  <c r="D19" i="81" s="1"/>
  <c r="C19" i="80"/>
  <c r="C19" i="79"/>
  <c r="D19" i="79" s="1"/>
  <c r="D23" i="72" l="1"/>
  <c r="D30" i="112"/>
  <c r="D29" i="112"/>
  <c r="D23" i="75"/>
  <c r="D21" i="79"/>
  <c r="D23" i="76"/>
  <c r="D19" i="65"/>
  <c r="D19" i="25"/>
  <c r="D19" i="64"/>
  <c r="D21" i="81"/>
  <c r="D23" i="78"/>
  <c r="D23" i="5"/>
  <c r="D19" i="67"/>
  <c r="D19" i="68"/>
  <c r="D23" i="73"/>
  <c r="D19" i="70"/>
  <c r="D25" i="4"/>
  <c r="D25" i="59"/>
  <c r="D25" i="52"/>
  <c r="D25" i="46"/>
  <c r="D25" i="61"/>
  <c r="D25" i="50"/>
  <c r="D25" i="51"/>
  <c r="D25" i="58"/>
  <c r="D25" i="53"/>
  <c r="D25" i="47"/>
  <c r="D25" i="60"/>
  <c r="D25" i="54"/>
  <c r="D25" i="62"/>
  <c r="D25" i="49"/>
  <c r="D25" i="57"/>
  <c r="D25" i="56"/>
  <c r="D25" i="48"/>
  <c r="C32" i="116"/>
  <c r="C31" i="116"/>
  <c r="C32" i="117"/>
  <c r="C31" i="117"/>
  <c r="C32" i="115"/>
  <c r="C31" i="115"/>
  <c r="C32" i="114"/>
  <c r="C31" i="114"/>
  <c r="C32" i="113"/>
  <c r="C31" i="113"/>
  <c r="C32" i="112"/>
  <c r="D32" i="112" s="1"/>
  <c r="C31" i="112"/>
  <c r="D31" i="112" s="1"/>
  <c r="H31" i="112" s="1"/>
  <c r="I31" i="112" s="1"/>
  <c r="D33" i="112" l="1"/>
  <c r="D34" i="112" s="1"/>
  <c r="H32" i="112"/>
  <c r="I32" i="112" s="1"/>
  <c r="C32" i="56"/>
  <c r="D32" i="56" s="1"/>
  <c r="H32" i="56" s="1"/>
  <c r="I32" i="56" s="1"/>
  <c r="C32" i="54"/>
  <c r="D32" i="54" s="1"/>
  <c r="H32" i="54" s="1"/>
  <c r="I32" i="54" s="1"/>
  <c r="C23" i="68"/>
  <c r="D23" i="68" s="1"/>
  <c r="H23" i="68" s="1"/>
  <c r="I23" i="68" s="1"/>
  <c r="C23" i="70"/>
  <c r="D23" i="70" s="1"/>
  <c r="H23" i="70" s="1"/>
  <c r="I23" i="70" s="1"/>
  <c r="C23" i="69"/>
  <c r="C31" i="47"/>
  <c r="D31" i="47" s="1"/>
  <c r="C31" i="4"/>
  <c r="D31" i="4" s="1"/>
  <c r="C31" i="46"/>
  <c r="D31" i="46" s="1"/>
  <c r="C31" i="53"/>
  <c r="D31" i="53" s="1"/>
  <c r="C31" i="51"/>
  <c r="D31" i="51" s="1"/>
  <c r="C31" i="52"/>
  <c r="D31" i="52" s="1"/>
  <c r="C31" i="59"/>
  <c r="D31" i="59" s="1"/>
  <c r="C31" i="58"/>
  <c r="D31" i="58" s="1"/>
  <c r="C31" i="57"/>
  <c r="D31" i="57" s="1"/>
  <c r="C22" i="63"/>
  <c r="C22" i="64"/>
  <c r="D22" i="64" s="1"/>
  <c r="C22" i="25"/>
  <c r="D22" i="25" s="1"/>
  <c r="C24" i="71"/>
  <c r="C24" i="5"/>
  <c r="D24" i="5" s="1"/>
  <c r="C24" i="72"/>
  <c r="D24" i="72" s="1"/>
  <c r="C24" i="76"/>
  <c r="D24" i="76" s="1"/>
  <c r="C24" i="78"/>
  <c r="D24" i="78" s="1"/>
  <c r="C24" i="77"/>
  <c r="C32" i="46"/>
  <c r="D32" i="46" s="1"/>
  <c r="H32" i="46" s="1"/>
  <c r="I32" i="46" s="1"/>
  <c r="C32" i="4"/>
  <c r="D32" i="4" s="1"/>
  <c r="H32" i="4" s="1"/>
  <c r="I32" i="4" s="1"/>
  <c r="C32" i="47"/>
  <c r="D32" i="47" s="1"/>
  <c r="H32" i="47" s="1"/>
  <c r="I32" i="47" s="1"/>
  <c r="C32" i="53"/>
  <c r="D32" i="53" s="1"/>
  <c r="H32" i="53" s="1"/>
  <c r="I32" i="53" s="1"/>
  <c r="C32" i="51"/>
  <c r="D32" i="51" s="1"/>
  <c r="H32" i="51" s="1"/>
  <c r="I32" i="51" s="1"/>
  <c r="C32" i="52"/>
  <c r="D32" i="52" s="1"/>
  <c r="H32" i="52" s="1"/>
  <c r="I32" i="52" s="1"/>
  <c r="C32" i="57"/>
  <c r="D32" i="57" s="1"/>
  <c r="H32" i="57" s="1"/>
  <c r="I32" i="57" s="1"/>
  <c r="C32" i="59"/>
  <c r="D32" i="59" s="1"/>
  <c r="H32" i="59" s="1"/>
  <c r="I32" i="59" s="1"/>
  <c r="C32" i="58"/>
  <c r="D32" i="58" s="1"/>
  <c r="H32" i="58" s="1"/>
  <c r="I32" i="58" s="1"/>
  <c r="C23" i="63"/>
  <c r="C23" i="25"/>
  <c r="D23" i="25" s="1"/>
  <c r="H23" i="25" s="1"/>
  <c r="I23" i="25" s="1"/>
  <c r="C23" i="64"/>
  <c r="D23" i="64" s="1"/>
  <c r="H23" i="64" s="1"/>
  <c r="I23" i="64" s="1"/>
  <c r="C25" i="5"/>
  <c r="D25" i="5" s="1"/>
  <c r="H25" i="5" s="1"/>
  <c r="I25" i="5" s="1"/>
  <c r="C25" i="71"/>
  <c r="C25" i="72"/>
  <c r="D25" i="72" s="1"/>
  <c r="H25" i="72" s="1"/>
  <c r="I25" i="72" s="1"/>
  <c r="C25" i="77"/>
  <c r="C25" i="76"/>
  <c r="D25" i="76" s="1"/>
  <c r="H25" i="76" s="1"/>
  <c r="I25" i="76" s="1"/>
  <c r="C25" i="78"/>
  <c r="D25" i="78" s="1"/>
  <c r="H25" i="78" s="1"/>
  <c r="I25" i="78" s="1"/>
  <c r="D29" i="48"/>
  <c r="D30" i="48"/>
  <c r="D29" i="62"/>
  <c r="D30" i="62"/>
  <c r="D29" i="60"/>
  <c r="D30" i="60"/>
  <c r="D21" i="67"/>
  <c r="D30" i="47"/>
  <c r="D29" i="47"/>
  <c r="D30" i="58"/>
  <c r="D29" i="58"/>
  <c r="D21" i="68"/>
  <c r="D30" i="61"/>
  <c r="D29" i="61"/>
  <c r="D29" i="52"/>
  <c r="D30" i="52"/>
  <c r="D21" i="25"/>
  <c r="C31" i="48"/>
  <c r="D31" i="48" s="1"/>
  <c r="C31" i="50"/>
  <c r="D31" i="50" s="1"/>
  <c r="C31" i="49"/>
  <c r="D31" i="49" s="1"/>
  <c r="C31" i="54"/>
  <c r="D31" i="54" s="1"/>
  <c r="C31" i="56"/>
  <c r="D31" i="56" s="1"/>
  <c r="C31" i="61"/>
  <c r="D31" i="61" s="1"/>
  <c r="C31" i="60"/>
  <c r="D31" i="60" s="1"/>
  <c r="C31" i="62"/>
  <c r="D31" i="62" s="1"/>
  <c r="C22" i="68"/>
  <c r="D22" i="68" s="1"/>
  <c r="C22" i="70"/>
  <c r="D22" i="70" s="1"/>
  <c r="C22" i="69"/>
  <c r="C24" i="73"/>
  <c r="D24" i="73" s="1"/>
  <c r="C24" i="74"/>
  <c r="C24" i="75"/>
  <c r="D24" i="75" s="1"/>
  <c r="C22" i="80"/>
  <c r="C22" i="79"/>
  <c r="D22" i="79" s="1"/>
  <c r="C22" i="81"/>
  <c r="D22" i="81" s="1"/>
  <c r="C32" i="49"/>
  <c r="D32" i="49" s="1"/>
  <c r="H32" i="49" s="1"/>
  <c r="I32" i="49" s="1"/>
  <c r="C32" i="50"/>
  <c r="D32" i="50" s="1"/>
  <c r="H32" i="50" s="1"/>
  <c r="I32" i="50" s="1"/>
  <c r="C32" i="48"/>
  <c r="D32" i="48" s="1"/>
  <c r="H32" i="48" s="1"/>
  <c r="I32" i="48" s="1"/>
  <c r="C32" i="62"/>
  <c r="D32" i="62" s="1"/>
  <c r="H32" i="62" s="1"/>
  <c r="I32" i="62" s="1"/>
  <c r="C32" i="61"/>
  <c r="D32" i="61" s="1"/>
  <c r="H32" i="61" s="1"/>
  <c r="I32" i="61" s="1"/>
  <c r="C32" i="60"/>
  <c r="D32" i="60" s="1"/>
  <c r="H32" i="60" s="1"/>
  <c r="I32" i="60" s="1"/>
  <c r="C25" i="75"/>
  <c r="D25" i="75" s="1"/>
  <c r="H25" i="75" s="1"/>
  <c r="I25" i="75" s="1"/>
  <c r="C25" i="74"/>
  <c r="C25" i="73"/>
  <c r="D25" i="73" s="1"/>
  <c r="H25" i="73" s="1"/>
  <c r="I25" i="73" s="1"/>
  <c r="C23" i="79"/>
  <c r="D23" i="79" s="1"/>
  <c r="H23" i="79" s="1"/>
  <c r="I23" i="79" s="1"/>
  <c r="C23" i="80"/>
  <c r="C23" i="81"/>
  <c r="D23" i="81" s="1"/>
  <c r="H23" i="81" s="1"/>
  <c r="I23" i="81" s="1"/>
  <c r="D29" i="56"/>
  <c r="D30" i="56"/>
  <c r="D30" i="57"/>
  <c r="D29" i="57"/>
  <c r="D21" i="70"/>
  <c r="D30" i="49"/>
  <c r="D29" i="49"/>
  <c r="D21" i="64"/>
  <c r="D30" i="54"/>
  <c r="D29" i="54"/>
  <c r="D29" i="53"/>
  <c r="D30" i="53"/>
  <c r="D21" i="65"/>
  <c r="D29" i="51"/>
  <c r="D30" i="51"/>
  <c r="D30" i="50"/>
  <c r="D29" i="50"/>
  <c r="D30" i="46"/>
  <c r="D29" i="46"/>
  <c r="D29" i="59"/>
  <c r="D30" i="59"/>
  <c r="D30" i="4"/>
  <c r="D29" i="4"/>
  <c r="H33" i="112" l="1"/>
  <c r="I33" i="112" s="1"/>
  <c r="D42" i="112"/>
  <c r="D45" i="112" s="1"/>
  <c r="D47" i="112"/>
  <c r="D35" i="112"/>
  <c r="D24" i="81"/>
  <c r="H22" i="81"/>
  <c r="I22" i="81" s="1"/>
  <c r="D33" i="61"/>
  <c r="D34" i="61" s="1"/>
  <c r="H31" i="61"/>
  <c r="I31" i="61" s="1"/>
  <c r="D26" i="5"/>
  <c r="D27" i="5" s="1"/>
  <c r="H24" i="5"/>
  <c r="I24" i="5" s="1"/>
  <c r="D33" i="57"/>
  <c r="D34" i="57" s="1"/>
  <c r="H31" i="57"/>
  <c r="I31" i="57" s="1"/>
  <c r="D24" i="79"/>
  <c r="H22" i="79"/>
  <c r="I22" i="79" s="1"/>
  <c r="D26" i="75"/>
  <c r="D27" i="75" s="1"/>
  <c r="H24" i="75"/>
  <c r="I24" i="75" s="1"/>
  <c r="D33" i="54"/>
  <c r="D35" i="54" s="1"/>
  <c r="H31" i="54"/>
  <c r="I31" i="54" s="1"/>
  <c r="D33" i="48"/>
  <c r="H31" i="48"/>
  <c r="I31" i="48" s="1"/>
  <c r="D24" i="64"/>
  <c r="H24" i="64" s="1"/>
  <c r="I24" i="64" s="1"/>
  <c r="H22" i="64"/>
  <c r="I22" i="64" s="1"/>
  <c r="D33" i="58"/>
  <c r="D34" i="58" s="1"/>
  <c r="H31" i="58"/>
  <c r="I31" i="58" s="1"/>
  <c r="D33" i="52"/>
  <c r="D34" i="52" s="1"/>
  <c r="H31" i="52"/>
  <c r="I31" i="52" s="1"/>
  <c r="D33" i="46"/>
  <c r="D35" i="46" s="1"/>
  <c r="H31" i="46"/>
  <c r="I31" i="46" s="1"/>
  <c r="D33" i="50"/>
  <c r="D34" i="50" s="1"/>
  <c r="H31" i="50"/>
  <c r="I31" i="50" s="1"/>
  <c r="D33" i="62"/>
  <c r="D34" i="62" s="1"/>
  <c r="H31" i="62"/>
  <c r="I31" i="62" s="1"/>
  <c r="D33" i="59"/>
  <c r="D34" i="59" s="1"/>
  <c r="H31" i="59"/>
  <c r="I31" i="59" s="1"/>
  <c r="D33" i="51"/>
  <c r="D34" i="51" s="1"/>
  <c r="H31" i="51"/>
  <c r="I31" i="51" s="1"/>
  <c r="D33" i="4"/>
  <c r="D35" i="4" s="1"/>
  <c r="H31" i="4"/>
  <c r="I31" i="4" s="1"/>
  <c r="D24" i="68"/>
  <c r="H24" i="68" s="1"/>
  <c r="I24" i="68" s="1"/>
  <c r="H22" i="68"/>
  <c r="I22" i="68" s="1"/>
  <c r="D26" i="76"/>
  <c r="D27" i="76" s="1"/>
  <c r="H24" i="76"/>
  <c r="I24" i="76" s="1"/>
  <c r="D24" i="25"/>
  <c r="H24" i="25" s="1"/>
  <c r="I24" i="25" s="1"/>
  <c r="H22" i="25"/>
  <c r="I22" i="25" s="1"/>
  <c r="D26" i="73"/>
  <c r="D27" i="73" s="1"/>
  <c r="H24" i="73"/>
  <c r="I24" i="73" s="1"/>
  <c r="D24" i="70"/>
  <c r="H24" i="70" s="1"/>
  <c r="I24" i="70" s="1"/>
  <c r="H22" i="70"/>
  <c r="I22" i="70" s="1"/>
  <c r="D33" i="60"/>
  <c r="D35" i="60" s="1"/>
  <c r="H31" i="60"/>
  <c r="I31" i="60" s="1"/>
  <c r="D33" i="56"/>
  <c r="D35" i="56" s="1"/>
  <c r="H31" i="56"/>
  <c r="I31" i="56" s="1"/>
  <c r="D33" i="49"/>
  <c r="D34" i="49" s="1"/>
  <c r="H31" i="49"/>
  <c r="I31" i="49" s="1"/>
  <c r="D26" i="78"/>
  <c r="D27" i="78" s="1"/>
  <c r="H24" i="78"/>
  <c r="I24" i="78" s="1"/>
  <c r="D26" i="72"/>
  <c r="D27" i="72" s="1"/>
  <c r="H24" i="72"/>
  <c r="I24" i="72" s="1"/>
  <c r="D33" i="53"/>
  <c r="D35" i="53" s="1"/>
  <c r="H31" i="53"/>
  <c r="I31" i="53" s="1"/>
  <c r="D33" i="47"/>
  <c r="H31" i="47"/>
  <c r="I31" i="47" s="1"/>
  <c r="D48" i="112" l="1"/>
  <c r="D49" i="112" s="1"/>
  <c r="D50" i="112"/>
  <c r="D43" i="112"/>
  <c r="D44" i="112" s="1"/>
  <c r="D34" i="4"/>
  <c r="D34" i="60"/>
  <c r="D25" i="25"/>
  <c r="D35" i="61"/>
  <c r="D35" i="62"/>
  <c r="D34" i="46"/>
  <c r="D32" i="68"/>
  <c r="D35" i="68" s="1"/>
  <c r="D35" i="58"/>
  <c r="D35" i="57"/>
  <c r="D35" i="59"/>
  <c r="H26" i="78"/>
  <c r="I26" i="78" s="1"/>
  <c r="D34" i="78"/>
  <c r="D37" i="78" s="1"/>
  <c r="D32" i="64"/>
  <c r="D35" i="64" s="1"/>
  <c r="H33" i="56"/>
  <c r="I33" i="56" s="1"/>
  <c r="D42" i="56"/>
  <c r="D45" i="56" s="1"/>
  <c r="D47" i="56"/>
  <c r="D50" i="56" s="1"/>
  <c r="D25" i="68"/>
  <c r="H26" i="5"/>
  <c r="I26" i="5" s="1"/>
  <c r="D34" i="5"/>
  <c r="D37" i="5" s="1"/>
  <c r="H24" i="81"/>
  <c r="I24" i="81" s="1"/>
  <c r="D32" i="81"/>
  <c r="D35" i="81" s="1"/>
  <c r="D25" i="81"/>
  <c r="H33" i="52"/>
  <c r="I33" i="52" s="1"/>
  <c r="D47" i="52"/>
  <c r="D50" i="52" s="1"/>
  <c r="D42" i="52"/>
  <c r="D45" i="52" s="1"/>
  <c r="H33" i="48"/>
  <c r="I33" i="48" s="1"/>
  <c r="D42" i="48"/>
  <c r="D45" i="48" s="1"/>
  <c r="D47" i="48"/>
  <c r="D50" i="48" s="1"/>
  <c r="H26" i="75"/>
  <c r="I26" i="75" s="1"/>
  <c r="D34" i="75"/>
  <c r="D37" i="75" s="1"/>
  <c r="H33" i="47"/>
  <c r="I33" i="47" s="1"/>
  <c r="D47" i="47"/>
  <c r="D50" i="47" s="1"/>
  <c r="D42" i="47"/>
  <c r="D45" i="47" s="1"/>
  <c r="H26" i="72"/>
  <c r="I26" i="72" s="1"/>
  <c r="D34" i="72"/>
  <c r="D37" i="72" s="1"/>
  <c r="D35" i="48"/>
  <c r="D34" i="53"/>
  <c r="H33" i="4"/>
  <c r="I33" i="4" s="1"/>
  <c r="D42" i="4"/>
  <c r="D45" i="4" s="1"/>
  <c r="D47" i="4"/>
  <c r="D50" i="4" s="1"/>
  <c r="H33" i="59"/>
  <c r="I33" i="59" s="1"/>
  <c r="D42" i="59"/>
  <c r="D45" i="59" s="1"/>
  <c r="D47" i="59"/>
  <c r="D50" i="59" s="1"/>
  <c r="H33" i="62"/>
  <c r="I33" i="62" s="1"/>
  <c r="D47" i="62"/>
  <c r="D50" i="62" s="1"/>
  <c r="D42" i="62"/>
  <c r="D45" i="62" s="1"/>
  <c r="D34" i="56"/>
  <c r="H33" i="50"/>
  <c r="I33" i="50" s="1"/>
  <c r="D47" i="50"/>
  <c r="D50" i="50" s="1"/>
  <c r="D42" i="50"/>
  <c r="D45" i="50" s="1"/>
  <c r="H33" i="46"/>
  <c r="I33" i="46" s="1"/>
  <c r="D47" i="46"/>
  <c r="D50" i="46" s="1"/>
  <c r="D42" i="46"/>
  <c r="D45" i="46" s="1"/>
  <c r="H33" i="58"/>
  <c r="I33" i="58" s="1"/>
  <c r="D47" i="58"/>
  <c r="D50" i="58" s="1"/>
  <c r="D42" i="58"/>
  <c r="D45" i="58" s="1"/>
  <c r="D34" i="48"/>
  <c r="D34" i="47"/>
  <c r="H33" i="54"/>
  <c r="I33" i="54" s="1"/>
  <c r="D47" i="54"/>
  <c r="D50" i="54" s="1"/>
  <c r="D42" i="54"/>
  <c r="D45" i="54" s="1"/>
  <c r="H24" i="79"/>
  <c r="I24" i="79" s="1"/>
  <c r="D25" i="79"/>
  <c r="D32" i="79"/>
  <c r="D35" i="79" s="1"/>
  <c r="D34" i="54"/>
  <c r="D32" i="70"/>
  <c r="D35" i="70" s="1"/>
  <c r="H33" i="53"/>
  <c r="I33" i="53" s="1"/>
  <c r="D47" i="53"/>
  <c r="D50" i="53" s="1"/>
  <c r="D42" i="53"/>
  <c r="D45" i="53" s="1"/>
  <c r="H33" i="51"/>
  <c r="I33" i="51" s="1"/>
  <c r="D42" i="51"/>
  <c r="D45" i="51" s="1"/>
  <c r="D47" i="51"/>
  <c r="D50" i="51" s="1"/>
  <c r="D35" i="51"/>
  <c r="D32" i="25"/>
  <c r="D35" i="25" s="1"/>
  <c r="H33" i="49"/>
  <c r="I33" i="49" s="1"/>
  <c r="D42" i="49"/>
  <c r="D45" i="49" s="1"/>
  <c r="D47" i="49"/>
  <c r="D50" i="49" s="1"/>
  <c r="H33" i="60"/>
  <c r="I33" i="60" s="1"/>
  <c r="D47" i="60"/>
  <c r="D50" i="60" s="1"/>
  <c r="D42" i="60"/>
  <c r="D45" i="60" s="1"/>
  <c r="H26" i="73"/>
  <c r="I26" i="73" s="1"/>
  <c r="D34" i="73"/>
  <c r="D37" i="73" s="1"/>
  <c r="H26" i="76"/>
  <c r="I26" i="76" s="1"/>
  <c r="D34" i="76"/>
  <c r="D37" i="76" s="1"/>
  <c r="D35" i="49"/>
  <c r="D35" i="47"/>
  <c r="D35" i="52"/>
  <c r="D25" i="64"/>
  <c r="D35" i="50"/>
  <c r="H33" i="57"/>
  <c r="I33" i="57" s="1"/>
  <c r="D47" i="57"/>
  <c r="D50" i="57" s="1"/>
  <c r="D42" i="57"/>
  <c r="D45" i="57" s="1"/>
  <c r="H33" i="61"/>
  <c r="I33" i="61" s="1"/>
  <c r="D42" i="61"/>
  <c r="D45" i="61" s="1"/>
  <c r="D47" i="61"/>
  <c r="D50" i="61" s="1"/>
  <c r="D25" i="70"/>
  <c r="D51" i="112" l="1"/>
  <c r="E4" i="7" s="1"/>
  <c r="D46" i="112"/>
  <c r="D33" i="68"/>
  <c r="D34" i="68" s="1"/>
  <c r="D48" i="61"/>
  <c r="D48" i="60"/>
  <c r="D33" i="81"/>
  <c r="D35" i="73"/>
  <c r="D33" i="25"/>
  <c r="D43" i="51"/>
  <c r="D43" i="53"/>
  <c r="D33" i="79"/>
  <c r="D48" i="54"/>
  <c r="D43" i="46"/>
  <c r="D48" i="50"/>
  <c r="D48" i="4"/>
  <c r="D35" i="72"/>
  <c r="D43" i="52"/>
  <c r="D35" i="75"/>
  <c r="D43" i="57"/>
  <c r="D48" i="49"/>
  <c r="D48" i="53"/>
  <c r="D33" i="70"/>
  <c r="D43" i="58"/>
  <c r="D48" i="46"/>
  <c r="D48" i="59"/>
  <c r="D43" i="4"/>
  <c r="D48" i="48"/>
  <c r="D48" i="52"/>
  <c r="D35" i="5"/>
  <c r="D48" i="56"/>
  <c r="D33" i="64"/>
  <c r="D35" i="78"/>
  <c r="D35" i="76"/>
  <c r="D36" i="76" s="1"/>
  <c r="D48" i="51"/>
  <c r="D43" i="54"/>
  <c r="D43" i="50"/>
  <c r="D48" i="62"/>
  <c r="D48" i="47"/>
  <c r="D43" i="61"/>
  <c r="D48" i="57"/>
  <c r="D43" i="60"/>
  <c r="D43" i="49"/>
  <c r="D48" i="58"/>
  <c r="D43" i="62"/>
  <c r="D43" i="59"/>
  <c r="D43" i="47"/>
  <c r="D43" i="48"/>
  <c r="D43" i="56"/>
  <c r="D49" i="47" l="1"/>
  <c r="D44" i="49"/>
  <c r="D44" i="54"/>
  <c r="D49" i="54"/>
  <c r="D44" i="48"/>
  <c r="D49" i="48"/>
  <c r="D36" i="5"/>
  <c r="D36" i="72"/>
  <c r="D44" i="62"/>
  <c r="D34" i="70"/>
  <c r="D49" i="49"/>
  <c r="D49" i="4"/>
  <c r="D44" i="46"/>
  <c r="D44" i="56"/>
  <c r="D44" i="47"/>
  <c r="D49" i="56"/>
  <c r="D44" i="4"/>
  <c r="D44" i="57"/>
  <c r="D44" i="59"/>
  <c r="D49" i="58"/>
  <c r="D49" i="57"/>
  <c r="D44" i="50"/>
  <c r="D49" i="46"/>
  <c r="D34" i="79"/>
  <c r="D49" i="53"/>
  <c r="D44" i="53"/>
  <c r="D34" i="25"/>
  <c r="D44" i="52"/>
  <c r="D34" i="64"/>
  <c r="D34" i="81"/>
  <c r="D49" i="60"/>
  <c r="D49" i="61"/>
  <c r="D44" i="60"/>
  <c r="D49" i="51"/>
  <c r="D44" i="61"/>
  <c r="D49" i="62"/>
  <c r="D36" i="78"/>
  <c r="D49" i="52"/>
  <c r="D49" i="59"/>
  <c r="D44" i="58"/>
  <c r="D36" i="68"/>
  <c r="D36" i="75"/>
  <c r="D49" i="50"/>
  <c r="D44" i="51"/>
  <c r="D36" i="73"/>
  <c r="D51" i="62" l="1"/>
  <c r="D38" i="72"/>
  <c r="E27" i="7" s="1"/>
  <c r="D51" i="56"/>
  <c r="E16" i="7" s="1"/>
  <c r="D46" i="48"/>
  <c r="D51" i="49"/>
  <c r="E7" i="7" s="1"/>
  <c r="D46" i="4"/>
  <c r="D46" i="56"/>
  <c r="D51" i="58"/>
  <c r="E18" i="7" s="1"/>
  <c r="D46" i="50"/>
  <c r="D51" i="54"/>
  <c r="D51" i="48"/>
  <c r="E6" i="7" s="1"/>
  <c r="D38" i="76"/>
  <c r="E40" i="7" s="1"/>
  <c r="D46" i="47"/>
  <c r="D36" i="79"/>
  <c r="D51" i="57"/>
  <c r="D46" i="46"/>
  <c r="D38" i="5"/>
  <c r="E37" i="7"/>
  <c r="D36" i="70"/>
  <c r="D51" i="47"/>
  <c r="D46" i="49"/>
  <c r="D51" i="46" l="1"/>
  <c r="E3" i="7" s="1"/>
  <c r="D46" i="54"/>
  <c r="D51" i="4"/>
  <c r="E2" i="7" s="1"/>
  <c r="D46" i="57"/>
  <c r="E14" i="7"/>
  <c r="D51" i="61"/>
  <c r="E22" i="7" s="1"/>
  <c r="D36" i="81"/>
  <c r="E45" i="7" s="1"/>
  <c r="D38" i="75"/>
  <c r="E30" i="7" s="1"/>
  <c r="E43" i="7"/>
  <c r="D46" i="60"/>
  <c r="D46" i="52"/>
  <c r="D46" i="58"/>
  <c r="D51" i="52"/>
  <c r="D38" i="78"/>
  <c r="D38" i="73"/>
  <c r="D51" i="60"/>
  <c r="D51" i="51"/>
  <c r="D46" i="53"/>
  <c r="E25" i="7"/>
  <c r="E17" i="7"/>
  <c r="D36" i="25"/>
  <c r="E5" i="7"/>
  <c r="E39" i="7"/>
  <c r="D51" i="50"/>
  <c r="D46" i="61"/>
  <c r="D46" i="51"/>
  <c r="D51" i="53"/>
  <c r="D36" i="64"/>
  <c r="E10" i="7" l="1"/>
  <c r="E28" i="7"/>
  <c r="E11" i="7"/>
  <c r="E13" i="7"/>
  <c r="E9" i="7"/>
  <c r="E33" i="7"/>
  <c r="E31" i="7"/>
  <c r="E42" i="7"/>
  <c r="D46" i="59"/>
  <c r="E21" i="7"/>
  <c r="D46" i="62"/>
  <c r="D51" i="59"/>
  <c r="E20" i="7" s="1"/>
  <c r="E24" i="7" l="1"/>
  <c r="C23" i="65" l="1"/>
  <c r="D23" i="65" s="1"/>
  <c r="H23" i="65" s="1"/>
  <c r="I23" i="65" s="1"/>
  <c r="C23" i="67"/>
  <c r="D23" i="67" s="1"/>
  <c r="H23" i="67" s="1"/>
  <c r="I23" i="67" s="1"/>
  <c r="C23" i="66"/>
  <c r="C22" i="66"/>
  <c r="C22" i="65"/>
  <c r="D22" i="65" s="1"/>
  <c r="C22" i="67"/>
  <c r="D22" i="67" s="1"/>
  <c r="D24" i="67" l="1"/>
  <c r="H22" i="67"/>
  <c r="I22" i="67" s="1"/>
  <c r="D24" i="65"/>
  <c r="H22" i="65"/>
  <c r="I22" i="65" s="1"/>
  <c r="H24" i="65" l="1"/>
  <c r="I24" i="65" s="1"/>
  <c r="D32" i="65"/>
  <c r="D35" i="65" s="1"/>
  <c r="D25" i="65"/>
  <c r="H24" i="67"/>
  <c r="I24" i="67" s="1"/>
  <c r="D25" i="67"/>
  <c r="D32" i="67"/>
  <c r="D35" i="67" s="1"/>
  <c r="D33" i="67" l="1"/>
  <c r="D33" i="65"/>
  <c r="D34" i="67" l="1"/>
  <c r="D34" i="65"/>
  <c r="D36" i="65" l="1"/>
  <c r="E34" i="7" s="1"/>
  <c r="D36" i="67"/>
  <c r="E36" i="7" l="1"/>
  <c r="F16" i="78" l="1"/>
  <c r="G16" i="78" s="1"/>
  <c r="H16" i="78" s="1"/>
  <c r="I16" i="78" s="1"/>
  <c r="F16" i="77"/>
  <c r="G16" i="77" s="1"/>
  <c r="H16" i="77" s="1"/>
  <c r="I16" i="77" s="1"/>
  <c r="F16" i="76"/>
  <c r="G16" i="76" s="1"/>
  <c r="H16" i="76" s="1"/>
  <c r="I16" i="76" s="1"/>
  <c r="F18" i="79" l="1"/>
  <c r="G18" i="79" s="1"/>
  <c r="H18" i="79" s="1"/>
  <c r="I18" i="79" s="1"/>
  <c r="F18" i="80"/>
  <c r="F18" i="81"/>
  <c r="G18" i="81" s="1"/>
  <c r="H18" i="81" s="1"/>
  <c r="I18" i="81" s="1"/>
  <c r="F16" i="79" l="1"/>
  <c r="G16" i="79" s="1"/>
  <c r="F16" i="80"/>
  <c r="G16" i="80" s="1"/>
  <c r="F16" i="81"/>
  <c r="G16" i="81" s="1"/>
  <c r="H16" i="81" l="1"/>
  <c r="I16" i="81" s="1"/>
  <c r="H16" i="80"/>
  <c r="I16" i="80" s="1"/>
  <c r="H16" i="79"/>
  <c r="I16" i="79" s="1"/>
  <c r="B4" i="77" l="1"/>
  <c r="B4" i="115"/>
  <c r="B4" i="69"/>
  <c r="B4" i="114"/>
  <c r="B4" i="74"/>
  <c r="B4" i="63"/>
  <c r="B4" i="113"/>
  <c r="B5" i="74"/>
  <c r="B4" i="66"/>
  <c r="B5" i="71"/>
  <c r="B5" i="80"/>
  <c r="B4" i="116"/>
  <c r="B5" i="77"/>
  <c r="B4" i="71"/>
  <c r="B4" i="80"/>
  <c r="B4" i="117"/>
  <c r="D44" i="7" l="1"/>
  <c r="B23" i="80"/>
  <c r="B22" i="80"/>
  <c r="B19" i="80"/>
  <c r="B18" i="80"/>
  <c r="C38" i="7"/>
  <c r="B31" i="69"/>
  <c r="B8" i="69"/>
  <c r="B13" i="69"/>
  <c r="B18" i="69"/>
  <c r="B12" i="69"/>
  <c r="B17" i="69"/>
  <c r="C20" i="69"/>
  <c r="F20" i="69" s="1"/>
  <c r="D26" i="7"/>
  <c r="B25" i="71"/>
  <c r="B24" i="71"/>
  <c r="B21" i="71"/>
  <c r="B20" i="71"/>
  <c r="B15" i="115"/>
  <c r="C27" i="115"/>
  <c r="F27" i="115" s="1"/>
  <c r="B8" i="115"/>
  <c r="B41" i="115"/>
  <c r="B22" i="115"/>
  <c r="C15" i="7"/>
  <c r="B16" i="115"/>
  <c r="B13" i="115"/>
  <c r="B23" i="115"/>
  <c r="B17" i="115"/>
  <c r="B12" i="115"/>
  <c r="B24" i="115"/>
  <c r="B22" i="117"/>
  <c r="B15" i="117"/>
  <c r="B17" i="117"/>
  <c r="B13" i="117"/>
  <c r="B12" i="117"/>
  <c r="C19" i="7"/>
  <c r="B41" i="117"/>
  <c r="B23" i="117"/>
  <c r="C27" i="117"/>
  <c r="F27" i="117" s="1"/>
  <c r="B24" i="117"/>
  <c r="B16" i="117"/>
  <c r="B8" i="117"/>
  <c r="C41" i="7"/>
  <c r="B33" i="77"/>
  <c r="B7" i="77"/>
  <c r="B9" i="77"/>
  <c r="C44" i="7"/>
  <c r="B31" i="80"/>
  <c r="B7" i="80"/>
  <c r="B9" i="80"/>
  <c r="D29" i="7"/>
  <c r="B20" i="74"/>
  <c r="B25" i="74"/>
  <c r="B24" i="74"/>
  <c r="B21" i="74"/>
  <c r="C26" i="7"/>
  <c r="B7" i="71"/>
  <c r="B33" i="71"/>
  <c r="B9" i="71"/>
  <c r="B22" i="113"/>
  <c r="C8" i="7"/>
  <c r="B13" i="113"/>
  <c r="B16" i="113"/>
  <c r="B41" i="113"/>
  <c r="B17" i="113"/>
  <c r="B15" i="113"/>
  <c r="C27" i="113"/>
  <c r="F27" i="113" s="1"/>
  <c r="B12" i="113"/>
  <c r="B23" i="113"/>
  <c r="B24" i="113"/>
  <c r="B8" i="113"/>
  <c r="C32" i="7"/>
  <c r="B31" i="63"/>
  <c r="B8" i="63"/>
  <c r="C20" i="63"/>
  <c r="F20" i="63" s="1"/>
  <c r="B17" i="63"/>
  <c r="B18" i="63"/>
  <c r="B12" i="63"/>
  <c r="B13" i="63"/>
  <c r="D41" i="7"/>
  <c r="B20" i="77"/>
  <c r="B25" i="77"/>
  <c r="B24" i="77"/>
  <c r="B21" i="77"/>
  <c r="C29" i="7"/>
  <c r="B33" i="74"/>
  <c r="B7" i="74"/>
  <c r="B9" i="74"/>
  <c r="B22" i="116"/>
  <c r="C27" i="116"/>
  <c r="F27" i="116" s="1"/>
  <c r="B8" i="116"/>
  <c r="B24" i="116"/>
  <c r="B16" i="116"/>
  <c r="B12" i="116"/>
  <c r="B17" i="116"/>
  <c r="B13" i="116"/>
  <c r="B15" i="116"/>
  <c r="B41" i="116"/>
  <c r="B23" i="116"/>
  <c r="C23" i="7"/>
  <c r="B16" i="114"/>
  <c r="B41" i="114"/>
  <c r="B23" i="114"/>
  <c r="C12" i="7"/>
  <c r="B24" i="114"/>
  <c r="B13" i="114"/>
  <c r="B17" i="114"/>
  <c r="B8" i="114"/>
  <c r="B12" i="114"/>
  <c r="C27" i="114"/>
  <c r="F27" i="114" s="1"/>
  <c r="B22" i="114"/>
  <c r="B15" i="114"/>
  <c r="C35" i="7"/>
  <c r="B31" i="66"/>
  <c r="C20" i="66"/>
  <c r="F20" i="66" s="1"/>
  <c r="B13" i="66"/>
  <c r="B17" i="66"/>
  <c r="B12" i="66"/>
  <c r="B18" i="66"/>
  <c r="B8" i="66"/>
  <c r="E15" i="116" l="1"/>
  <c r="G15" i="116" s="1"/>
  <c r="D15" i="116"/>
  <c r="D12" i="113"/>
  <c r="E12" i="113"/>
  <c r="G12" i="113" s="1"/>
  <c r="E22" i="113"/>
  <c r="G22" i="113" s="1"/>
  <c r="D22" i="113"/>
  <c r="E24" i="117"/>
  <c r="D24" i="117"/>
  <c r="D15" i="117"/>
  <c r="E15" i="117"/>
  <c r="G15" i="117" s="1"/>
  <c r="D15" i="114"/>
  <c r="E15" i="114"/>
  <c r="G15" i="114" s="1"/>
  <c r="B22" i="74"/>
  <c r="B30" i="74"/>
  <c r="B28" i="74"/>
  <c r="B29" i="74"/>
  <c r="B13" i="74"/>
  <c r="D20" i="77"/>
  <c r="E20" i="77"/>
  <c r="B26" i="63"/>
  <c r="B28" i="63"/>
  <c r="B22" i="63"/>
  <c r="B20" i="63"/>
  <c r="B27" i="63"/>
  <c r="B23" i="63"/>
  <c r="B22" i="71"/>
  <c r="B28" i="71"/>
  <c r="B13" i="71"/>
  <c r="B29" i="71"/>
  <c r="B30" i="71"/>
  <c r="E20" i="74"/>
  <c r="D20" i="74"/>
  <c r="E22" i="117"/>
  <c r="G22" i="117" s="1"/>
  <c r="D22" i="117"/>
  <c r="E25" i="71"/>
  <c r="G25" i="71" s="1"/>
  <c r="D25" i="71"/>
  <c r="B22" i="69"/>
  <c r="B28" i="69"/>
  <c r="B20" i="69"/>
  <c r="B27" i="69"/>
  <c r="B23" i="69"/>
  <c r="B26" i="69"/>
  <c r="D12" i="66"/>
  <c r="E12" i="66"/>
  <c r="G12" i="66" s="1"/>
  <c r="E22" i="114"/>
  <c r="G22" i="114" s="1"/>
  <c r="D22" i="114"/>
  <c r="E23" i="114"/>
  <c r="D23" i="114"/>
  <c r="D31" i="63"/>
  <c r="E31" i="63"/>
  <c r="G31" i="63" s="1"/>
  <c r="E15" i="113"/>
  <c r="G15" i="113" s="1"/>
  <c r="D15" i="113"/>
  <c r="E33" i="71"/>
  <c r="G33" i="71" s="1"/>
  <c r="D33" i="71"/>
  <c r="E23" i="117"/>
  <c r="D23" i="117"/>
  <c r="E17" i="66"/>
  <c r="D17" i="66"/>
  <c r="E41" i="114"/>
  <c r="G41" i="114" s="1"/>
  <c r="D41" i="114"/>
  <c r="D12" i="116"/>
  <c r="E12" i="116"/>
  <c r="G12" i="116" s="1"/>
  <c r="D33" i="74"/>
  <c r="E33" i="74"/>
  <c r="G33" i="74" s="1"/>
  <c r="E17" i="113"/>
  <c r="G17" i="113" s="1"/>
  <c r="D17" i="113"/>
  <c r="E33" i="77"/>
  <c r="G33" i="77" s="1"/>
  <c r="D33" i="77"/>
  <c r="D41" i="117"/>
  <c r="E41" i="117"/>
  <c r="G41" i="117" s="1"/>
  <c r="D12" i="115"/>
  <c r="E12" i="115"/>
  <c r="G12" i="115" s="1"/>
  <c r="B36" i="115"/>
  <c r="B37" i="115"/>
  <c r="B31" i="115"/>
  <c r="B28" i="115"/>
  <c r="B38" i="115"/>
  <c r="B32" i="115"/>
  <c r="B27" i="115"/>
  <c r="E13" i="66"/>
  <c r="G13" i="66" s="1"/>
  <c r="D13" i="66"/>
  <c r="E12" i="114"/>
  <c r="G12" i="114" s="1"/>
  <c r="D12" i="114"/>
  <c r="D16" i="114"/>
  <c r="E16" i="114"/>
  <c r="G16" i="114" s="1"/>
  <c r="E16" i="116"/>
  <c r="G16" i="116" s="1"/>
  <c r="D16" i="116"/>
  <c r="D13" i="63"/>
  <c r="E13" i="63"/>
  <c r="G13" i="63" s="1"/>
  <c r="E41" i="113"/>
  <c r="G41" i="113" s="1"/>
  <c r="D41" i="113"/>
  <c r="B28" i="80"/>
  <c r="B27" i="80"/>
  <c r="B20" i="80"/>
  <c r="B26" i="80"/>
  <c r="B13" i="80"/>
  <c r="D17" i="115"/>
  <c r="E17" i="115"/>
  <c r="G17" i="115" s="1"/>
  <c r="B38" i="114"/>
  <c r="B27" i="114"/>
  <c r="B31" i="114"/>
  <c r="B37" i="114"/>
  <c r="B36" i="114"/>
  <c r="B32" i="114"/>
  <c r="B28" i="114"/>
  <c r="E24" i="116"/>
  <c r="D24" i="116"/>
  <c r="E12" i="63"/>
  <c r="G12" i="63" s="1"/>
  <c r="D12" i="63"/>
  <c r="B31" i="113"/>
  <c r="B38" i="113"/>
  <c r="B36" i="113"/>
  <c r="B27" i="113"/>
  <c r="B37" i="113"/>
  <c r="B28" i="113"/>
  <c r="B32" i="113"/>
  <c r="E16" i="113"/>
  <c r="G16" i="113" s="1"/>
  <c r="D16" i="113"/>
  <c r="E12" i="117"/>
  <c r="G12" i="117" s="1"/>
  <c r="D12" i="117"/>
  <c r="E23" i="115"/>
  <c r="D23" i="115"/>
  <c r="E15" i="115"/>
  <c r="G15" i="115" s="1"/>
  <c r="D15" i="115"/>
  <c r="E17" i="69"/>
  <c r="D17" i="69"/>
  <c r="E18" i="80"/>
  <c r="G18" i="80" s="1"/>
  <c r="D18" i="80"/>
  <c r="D31" i="66"/>
  <c r="E31" i="66"/>
  <c r="G31" i="66" s="1"/>
  <c r="D17" i="114"/>
  <c r="E17" i="114"/>
  <c r="G17" i="114" s="1"/>
  <c r="E23" i="116"/>
  <c r="D23" i="116"/>
  <c r="B32" i="116"/>
  <c r="B36" i="116"/>
  <c r="B27" i="116"/>
  <c r="B38" i="116"/>
  <c r="B28" i="116"/>
  <c r="B31" i="116"/>
  <c r="B37" i="116"/>
  <c r="E21" i="77"/>
  <c r="D21" i="77"/>
  <c r="E18" i="63"/>
  <c r="D18" i="63"/>
  <c r="E24" i="113"/>
  <c r="D24" i="113"/>
  <c r="D13" i="113"/>
  <c r="E13" i="113"/>
  <c r="G13" i="113" s="1"/>
  <c r="E21" i="74"/>
  <c r="D21" i="74"/>
  <c r="D31" i="80"/>
  <c r="E31" i="80"/>
  <c r="G31" i="80" s="1"/>
  <c r="B37" i="117"/>
  <c r="B31" i="117"/>
  <c r="B27" i="117"/>
  <c r="B28" i="117"/>
  <c r="B36" i="117"/>
  <c r="B32" i="117"/>
  <c r="B38" i="117"/>
  <c r="E13" i="117"/>
  <c r="G13" i="117" s="1"/>
  <c r="D13" i="117"/>
  <c r="E13" i="115"/>
  <c r="G13" i="115" s="1"/>
  <c r="D13" i="115"/>
  <c r="E20" i="71"/>
  <c r="D20" i="71"/>
  <c r="E12" i="69"/>
  <c r="G12" i="69" s="1"/>
  <c r="D12" i="69"/>
  <c r="E19" i="80"/>
  <c r="D19" i="80"/>
  <c r="E13" i="114"/>
  <c r="G13" i="114" s="1"/>
  <c r="D13" i="114"/>
  <c r="D41" i="116"/>
  <c r="E41" i="116"/>
  <c r="G41" i="116" s="1"/>
  <c r="E24" i="77"/>
  <c r="G24" i="77" s="1"/>
  <c r="D24" i="77"/>
  <c r="E17" i="63"/>
  <c r="D17" i="63"/>
  <c r="E23" i="113"/>
  <c r="D23" i="113"/>
  <c r="E24" i="74"/>
  <c r="G24" i="74" s="1"/>
  <c r="D24" i="74"/>
  <c r="D16" i="117"/>
  <c r="E16" i="117"/>
  <c r="G16" i="117" s="1"/>
  <c r="E17" i="117"/>
  <c r="G17" i="117" s="1"/>
  <c r="D17" i="117"/>
  <c r="D16" i="115"/>
  <c r="E16" i="115"/>
  <c r="G16" i="115" s="1"/>
  <c r="E21" i="71"/>
  <c r="D21" i="71"/>
  <c r="E18" i="69"/>
  <c r="D18" i="69"/>
  <c r="E22" i="80"/>
  <c r="G22" i="80" s="1"/>
  <c r="D22" i="80"/>
  <c r="E24" i="71"/>
  <c r="G24" i="71" s="1"/>
  <c r="D24" i="71"/>
  <c r="D26" i="71" s="1"/>
  <c r="E13" i="69"/>
  <c r="G13" i="69" s="1"/>
  <c r="D13" i="69"/>
  <c r="E23" i="80"/>
  <c r="G23" i="80" s="1"/>
  <c r="D23" i="80"/>
  <c r="E13" i="116"/>
  <c r="G13" i="116" s="1"/>
  <c r="D13" i="116"/>
  <c r="E22" i="115"/>
  <c r="G22" i="115" s="1"/>
  <c r="D22" i="115"/>
  <c r="B23" i="66"/>
  <c r="B22" i="66"/>
  <c r="B27" i="66"/>
  <c r="B28" i="66"/>
  <c r="B26" i="66"/>
  <c r="B20" i="66"/>
  <c r="E24" i="114"/>
  <c r="D24" i="114"/>
  <c r="D22" i="116"/>
  <c r="E22" i="116"/>
  <c r="G22" i="116" s="1"/>
  <c r="E25" i="77"/>
  <c r="G25" i="77" s="1"/>
  <c r="D25" i="77"/>
  <c r="E25" i="74"/>
  <c r="G25" i="74" s="1"/>
  <c r="D25" i="74"/>
  <c r="E18" i="66"/>
  <c r="D18" i="66"/>
  <c r="B13" i="77"/>
  <c r="B29" i="77"/>
  <c r="B30" i="77"/>
  <c r="B28" i="77"/>
  <c r="B22" i="77"/>
  <c r="E17" i="116"/>
  <c r="G17" i="116" s="1"/>
  <c r="D17" i="116"/>
  <c r="E24" i="115"/>
  <c r="D24" i="115"/>
  <c r="E41" i="115"/>
  <c r="G41" i="115" s="1"/>
  <c r="D41" i="115"/>
  <c r="D31" i="69"/>
  <c r="E31" i="69"/>
  <c r="G31" i="69" s="1"/>
  <c r="H41" i="115" l="1"/>
  <c r="I41" i="115" s="1"/>
  <c r="H25" i="77"/>
  <c r="I25" i="77" s="1"/>
  <c r="H23" i="80"/>
  <c r="I23" i="80" s="1"/>
  <c r="D14" i="69"/>
  <c r="D14" i="115"/>
  <c r="H13" i="69"/>
  <c r="I13" i="69" s="1"/>
  <c r="D19" i="63"/>
  <c r="H25" i="74"/>
  <c r="I25" i="74" s="1"/>
  <c r="H17" i="113"/>
  <c r="I17" i="113" s="1"/>
  <c r="D14" i="114"/>
  <c r="D14" i="113"/>
  <c r="D24" i="80"/>
  <c r="D18" i="117"/>
  <c r="D19" i="66"/>
  <c r="D20" i="66"/>
  <c r="E20" i="66"/>
  <c r="G20" i="66" s="1"/>
  <c r="E28" i="77"/>
  <c r="G28" i="77" s="1"/>
  <c r="D28" i="77"/>
  <c r="E28" i="66"/>
  <c r="G28" i="66" s="1"/>
  <c r="D28" i="66"/>
  <c r="D14" i="117"/>
  <c r="D36" i="113"/>
  <c r="E36" i="113"/>
  <c r="G36" i="113" s="1"/>
  <c r="E32" i="114"/>
  <c r="G32" i="114" s="1"/>
  <c r="D32" i="114"/>
  <c r="E13" i="80"/>
  <c r="G13" i="80" s="1"/>
  <c r="D13" i="80"/>
  <c r="D15" i="80" s="1"/>
  <c r="G14" i="115"/>
  <c r="H12" i="115"/>
  <c r="I12" i="115" s="1"/>
  <c r="H33" i="74"/>
  <c r="I33" i="74" s="1"/>
  <c r="D27" i="69"/>
  <c r="E27" i="69"/>
  <c r="G27" i="69" s="1"/>
  <c r="D27" i="63"/>
  <c r="E27" i="63"/>
  <c r="G27" i="63" s="1"/>
  <c r="D29" i="74"/>
  <c r="E29" i="74"/>
  <c r="G29" i="74" s="1"/>
  <c r="D30" i="77"/>
  <c r="E30" i="77"/>
  <c r="G30" i="77" s="1"/>
  <c r="E27" i="66"/>
  <c r="G27" i="66" s="1"/>
  <c r="D27" i="66"/>
  <c r="G26" i="77"/>
  <c r="H24" i="77"/>
  <c r="I24" i="77" s="1"/>
  <c r="G14" i="69"/>
  <c r="H12" i="69"/>
  <c r="I12" i="69" s="1"/>
  <c r="E32" i="117"/>
  <c r="G32" i="117" s="1"/>
  <c r="D32" i="117"/>
  <c r="E32" i="116"/>
  <c r="G32" i="116" s="1"/>
  <c r="D32" i="116"/>
  <c r="H18" i="80"/>
  <c r="I18" i="80" s="1"/>
  <c r="G14" i="117"/>
  <c r="H12" i="117"/>
  <c r="I12" i="117" s="1"/>
  <c r="D38" i="113"/>
  <c r="E38" i="113"/>
  <c r="G38" i="113" s="1"/>
  <c r="E36" i="114"/>
  <c r="G36" i="114" s="1"/>
  <c r="D36" i="114"/>
  <c r="D26" i="80"/>
  <c r="E26" i="80"/>
  <c r="G26" i="80" s="1"/>
  <c r="D27" i="115"/>
  <c r="E27" i="115"/>
  <c r="G27" i="115" s="1"/>
  <c r="E20" i="69"/>
  <c r="G20" i="69" s="1"/>
  <c r="D20" i="69"/>
  <c r="E20" i="63"/>
  <c r="G20" i="63" s="1"/>
  <c r="D20" i="63"/>
  <c r="E28" i="74"/>
  <c r="G28" i="74" s="1"/>
  <c r="D28" i="74"/>
  <c r="E29" i="77"/>
  <c r="G29" i="77" s="1"/>
  <c r="D29" i="77"/>
  <c r="H22" i="116"/>
  <c r="I22" i="116" s="1"/>
  <c r="E22" i="66"/>
  <c r="G22" i="66" s="1"/>
  <c r="D22" i="66"/>
  <c r="D26" i="74"/>
  <c r="H41" i="116"/>
  <c r="I41" i="116" s="1"/>
  <c r="E36" i="117"/>
  <c r="G36" i="117" s="1"/>
  <c r="D36" i="117"/>
  <c r="D19" i="69"/>
  <c r="E31" i="113"/>
  <c r="G31" i="113" s="1"/>
  <c r="D31" i="113"/>
  <c r="D37" i="114"/>
  <c r="E37" i="114"/>
  <c r="G37" i="114" s="1"/>
  <c r="E20" i="80"/>
  <c r="D20" i="80"/>
  <c r="D21" i="80" s="1"/>
  <c r="H16" i="116"/>
  <c r="I16" i="116" s="1"/>
  <c r="E32" i="115"/>
  <c r="G32" i="115" s="1"/>
  <c r="D32" i="115"/>
  <c r="H41" i="117"/>
  <c r="I41" i="117" s="1"/>
  <c r="G14" i="116"/>
  <c r="H12" i="116"/>
  <c r="I12" i="116" s="1"/>
  <c r="D25" i="114"/>
  <c r="E28" i="69"/>
  <c r="G28" i="69" s="1"/>
  <c r="D28" i="69"/>
  <c r="E30" i="71"/>
  <c r="G30" i="71" s="1"/>
  <c r="D30" i="71"/>
  <c r="E22" i="63"/>
  <c r="G22" i="63" s="1"/>
  <c r="D22" i="63"/>
  <c r="E30" i="74"/>
  <c r="G30" i="74" s="1"/>
  <c r="D30" i="74"/>
  <c r="H22" i="113"/>
  <c r="I22" i="113" s="1"/>
  <c r="D25" i="113"/>
  <c r="E13" i="77"/>
  <c r="G13" i="77" s="1"/>
  <c r="D13" i="77"/>
  <c r="D15" i="77" s="1"/>
  <c r="D25" i="116"/>
  <c r="E23" i="66"/>
  <c r="G23" i="66" s="1"/>
  <c r="D23" i="66"/>
  <c r="G26" i="74"/>
  <c r="H24" i="74"/>
  <c r="I24" i="74" s="1"/>
  <c r="E28" i="117"/>
  <c r="G28" i="117" s="1"/>
  <c r="D28" i="117"/>
  <c r="H13" i="113"/>
  <c r="I13" i="113" s="1"/>
  <c r="D37" i="116"/>
  <c r="E37" i="116"/>
  <c r="G37" i="116" s="1"/>
  <c r="H16" i="113"/>
  <c r="I16" i="113" s="1"/>
  <c r="D14" i="63"/>
  <c r="E31" i="114"/>
  <c r="G31" i="114" s="1"/>
  <c r="D31" i="114"/>
  <c r="D27" i="80"/>
  <c r="E27" i="80"/>
  <c r="G27" i="80" s="1"/>
  <c r="H16" i="114"/>
  <c r="I16" i="114" s="1"/>
  <c r="E38" i="115"/>
  <c r="G38" i="115" s="1"/>
  <c r="D38" i="115"/>
  <c r="D14" i="116"/>
  <c r="H33" i="71"/>
  <c r="I33" i="71" s="1"/>
  <c r="H22" i="114"/>
  <c r="I22" i="114" s="1"/>
  <c r="E22" i="69"/>
  <c r="G22" i="69" s="1"/>
  <c r="D22" i="69"/>
  <c r="D29" i="71"/>
  <c r="E29" i="71"/>
  <c r="G29" i="71" s="1"/>
  <c r="E28" i="63"/>
  <c r="G28" i="63" s="1"/>
  <c r="D28" i="63"/>
  <c r="D22" i="74"/>
  <c r="D23" i="74" s="1"/>
  <c r="E22" i="74"/>
  <c r="D25" i="115"/>
  <c r="H16" i="115"/>
  <c r="I16" i="115" s="1"/>
  <c r="D27" i="117"/>
  <c r="E27" i="117"/>
  <c r="G27" i="117" s="1"/>
  <c r="E31" i="116"/>
  <c r="G31" i="116" s="1"/>
  <c r="D31" i="116"/>
  <c r="H17" i="114"/>
  <c r="I17" i="114" s="1"/>
  <c r="H15" i="115"/>
  <c r="I15" i="115" s="1"/>
  <c r="D18" i="115"/>
  <c r="E32" i="113"/>
  <c r="G32" i="113" s="1"/>
  <c r="D32" i="113"/>
  <c r="H12" i="63"/>
  <c r="I12" i="63" s="1"/>
  <c r="G14" i="63"/>
  <c r="D27" i="114"/>
  <c r="E27" i="114"/>
  <c r="G27" i="114" s="1"/>
  <c r="E28" i="80"/>
  <c r="G28" i="80" s="1"/>
  <c r="D28" i="80"/>
  <c r="D18" i="114"/>
  <c r="D28" i="115"/>
  <c r="E28" i="115"/>
  <c r="G28" i="115" s="1"/>
  <c r="H15" i="113"/>
  <c r="I15" i="113" s="1"/>
  <c r="D18" i="113"/>
  <c r="G14" i="66"/>
  <c r="H12" i="66"/>
  <c r="I12" i="66" s="1"/>
  <c r="H25" i="71"/>
  <c r="I25" i="71" s="1"/>
  <c r="D13" i="71"/>
  <c r="D15" i="71" s="1"/>
  <c r="E13" i="71"/>
  <c r="G13" i="71" s="1"/>
  <c r="E26" i="63"/>
  <c r="G26" i="63" s="1"/>
  <c r="D26" i="63"/>
  <c r="H15" i="114"/>
  <c r="I15" i="114" s="1"/>
  <c r="G18" i="114"/>
  <c r="H12" i="113"/>
  <c r="I12" i="113" s="1"/>
  <c r="G14" i="113"/>
  <c r="H16" i="117"/>
  <c r="I16" i="117" s="1"/>
  <c r="D26" i="77"/>
  <c r="E38" i="117"/>
  <c r="G38" i="117" s="1"/>
  <c r="D38" i="117"/>
  <c r="D36" i="116"/>
  <c r="E36" i="116"/>
  <c r="G36" i="116" s="1"/>
  <c r="H22" i="115"/>
  <c r="I22" i="115" s="1"/>
  <c r="G26" i="71"/>
  <c r="H24" i="71"/>
  <c r="I24" i="71" s="1"/>
  <c r="H13" i="114"/>
  <c r="I13" i="114" s="1"/>
  <c r="H13" i="115"/>
  <c r="I13" i="115" s="1"/>
  <c r="E31" i="117"/>
  <c r="G31" i="117" s="1"/>
  <c r="D31" i="117"/>
  <c r="E28" i="116"/>
  <c r="G28" i="116" s="1"/>
  <c r="D28" i="116"/>
  <c r="G18" i="115"/>
  <c r="E28" i="113"/>
  <c r="G28" i="113" s="1"/>
  <c r="D28" i="113"/>
  <c r="E38" i="114"/>
  <c r="G38" i="114" s="1"/>
  <c r="D38" i="114"/>
  <c r="H41" i="113"/>
  <c r="I41" i="113" s="1"/>
  <c r="E31" i="115"/>
  <c r="G31" i="115" s="1"/>
  <c r="D31" i="115"/>
  <c r="H33" i="77"/>
  <c r="I33" i="77" s="1"/>
  <c r="H41" i="114"/>
  <c r="I41" i="114" s="1"/>
  <c r="G18" i="113"/>
  <c r="D14" i="66"/>
  <c r="E28" i="71"/>
  <c r="G28" i="71" s="1"/>
  <c r="D28" i="71"/>
  <c r="H17" i="116"/>
  <c r="I17" i="116" s="1"/>
  <c r="E38" i="116"/>
  <c r="G38" i="116" s="1"/>
  <c r="D38" i="116"/>
  <c r="D37" i="113"/>
  <c r="E37" i="113"/>
  <c r="G37" i="113" s="1"/>
  <c r="H12" i="114"/>
  <c r="I12" i="114" s="1"/>
  <c r="G14" i="114"/>
  <c r="D37" i="115"/>
  <c r="E37" i="115"/>
  <c r="G37" i="115" s="1"/>
  <c r="H31" i="63"/>
  <c r="I31" i="63" s="1"/>
  <c r="E26" i="69"/>
  <c r="G26" i="69" s="1"/>
  <c r="D26" i="69"/>
  <c r="H22" i="117"/>
  <c r="I22" i="117" s="1"/>
  <c r="D25" i="117"/>
  <c r="E22" i="71"/>
  <c r="D22" i="71"/>
  <c r="D23" i="71" s="1"/>
  <c r="D27" i="71" s="1"/>
  <c r="H15" i="117"/>
  <c r="I15" i="117" s="1"/>
  <c r="G18" i="117"/>
  <c r="H15" i="116"/>
  <c r="I15" i="116" s="1"/>
  <c r="D18" i="116"/>
  <c r="E37" i="117"/>
  <c r="G37" i="117" s="1"/>
  <c r="D37" i="117"/>
  <c r="H31" i="66"/>
  <c r="I31" i="66" s="1"/>
  <c r="H17" i="115"/>
  <c r="I17" i="115" s="1"/>
  <c r="H31" i="69"/>
  <c r="I31" i="69" s="1"/>
  <c r="D22" i="77"/>
  <c r="D23" i="77" s="1"/>
  <c r="E22" i="77"/>
  <c r="D26" i="66"/>
  <c r="E26" i="66"/>
  <c r="G26" i="66" s="1"/>
  <c r="H13" i="116"/>
  <c r="I13" i="116" s="1"/>
  <c r="G24" i="80"/>
  <c r="H22" i="80"/>
  <c r="I22" i="80" s="1"/>
  <c r="H17" i="117"/>
  <c r="I17" i="117" s="1"/>
  <c r="H13" i="117"/>
  <c r="I13" i="117" s="1"/>
  <c r="H31" i="80"/>
  <c r="I31" i="80" s="1"/>
  <c r="D27" i="116"/>
  <c r="E27" i="116"/>
  <c r="G27" i="116" s="1"/>
  <c r="E27" i="113"/>
  <c r="G27" i="113" s="1"/>
  <c r="D27" i="113"/>
  <c r="D28" i="114"/>
  <c r="E28" i="114"/>
  <c r="G28" i="114" s="1"/>
  <c r="H13" i="63"/>
  <c r="I13" i="63" s="1"/>
  <c r="H13" i="66"/>
  <c r="I13" i="66" s="1"/>
  <c r="E36" i="115"/>
  <c r="G36" i="115" s="1"/>
  <c r="D36" i="115"/>
  <c r="E23" i="69"/>
  <c r="G23" i="69" s="1"/>
  <c r="D23" i="69"/>
  <c r="E23" i="63"/>
  <c r="G23" i="63" s="1"/>
  <c r="D23" i="63"/>
  <c r="E13" i="74"/>
  <c r="G13" i="74" s="1"/>
  <c r="D13" i="74"/>
  <c r="D15" i="74" s="1"/>
  <c r="G18" i="116"/>
  <c r="D21" i="63" l="1"/>
  <c r="H28" i="116"/>
  <c r="I28" i="116" s="1"/>
  <c r="D25" i="80"/>
  <c r="D30" i="63"/>
  <c r="H23" i="66"/>
  <c r="I23" i="66" s="1"/>
  <c r="H32" i="117"/>
  <c r="I32" i="117" s="1"/>
  <c r="D32" i="71"/>
  <c r="D34" i="71" s="1"/>
  <c r="D37" i="71" s="1"/>
  <c r="H23" i="69"/>
  <c r="I23" i="69" s="1"/>
  <c r="H28" i="66"/>
  <c r="I28" i="66" s="1"/>
  <c r="H27" i="113"/>
  <c r="I27" i="113" s="1"/>
  <c r="D24" i="63"/>
  <c r="H38" i="115"/>
  <c r="I38" i="115" s="1"/>
  <c r="D21" i="69"/>
  <c r="D21" i="66"/>
  <c r="D30" i="66"/>
  <c r="D24" i="69"/>
  <c r="D33" i="117"/>
  <c r="H28" i="113"/>
  <c r="I28" i="113" s="1"/>
  <c r="H32" i="116"/>
  <c r="I32" i="116" s="1"/>
  <c r="H32" i="114"/>
  <c r="I32" i="114" s="1"/>
  <c r="H37" i="117"/>
  <c r="I37" i="117" s="1"/>
  <c r="G33" i="114"/>
  <c r="H31" i="114"/>
  <c r="I31" i="114" s="1"/>
  <c r="D29" i="114"/>
  <c r="D30" i="114"/>
  <c r="H24" i="80"/>
  <c r="I24" i="80" s="1"/>
  <c r="H37" i="115"/>
  <c r="I37" i="115" s="1"/>
  <c r="G33" i="117"/>
  <c r="H31" i="117"/>
  <c r="I31" i="117" s="1"/>
  <c r="G24" i="69"/>
  <c r="H22" i="69"/>
  <c r="I22" i="69" s="1"/>
  <c r="H26" i="77"/>
  <c r="I26" i="77" s="1"/>
  <c r="H37" i="116"/>
  <c r="I37" i="116" s="1"/>
  <c r="D32" i="74"/>
  <c r="D34" i="74" s="1"/>
  <c r="D37" i="74" s="1"/>
  <c r="H20" i="69"/>
  <c r="I20" i="69" s="1"/>
  <c r="H27" i="115"/>
  <c r="I27" i="115" s="1"/>
  <c r="H29" i="74"/>
  <c r="I29" i="74" s="1"/>
  <c r="G15" i="74"/>
  <c r="H13" i="74"/>
  <c r="I13" i="74" s="1"/>
  <c r="H27" i="116"/>
  <c r="I27" i="116" s="1"/>
  <c r="H37" i="113"/>
  <c r="I37" i="113" s="1"/>
  <c r="H26" i="71"/>
  <c r="I26" i="71" s="1"/>
  <c r="G30" i="63"/>
  <c r="H26" i="63"/>
  <c r="I26" i="63" s="1"/>
  <c r="D29" i="115"/>
  <c r="D30" i="115"/>
  <c r="D30" i="116"/>
  <c r="D29" i="116"/>
  <c r="G24" i="63"/>
  <c r="H22" i="63"/>
  <c r="I22" i="63" s="1"/>
  <c r="H14" i="116"/>
  <c r="I14" i="116" s="1"/>
  <c r="G32" i="74"/>
  <c r="H28" i="74"/>
  <c r="I28" i="74" s="1"/>
  <c r="H36" i="113"/>
  <c r="I36" i="113" s="1"/>
  <c r="G40" i="113"/>
  <c r="H23" i="63"/>
  <c r="I23" i="63" s="1"/>
  <c r="H28" i="114"/>
  <c r="I28" i="114" s="1"/>
  <c r="G30" i="66"/>
  <c r="H26" i="66"/>
  <c r="I26" i="66" s="1"/>
  <c r="D30" i="69"/>
  <c r="H14" i="114"/>
  <c r="I14" i="114" s="1"/>
  <c r="D33" i="115"/>
  <c r="H13" i="71"/>
  <c r="I13" i="71" s="1"/>
  <c r="G15" i="71"/>
  <c r="H28" i="115"/>
  <c r="I28" i="115" s="1"/>
  <c r="H14" i="63"/>
  <c r="I14" i="63" s="1"/>
  <c r="D33" i="116"/>
  <c r="D27" i="74"/>
  <c r="H29" i="77"/>
  <c r="I29" i="77" s="1"/>
  <c r="H26" i="80"/>
  <c r="I26" i="80" s="1"/>
  <c r="G30" i="80"/>
  <c r="H14" i="117"/>
  <c r="I14" i="117" s="1"/>
  <c r="H27" i="63"/>
  <c r="I27" i="63" s="1"/>
  <c r="D40" i="113"/>
  <c r="D32" i="77"/>
  <c r="D34" i="77" s="1"/>
  <c r="D37" i="77" s="1"/>
  <c r="H36" i="115"/>
  <c r="I36" i="115" s="1"/>
  <c r="G40" i="115"/>
  <c r="H18" i="114"/>
  <c r="I18" i="114" s="1"/>
  <c r="G33" i="113"/>
  <c r="H38" i="113"/>
  <c r="I38" i="113" s="1"/>
  <c r="G15" i="80"/>
  <c r="H13" i="80"/>
  <c r="I13" i="80" s="1"/>
  <c r="H18" i="117"/>
  <c r="I18" i="117" s="1"/>
  <c r="H26" i="69"/>
  <c r="I26" i="69" s="1"/>
  <c r="G30" i="69"/>
  <c r="H38" i="116"/>
  <c r="I38" i="116" s="1"/>
  <c r="G33" i="115"/>
  <c r="H31" i="115"/>
  <c r="I31" i="115" s="1"/>
  <c r="H18" i="115"/>
  <c r="I18" i="115" s="1"/>
  <c r="H36" i="116"/>
  <c r="I36" i="116" s="1"/>
  <c r="G40" i="116"/>
  <c r="H14" i="113"/>
  <c r="I14" i="113" s="1"/>
  <c r="G33" i="116"/>
  <c r="H31" i="116"/>
  <c r="I31" i="116" s="1"/>
  <c r="H28" i="63"/>
  <c r="I28" i="63" s="1"/>
  <c r="H27" i="80"/>
  <c r="I27" i="80" s="1"/>
  <c r="H26" i="74"/>
  <c r="I26" i="74" s="1"/>
  <c r="H13" i="77"/>
  <c r="I13" i="77" s="1"/>
  <c r="G15" i="77"/>
  <c r="H30" i="71"/>
  <c r="I30" i="71" s="1"/>
  <c r="H37" i="114"/>
  <c r="I37" i="114" s="1"/>
  <c r="D24" i="66"/>
  <c r="H20" i="63"/>
  <c r="I20" i="63" s="1"/>
  <c r="D30" i="80"/>
  <c r="D32" i="80" s="1"/>
  <c r="D35" i="80" s="1"/>
  <c r="H14" i="115"/>
  <c r="I14" i="115" s="1"/>
  <c r="H28" i="77"/>
  <c r="I28" i="77" s="1"/>
  <c r="G32" i="77"/>
  <c r="H30" i="77"/>
  <c r="I30" i="77" s="1"/>
  <c r="H38" i="114"/>
  <c r="I38" i="114" s="1"/>
  <c r="H14" i="66"/>
  <c r="I14" i="66" s="1"/>
  <c r="H30" i="74"/>
  <c r="I30" i="74" s="1"/>
  <c r="H18" i="113"/>
  <c r="I18" i="113" s="1"/>
  <c r="D40" i="116"/>
  <c r="H27" i="117"/>
  <c r="I27" i="117" s="1"/>
  <c r="H29" i="71"/>
  <c r="I29" i="71" s="1"/>
  <c r="H28" i="117"/>
  <c r="I28" i="117" s="1"/>
  <c r="D30" i="113"/>
  <c r="D29" i="113"/>
  <c r="H28" i="69"/>
  <c r="I28" i="69" s="1"/>
  <c r="D40" i="117"/>
  <c r="G24" i="66"/>
  <c r="H22" i="66"/>
  <c r="I22" i="66" s="1"/>
  <c r="H36" i="114"/>
  <c r="I36" i="114" s="1"/>
  <c r="D40" i="114"/>
  <c r="H14" i="69"/>
  <c r="I14" i="69" s="1"/>
  <c r="H27" i="66"/>
  <c r="I27" i="66" s="1"/>
  <c r="H20" i="66"/>
  <c r="I20" i="66" s="1"/>
  <c r="H18" i="116"/>
  <c r="I18" i="116" s="1"/>
  <c r="D27" i="77"/>
  <c r="H27" i="114"/>
  <c r="I27" i="114" s="1"/>
  <c r="D29" i="117"/>
  <c r="D30" i="117"/>
  <c r="G32" i="71"/>
  <c r="H28" i="71"/>
  <c r="I28" i="71" s="1"/>
  <c r="D40" i="115"/>
  <c r="H38" i="117"/>
  <c r="I38" i="117" s="1"/>
  <c r="H28" i="80"/>
  <c r="I28" i="80" s="1"/>
  <c r="H32" i="113"/>
  <c r="I32" i="113" s="1"/>
  <c r="D33" i="114"/>
  <c r="H32" i="115"/>
  <c r="I32" i="115" s="1"/>
  <c r="H31" i="113"/>
  <c r="I31" i="113" s="1"/>
  <c r="D33" i="113"/>
  <c r="G40" i="117"/>
  <c r="H36" i="117"/>
  <c r="I36" i="117" s="1"/>
  <c r="G40" i="114"/>
  <c r="H27" i="69"/>
  <c r="I27" i="69" s="1"/>
  <c r="H24" i="63" l="1"/>
  <c r="I24" i="63" s="1"/>
  <c r="D32" i="63"/>
  <c r="D25" i="69"/>
  <c r="D25" i="63"/>
  <c r="D32" i="66"/>
  <c r="D32" i="69"/>
  <c r="D35" i="113"/>
  <c r="D42" i="114"/>
  <c r="H40" i="117"/>
  <c r="I40" i="117" s="1"/>
  <c r="D34" i="115"/>
  <c r="H24" i="69"/>
  <c r="I24" i="69" s="1"/>
  <c r="D47" i="114"/>
  <c r="D34" i="117"/>
  <c r="D35" i="114"/>
  <c r="D35" i="117"/>
  <c r="D34" i="114"/>
  <c r="D47" i="115"/>
  <c r="D34" i="116"/>
  <c r="D33" i="80"/>
  <c r="D34" i="80" s="1"/>
  <c r="H24" i="66"/>
  <c r="I24" i="66" s="1"/>
  <c r="H15" i="71"/>
  <c r="I15" i="71" s="1"/>
  <c r="H33" i="117"/>
  <c r="I33" i="117" s="1"/>
  <c r="H40" i="115"/>
  <c r="I40" i="115" s="1"/>
  <c r="H33" i="116"/>
  <c r="I33" i="116" s="1"/>
  <c r="D42" i="116"/>
  <c r="D35" i="77"/>
  <c r="D36" i="77" s="1"/>
  <c r="D35" i="115"/>
  <c r="D42" i="115"/>
  <c r="H30" i="66"/>
  <c r="I30" i="66" s="1"/>
  <c r="D34" i="113"/>
  <c r="D25" i="66"/>
  <c r="D35" i="71"/>
  <c r="D36" i="71" s="1"/>
  <c r="D42" i="113"/>
  <c r="H15" i="80"/>
  <c r="I15" i="80" s="1"/>
  <c r="H30" i="80"/>
  <c r="I30" i="80" s="1"/>
  <c r="H30" i="63"/>
  <c r="I30" i="63" s="1"/>
  <c r="H33" i="114"/>
  <c r="I33" i="114" s="1"/>
  <c r="H32" i="71"/>
  <c r="I32" i="71" s="1"/>
  <c r="H15" i="77"/>
  <c r="I15" i="77" s="1"/>
  <c r="D47" i="113"/>
  <c r="H40" i="114"/>
  <c r="I40" i="114" s="1"/>
  <c r="H40" i="113"/>
  <c r="I40" i="113" s="1"/>
  <c r="D47" i="116"/>
  <c r="H40" i="116"/>
  <c r="I40" i="116" s="1"/>
  <c r="D42" i="117"/>
  <c r="H30" i="69"/>
  <c r="I30" i="69" s="1"/>
  <c r="H32" i="74"/>
  <c r="I32" i="74" s="1"/>
  <c r="D35" i="116"/>
  <c r="H15" i="74"/>
  <c r="I15" i="74" s="1"/>
  <c r="H33" i="113"/>
  <c r="I33" i="113" s="1"/>
  <c r="H33" i="115"/>
  <c r="I33" i="115" s="1"/>
  <c r="D35" i="74"/>
  <c r="D36" i="74" s="1"/>
  <c r="H32" i="77"/>
  <c r="I32" i="77" s="1"/>
  <c r="D47" i="117"/>
  <c r="D48" i="117" l="1"/>
  <c r="D49" i="117" s="1"/>
  <c r="D50" i="117"/>
  <c r="D48" i="113"/>
  <c r="D49" i="113" s="1"/>
  <c r="D50" i="113"/>
  <c r="D43" i="113"/>
  <c r="D44" i="113" s="1"/>
  <c r="D45" i="113"/>
  <c r="D43" i="115"/>
  <c r="D44" i="115" s="1"/>
  <c r="D45" i="115"/>
  <c r="D43" i="114"/>
  <c r="D44" i="114" s="1"/>
  <c r="D45" i="114"/>
  <c r="D33" i="63"/>
  <c r="D34" i="63" s="1"/>
  <c r="D35" i="63"/>
  <c r="D48" i="116"/>
  <c r="D49" i="116" s="1"/>
  <c r="D50" i="116"/>
  <c r="D43" i="116"/>
  <c r="D44" i="116" s="1"/>
  <c r="D45" i="116"/>
  <c r="D33" i="66"/>
  <c r="D34" i="66" s="1"/>
  <c r="D35" i="66"/>
  <c r="D48" i="114"/>
  <c r="D49" i="114" s="1"/>
  <c r="D50" i="114"/>
  <c r="D43" i="117"/>
  <c r="D44" i="117" s="1"/>
  <c r="D45" i="117"/>
  <c r="D48" i="115"/>
  <c r="D49" i="115" s="1"/>
  <c r="D50" i="115"/>
  <c r="D33" i="69"/>
  <c r="D34" i="69" s="1"/>
  <c r="D35" i="69"/>
  <c r="D36" i="80"/>
  <c r="E44" i="7" s="1"/>
  <c r="D38" i="71"/>
  <c r="E26" i="7" s="1"/>
  <c r="D38" i="77"/>
  <c r="E41" i="7" s="1"/>
  <c r="D38" i="74"/>
  <c r="E29" i="7" s="1"/>
  <c r="D36" i="66" l="1"/>
  <c r="E35" i="7" s="1"/>
  <c r="D36" i="63"/>
  <c r="E32" i="7" s="1"/>
  <c r="D36" i="69"/>
  <c r="E38" i="7" s="1"/>
  <c r="D46" i="117"/>
  <c r="D51" i="116"/>
  <c r="E23" i="7" s="1"/>
  <c r="D46" i="113"/>
  <c r="D51" i="115"/>
  <c r="E15" i="7" s="1"/>
  <c r="D51" i="114"/>
  <c r="E12" i="7" s="1"/>
  <c r="D46" i="114"/>
  <c r="D46" i="115"/>
  <c r="D51" i="113"/>
  <c r="E8" i="7" s="1"/>
  <c r="D46" i="116"/>
  <c r="D51" i="117"/>
  <c r="E19" i="7" s="1"/>
  <c r="F20" i="73" l="1"/>
  <c r="G20" i="73" s="1"/>
  <c r="F20" i="74"/>
  <c r="G20" i="74" s="1"/>
  <c r="F20" i="75"/>
  <c r="G20" i="75" s="1"/>
  <c r="F20" i="71"/>
  <c r="G20" i="71" s="1"/>
  <c r="F20" i="5"/>
  <c r="G20" i="5" s="1"/>
  <c r="F20" i="72"/>
  <c r="G20" i="72" s="1"/>
  <c r="H20" i="72" l="1"/>
  <c r="I20" i="72" s="1"/>
  <c r="H20" i="71"/>
  <c r="I20" i="71" s="1"/>
  <c r="H20" i="75"/>
  <c r="I20" i="75" s="1"/>
  <c r="H20" i="74"/>
  <c r="I20" i="74" s="1"/>
  <c r="H20" i="5"/>
  <c r="I20" i="5" s="1"/>
  <c r="H20" i="73"/>
  <c r="I20" i="73" s="1"/>
  <c r="F22" i="76" l="1"/>
  <c r="G22" i="76" s="1"/>
  <c r="H22" i="76" s="1"/>
  <c r="I22" i="76" s="1"/>
  <c r="F22" i="78"/>
  <c r="G22" i="78" s="1"/>
  <c r="H22" i="78" s="1"/>
  <c r="I22" i="78" s="1"/>
  <c r="F22" i="77"/>
  <c r="G22" i="77" s="1"/>
  <c r="H22" i="77" s="1"/>
  <c r="I22" i="77" s="1"/>
  <c r="F20" i="80"/>
  <c r="G20" i="80" s="1"/>
  <c r="H20" i="80" s="1"/>
  <c r="I20" i="80" s="1"/>
  <c r="F20" i="81"/>
  <c r="G20" i="81" s="1"/>
  <c r="H20" i="81" s="1"/>
  <c r="I20" i="81" s="1"/>
  <c r="F20" i="79"/>
  <c r="G20" i="79" s="1"/>
  <c r="H20" i="79" s="1"/>
  <c r="I20" i="79" s="1"/>
  <c r="F22" i="71"/>
  <c r="G22" i="71" s="1"/>
  <c r="H22" i="71" s="1"/>
  <c r="I22" i="71" s="1"/>
  <c r="F22" i="72"/>
  <c r="G22" i="72" s="1"/>
  <c r="H22" i="72" s="1"/>
  <c r="I22" i="72" s="1"/>
  <c r="F22" i="5"/>
  <c r="G22" i="5" s="1"/>
  <c r="H22" i="5" s="1"/>
  <c r="I22" i="5" s="1"/>
  <c r="F22" i="75"/>
  <c r="G22" i="75" s="1"/>
  <c r="H22" i="75" s="1"/>
  <c r="I22" i="75" s="1"/>
  <c r="F22" i="73"/>
  <c r="G22" i="73" s="1"/>
  <c r="H22" i="73" s="1"/>
  <c r="I22" i="73" s="1"/>
  <c r="F22" i="74"/>
  <c r="G22" i="74" s="1"/>
  <c r="H22" i="74" s="1"/>
  <c r="I22" i="74" s="1"/>
  <c r="F20" i="76" l="1"/>
  <c r="G20" i="76" s="1"/>
  <c r="F20" i="77"/>
  <c r="G20" i="77" s="1"/>
  <c r="F20" i="78"/>
  <c r="G20" i="78" s="1"/>
  <c r="H20" i="78" l="1"/>
  <c r="I20" i="78" s="1"/>
  <c r="H20" i="77"/>
  <c r="I20" i="77" s="1"/>
  <c r="H20" i="76"/>
  <c r="I20" i="76" s="1"/>
  <c r="F24" i="60" l="1"/>
  <c r="G24" i="60" s="1"/>
  <c r="F24" i="116"/>
  <c r="G24" i="116" s="1"/>
  <c r="F24" i="62"/>
  <c r="G24" i="62" s="1"/>
  <c r="F24" i="61"/>
  <c r="G24" i="61" s="1"/>
  <c r="F16" i="69"/>
  <c r="G16" i="69" s="1"/>
  <c r="F16" i="70"/>
  <c r="G16" i="70" s="1"/>
  <c r="F16" i="68"/>
  <c r="G16" i="68" s="1"/>
  <c r="F21" i="49"/>
  <c r="G21" i="49" s="1"/>
  <c r="F21" i="48"/>
  <c r="G21" i="48" s="1"/>
  <c r="F21" i="50"/>
  <c r="G21" i="50" s="1"/>
  <c r="F21" i="113"/>
  <c r="G21" i="113" s="1"/>
  <c r="F19" i="5"/>
  <c r="G19" i="5" s="1"/>
  <c r="F19" i="72"/>
  <c r="G19" i="72" s="1"/>
  <c r="F19" i="71"/>
  <c r="G19" i="71" s="1"/>
  <c r="F17" i="79"/>
  <c r="G17" i="79" s="1"/>
  <c r="F17" i="80"/>
  <c r="G17" i="80" s="1"/>
  <c r="F17" i="81"/>
  <c r="G17" i="81" s="1"/>
  <c r="F24" i="51"/>
  <c r="G24" i="51" s="1"/>
  <c r="F24" i="53"/>
  <c r="G24" i="53" s="1"/>
  <c r="F24" i="52"/>
  <c r="G24" i="52" s="1"/>
  <c r="F24" i="114"/>
  <c r="G24" i="114" s="1"/>
  <c r="F19" i="78"/>
  <c r="G19" i="78" s="1"/>
  <c r="F19" i="77"/>
  <c r="G19" i="77" s="1"/>
  <c r="F19" i="76"/>
  <c r="G19" i="76" s="1"/>
  <c r="F21" i="52"/>
  <c r="G21" i="52" s="1"/>
  <c r="F21" i="53"/>
  <c r="G21" i="53" s="1"/>
  <c r="F21" i="114"/>
  <c r="G21" i="114" s="1"/>
  <c r="F21" i="51"/>
  <c r="G21" i="51" s="1"/>
  <c r="F24" i="58"/>
  <c r="G24" i="58" s="1"/>
  <c r="F24" i="59"/>
  <c r="G24" i="59" s="1"/>
  <c r="F24" i="57"/>
  <c r="G24" i="57" s="1"/>
  <c r="F24" i="117"/>
  <c r="G24" i="117" s="1"/>
  <c r="F21" i="54"/>
  <c r="G21" i="54" s="1"/>
  <c r="F21" i="56"/>
  <c r="G21" i="56" s="1"/>
  <c r="F21" i="115"/>
  <c r="G21" i="115" s="1"/>
  <c r="F21" i="59"/>
  <c r="G21" i="59" s="1"/>
  <c r="F21" i="117"/>
  <c r="G21" i="117" s="1"/>
  <c r="F21" i="58"/>
  <c r="G21" i="58" s="1"/>
  <c r="F21" i="57"/>
  <c r="G21" i="57" s="1"/>
  <c r="F21" i="74"/>
  <c r="G21" i="74" s="1"/>
  <c r="F21" i="75"/>
  <c r="G21" i="75" s="1"/>
  <c r="F21" i="73"/>
  <c r="G21" i="73" s="1"/>
  <c r="F18" i="66"/>
  <c r="G18" i="66" s="1"/>
  <c r="F18" i="65"/>
  <c r="G18" i="65" s="1"/>
  <c r="F18" i="67"/>
  <c r="G18" i="67" s="1"/>
  <c r="F19" i="73"/>
  <c r="G19" i="73" s="1"/>
  <c r="F19" i="75"/>
  <c r="G19" i="75" s="1"/>
  <c r="F19" i="74"/>
  <c r="G19" i="74" s="1"/>
  <c r="F16" i="63"/>
  <c r="G16" i="63" s="1"/>
  <c r="F16" i="64"/>
  <c r="G16" i="64" s="1"/>
  <c r="F16" i="25"/>
  <c r="G16" i="25" s="1"/>
  <c r="F18" i="63"/>
  <c r="G18" i="63" s="1"/>
  <c r="F18" i="64"/>
  <c r="G18" i="64" s="1"/>
  <c r="F18" i="25"/>
  <c r="G18" i="25" s="1"/>
  <c r="F21" i="78"/>
  <c r="G21" i="78" s="1"/>
  <c r="F21" i="77"/>
  <c r="G21" i="77" s="1"/>
  <c r="F21" i="76"/>
  <c r="G21" i="76" s="1"/>
  <c r="F24" i="49"/>
  <c r="G24" i="49" s="1"/>
  <c r="F24" i="113"/>
  <c r="G24" i="113" s="1"/>
  <c r="F24" i="50"/>
  <c r="G24" i="50" s="1"/>
  <c r="F24" i="48"/>
  <c r="G24" i="48" s="1"/>
  <c r="F21" i="71"/>
  <c r="G21" i="71" s="1"/>
  <c r="F21" i="72"/>
  <c r="G21" i="72" s="1"/>
  <c r="F21" i="5"/>
  <c r="G21" i="5" s="1"/>
  <c r="F16" i="67"/>
  <c r="G16" i="67" s="1"/>
  <c r="F16" i="66"/>
  <c r="G16" i="66" s="1"/>
  <c r="F16" i="65"/>
  <c r="G16" i="65" s="1"/>
  <c r="F21" i="116"/>
  <c r="G21" i="116" s="1"/>
  <c r="F21" i="60"/>
  <c r="G21" i="60" s="1"/>
  <c r="F21" i="62"/>
  <c r="G21" i="62" s="1"/>
  <c r="F21" i="61"/>
  <c r="G21" i="61" s="1"/>
  <c r="F18" i="69"/>
  <c r="G18" i="69" s="1"/>
  <c r="F18" i="70"/>
  <c r="G18" i="70" s="1"/>
  <c r="F18" i="68"/>
  <c r="G18" i="68" s="1"/>
  <c r="F24" i="54"/>
  <c r="G24" i="54" s="1"/>
  <c r="F24" i="115"/>
  <c r="G24" i="115" s="1"/>
  <c r="F24" i="56"/>
  <c r="G24" i="56" s="1"/>
  <c r="H18" i="70" l="1"/>
  <c r="I18" i="70" s="1"/>
  <c r="H21" i="78"/>
  <c r="I21" i="78" s="1"/>
  <c r="H18" i="64"/>
  <c r="I18" i="64" s="1"/>
  <c r="H19" i="73"/>
  <c r="I19" i="73" s="1"/>
  <c r="H18" i="66"/>
  <c r="I18" i="66" s="1"/>
  <c r="H21" i="115"/>
  <c r="I21" i="115" s="1"/>
  <c r="H21" i="52"/>
  <c r="I21" i="52" s="1"/>
  <c r="H17" i="79"/>
  <c r="I17" i="79" s="1"/>
  <c r="H16" i="69"/>
  <c r="I16" i="69" s="1"/>
  <c r="H24" i="115"/>
  <c r="I24" i="115" s="1"/>
  <c r="H21" i="60"/>
  <c r="I21" i="60" s="1"/>
  <c r="H16" i="65"/>
  <c r="I16" i="65" s="1"/>
  <c r="H24" i="49"/>
  <c r="I24" i="49" s="1"/>
  <c r="H16" i="63"/>
  <c r="I16" i="63" s="1"/>
  <c r="H21" i="73"/>
  <c r="I21" i="73" s="1"/>
  <c r="H21" i="56"/>
  <c r="I21" i="56" s="1"/>
  <c r="H19" i="78"/>
  <c r="I19" i="78" s="1"/>
  <c r="G23" i="78"/>
  <c r="H24" i="51"/>
  <c r="I24" i="51" s="1"/>
  <c r="H19" i="71"/>
  <c r="I19" i="71" s="1"/>
  <c r="H21" i="50"/>
  <c r="I21" i="50" s="1"/>
  <c r="H24" i="62"/>
  <c r="I24" i="62" s="1"/>
  <c r="H24" i="54"/>
  <c r="I24" i="54" s="1"/>
  <c r="H21" i="116"/>
  <c r="I21" i="116" s="1"/>
  <c r="H16" i="66"/>
  <c r="I16" i="66" s="1"/>
  <c r="H21" i="72"/>
  <c r="I21" i="72" s="1"/>
  <c r="H24" i="48"/>
  <c r="I24" i="48" s="1"/>
  <c r="H21" i="76"/>
  <c r="I21" i="76" s="1"/>
  <c r="H19" i="74"/>
  <c r="I19" i="74" s="1"/>
  <c r="H18" i="67"/>
  <c r="I18" i="67" s="1"/>
  <c r="H21" i="75"/>
  <c r="I21" i="75" s="1"/>
  <c r="H21" i="117"/>
  <c r="I21" i="117" s="1"/>
  <c r="H21" i="54"/>
  <c r="I21" i="54" s="1"/>
  <c r="H24" i="58"/>
  <c r="I24" i="58" s="1"/>
  <c r="H21" i="114"/>
  <c r="I21" i="114" s="1"/>
  <c r="H24" i="114"/>
  <c r="I24" i="114" s="1"/>
  <c r="H17" i="81"/>
  <c r="I17" i="81" s="1"/>
  <c r="H19" i="72"/>
  <c r="I19" i="72" s="1"/>
  <c r="H21" i="48"/>
  <c r="I21" i="48" s="1"/>
  <c r="H16" i="68"/>
  <c r="I16" i="68" s="1"/>
  <c r="H24" i="116"/>
  <c r="I24" i="116" s="1"/>
  <c r="H24" i="56"/>
  <c r="I24" i="56" s="1"/>
  <c r="H21" i="62"/>
  <c r="I21" i="62" s="1"/>
  <c r="H24" i="113"/>
  <c r="I24" i="113" s="1"/>
  <c r="H16" i="64"/>
  <c r="I16" i="64" s="1"/>
  <c r="H21" i="57"/>
  <c r="I21" i="57" s="1"/>
  <c r="H24" i="57"/>
  <c r="I24" i="57" s="1"/>
  <c r="H19" i="77"/>
  <c r="I19" i="77" s="1"/>
  <c r="G23" i="77"/>
  <c r="H24" i="53"/>
  <c r="I24" i="53" s="1"/>
  <c r="H21" i="113"/>
  <c r="I21" i="113" s="1"/>
  <c r="H24" i="61"/>
  <c r="I24" i="61" s="1"/>
  <c r="H18" i="69"/>
  <c r="I18" i="69" s="1"/>
  <c r="H21" i="5"/>
  <c r="I21" i="5" s="1"/>
  <c r="H18" i="63"/>
  <c r="I18" i="63" s="1"/>
  <c r="H21" i="58"/>
  <c r="I21" i="58" s="1"/>
  <c r="H24" i="59"/>
  <c r="I24" i="59" s="1"/>
  <c r="H21" i="51"/>
  <c r="I21" i="51" s="1"/>
  <c r="H18" i="68"/>
  <c r="I18" i="68" s="1"/>
  <c r="H21" i="61"/>
  <c r="I21" i="61" s="1"/>
  <c r="H16" i="67"/>
  <c r="I16" i="67" s="1"/>
  <c r="H21" i="71"/>
  <c r="I21" i="71" s="1"/>
  <c r="H24" i="50"/>
  <c r="I24" i="50" s="1"/>
  <c r="H21" i="77"/>
  <c r="I21" i="77" s="1"/>
  <c r="H18" i="25"/>
  <c r="I18" i="25" s="1"/>
  <c r="H16" i="25"/>
  <c r="I16" i="25" s="1"/>
  <c r="H19" i="75"/>
  <c r="I19" i="75" s="1"/>
  <c r="H18" i="65"/>
  <c r="I18" i="65" s="1"/>
  <c r="H21" i="74"/>
  <c r="I21" i="74" s="1"/>
  <c r="H21" i="59"/>
  <c r="I21" i="59" s="1"/>
  <c r="H24" i="117"/>
  <c r="I24" i="117" s="1"/>
  <c r="H21" i="53"/>
  <c r="I21" i="53" s="1"/>
  <c r="H19" i="76"/>
  <c r="I19" i="76" s="1"/>
  <c r="G23" i="76"/>
  <c r="H24" i="52"/>
  <c r="I24" i="52" s="1"/>
  <c r="H17" i="80"/>
  <c r="I17" i="80" s="1"/>
  <c r="H19" i="5"/>
  <c r="I19" i="5" s="1"/>
  <c r="H21" i="49"/>
  <c r="I21" i="49" s="1"/>
  <c r="H16" i="70"/>
  <c r="I16" i="70" s="1"/>
  <c r="H24" i="60"/>
  <c r="I24" i="60" s="1"/>
  <c r="G27" i="78" l="1"/>
  <c r="H23" i="78"/>
  <c r="G34" i="78"/>
  <c r="F19" i="80"/>
  <c r="G19" i="80" s="1"/>
  <c r="F19" i="81"/>
  <c r="G19" i="81" s="1"/>
  <c r="F19" i="79"/>
  <c r="G19" i="79" s="1"/>
  <c r="F21" i="4"/>
  <c r="G21" i="4" s="1"/>
  <c r="F21" i="112"/>
  <c r="G21" i="112" s="1"/>
  <c r="F21" i="47"/>
  <c r="G21" i="47" s="1"/>
  <c r="F21" i="46"/>
  <c r="G21" i="46" s="1"/>
  <c r="G27" i="77"/>
  <c r="G34" i="77"/>
  <c r="H23" i="77"/>
  <c r="F24" i="47"/>
  <c r="G24" i="47" s="1"/>
  <c r="F24" i="112"/>
  <c r="G24" i="112" s="1"/>
  <c r="F24" i="4"/>
  <c r="G24" i="4" s="1"/>
  <c r="F24" i="46"/>
  <c r="G24" i="46" s="1"/>
  <c r="G27" i="76"/>
  <c r="G34" i="76"/>
  <c r="H23" i="76"/>
  <c r="H21" i="47" l="1"/>
  <c r="I21" i="47" s="1"/>
  <c r="H34" i="76"/>
  <c r="I34" i="76" s="1"/>
  <c r="G35" i="76"/>
  <c r="G37" i="76"/>
  <c r="H21" i="112"/>
  <c r="I21" i="112" s="1"/>
  <c r="H19" i="79"/>
  <c r="I19" i="79" s="1"/>
  <c r="G21" i="79"/>
  <c r="G37" i="78"/>
  <c r="H34" i="78"/>
  <c r="I34" i="78" s="1"/>
  <c r="G35" i="78"/>
  <c r="G36" i="78" s="1"/>
  <c r="H27" i="76"/>
  <c r="I27" i="76" s="1"/>
  <c r="H24" i="46"/>
  <c r="I24" i="46" s="1"/>
  <c r="H34" i="77"/>
  <c r="I34" i="77" s="1"/>
  <c r="G37" i="77"/>
  <c r="G35" i="77"/>
  <c r="G36" i="77" s="1"/>
  <c r="H21" i="4"/>
  <c r="I21" i="4" s="1"/>
  <c r="H19" i="81"/>
  <c r="I19" i="81" s="1"/>
  <c r="G21" i="81"/>
  <c r="F42" i="7"/>
  <c r="I23" i="78"/>
  <c r="G42" i="7" s="1"/>
  <c r="F40" i="7"/>
  <c r="I23" i="76"/>
  <c r="G40" i="7" s="1"/>
  <c r="H24" i="112"/>
  <c r="I24" i="112" s="1"/>
  <c r="H24" i="47"/>
  <c r="I24" i="47" s="1"/>
  <c r="F41" i="7"/>
  <c r="I23" i="77"/>
  <c r="G41" i="7" s="1"/>
  <c r="H24" i="4"/>
  <c r="I24" i="4" s="1"/>
  <c r="H27" i="77"/>
  <c r="I27" i="77" s="1"/>
  <c r="H21" i="46"/>
  <c r="I21" i="46" s="1"/>
  <c r="H19" i="80"/>
  <c r="I19" i="80" s="1"/>
  <c r="G21" i="80"/>
  <c r="H27" i="78"/>
  <c r="I27" i="78" s="1"/>
  <c r="G25" i="79" l="1"/>
  <c r="H21" i="79"/>
  <c r="G32" i="79"/>
  <c r="G25" i="80"/>
  <c r="H21" i="80"/>
  <c r="G32" i="80"/>
  <c r="H35" i="77"/>
  <c r="I35" i="77" s="1"/>
  <c r="H37" i="78"/>
  <c r="I37" i="78" s="1"/>
  <c r="H37" i="76"/>
  <c r="I37" i="76" s="1"/>
  <c r="H37" i="77"/>
  <c r="I37" i="77" s="1"/>
  <c r="H36" i="78"/>
  <c r="I36" i="78" s="1"/>
  <c r="G38" i="78"/>
  <c r="H35" i="76"/>
  <c r="I35" i="76" s="1"/>
  <c r="H21" i="81"/>
  <c r="G32" i="81"/>
  <c r="G25" i="81"/>
  <c r="H36" i="77"/>
  <c r="I36" i="77" s="1"/>
  <c r="G38" i="77"/>
  <c r="H35" i="78"/>
  <c r="I35" i="78" s="1"/>
  <c r="G36" i="76"/>
  <c r="I21" i="79" l="1"/>
  <c r="G43" i="7" s="1"/>
  <c r="F43" i="7"/>
  <c r="H25" i="81"/>
  <c r="I25" i="81" s="1"/>
  <c r="J29" i="78"/>
  <c r="J22" i="78"/>
  <c r="J30" i="78"/>
  <c r="J26" i="78"/>
  <c r="J33" i="78"/>
  <c r="J32" i="78"/>
  <c r="J16" i="78"/>
  <c r="J15" i="78"/>
  <c r="J31" i="78"/>
  <c r="J38" i="78"/>
  <c r="J25" i="78"/>
  <c r="J13" i="78"/>
  <c r="J14" i="78"/>
  <c r="J18" i="78"/>
  <c r="J24" i="78"/>
  <c r="H38" i="78"/>
  <c r="J17" i="78"/>
  <c r="J28" i="78"/>
  <c r="J20" i="78"/>
  <c r="J19" i="78"/>
  <c r="J21" i="78"/>
  <c r="J23" i="78"/>
  <c r="J34" i="78"/>
  <c r="J27" i="78"/>
  <c r="J37" i="78"/>
  <c r="H25" i="79"/>
  <c r="I25" i="79" s="1"/>
  <c r="J35" i="78"/>
  <c r="H32" i="81"/>
  <c r="I32" i="81" s="1"/>
  <c r="G33" i="81"/>
  <c r="G34" i="81" s="1"/>
  <c r="G35" i="81"/>
  <c r="H32" i="80"/>
  <c r="I32" i="80" s="1"/>
  <c r="G33" i="80"/>
  <c r="G34" i="80" s="1"/>
  <c r="G35" i="80"/>
  <c r="G38" i="76"/>
  <c r="J36" i="76" s="1"/>
  <c r="H36" i="76"/>
  <c r="I36" i="76" s="1"/>
  <c r="J15" i="77"/>
  <c r="J32" i="77"/>
  <c r="J28" i="77"/>
  <c r="J29" i="77"/>
  <c r="J14" i="77"/>
  <c r="J31" i="77"/>
  <c r="J22" i="77"/>
  <c r="J24" i="77"/>
  <c r="J16" i="77"/>
  <c r="J26" i="77"/>
  <c r="J33" i="77"/>
  <c r="J18" i="77"/>
  <c r="J30" i="77"/>
  <c r="J13" i="77"/>
  <c r="J38" i="77"/>
  <c r="H38" i="77"/>
  <c r="J25" i="77"/>
  <c r="J17" i="77"/>
  <c r="J20" i="77"/>
  <c r="J19" i="77"/>
  <c r="J21" i="77"/>
  <c r="J23" i="77"/>
  <c r="J27" i="77"/>
  <c r="J34" i="77"/>
  <c r="H25" i="80"/>
  <c r="I25" i="80" s="1"/>
  <c r="J35" i="77"/>
  <c r="J36" i="77"/>
  <c r="F45" i="7"/>
  <c r="I21" i="81"/>
  <c r="G45" i="7" s="1"/>
  <c r="J36" i="78"/>
  <c r="J37" i="77"/>
  <c r="F44" i="7"/>
  <c r="I21" i="80"/>
  <c r="G44" i="7" s="1"/>
  <c r="H32" i="79"/>
  <c r="I32" i="79" s="1"/>
  <c r="G35" i="79"/>
  <c r="G33" i="79"/>
  <c r="H33" i="79" l="1"/>
  <c r="I33" i="79" s="1"/>
  <c r="H35" i="81"/>
  <c r="I35" i="81" s="1"/>
  <c r="G36" i="80"/>
  <c r="J35" i="80" s="1"/>
  <c r="H34" i="80"/>
  <c r="I34" i="80" s="1"/>
  <c r="G36" i="81"/>
  <c r="J34" i="81" s="1"/>
  <c r="H34" i="81"/>
  <c r="I34" i="81" s="1"/>
  <c r="H35" i="79"/>
  <c r="I35" i="79" s="1"/>
  <c r="H41" i="7"/>
  <c r="I38" i="77"/>
  <c r="I41" i="7" s="1"/>
  <c r="H35" i="80"/>
  <c r="I35" i="80" s="1"/>
  <c r="H33" i="81"/>
  <c r="I33" i="81" s="1"/>
  <c r="H42" i="7"/>
  <c r="I38" i="78"/>
  <c r="I42" i="7" s="1"/>
  <c r="J17" i="76"/>
  <c r="J14" i="76"/>
  <c r="J15" i="76"/>
  <c r="J33" i="76"/>
  <c r="J31" i="76"/>
  <c r="J26" i="76"/>
  <c r="J24" i="76"/>
  <c r="J30" i="76"/>
  <c r="J22" i="76"/>
  <c r="J28" i="76"/>
  <c r="J18" i="76"/>
  <c r="J38" i="76"/>
  <c r="J29" i="76"/>
  <c r="J16" i="76"/>
  <c r="H38" i="76"/>
  <c r="J25" i="76"/>
  <c r="J32" i="76"/>
  <c r="J13" i="76"/>
  <c r="J20" i="76"/>
  <c r="J21" i="76"/>
  <c r="J19" i="76"/>
  <c r="J23" i="76"/>
  <c r="J27" i="76"/>
  <c r="J34" i="76"/>
  <c r="J35" i="76"/>
  <c r="J37" i="76"/>
  <c r="G34" i="79"/>
  <c r="H33" i="80"/>
  <c r="I33" i="80" s="1"/>
  <c r="J33" i="80" l="1"/>
  <c r="J30" i="80"/>
  <c r="J36" i="80"/>
  <c r="J24" i="80"/>
  <c r="J22" i="80"/>
  <c r="J15" i="80"/>
  <c r="J23" i="80"/>
  <c r="J16" i="80"/>
  <c r="H36" i="80"/>
  <c r="J26" i="80"/>
  <c r="J27" i="80"/>
  <c r="J18" i="80"/>
  <c r="J14" i="80"/>
  <c r="J29" i="80"/>
  <c r="J28" i="80"/>
  <c r="J31" i="80"/>
  <c r="J20" i="80"/>
  <c r="J13" i="80"/>
  <c r="J17" i="80"/>
  <c r="J19" i="80"/>
  <c r="J21" i="80"/>
  <c r="J25" i="80"/>
  <c r="J32" i="80"/>
  <c r="H34" i="79"/>
  <c r="I34" i="79" s="1"/>
  <c r="G36" i="79"/>
  <c r="J34" i="80"/>
  <c r="J22" i="81"/>
  <c r="J30" i="81"/>
  <c r="J18" i="81"/>
  <c r="J13" i="81"/>
  <c r="J36" i="81"/>
  <c r="J28" i="81"/>
  <c r="J20" i="81"/>
  <c r="J29" i="81"/>
  <c r="J26" i="81"/>
  <c r="J31" i="81"/>
  <c r="J14" i="81"/>
  <c r="J23" i="81"/>
  <c r="J16" i="81"/>
  <c r="J24" i="81"/>
  <c r="H36" i="81"/>
  <c r="J15" i="81"/>
  <c r="J27" i="81"/>
  <c r="J17" i="81"/>
  <c r="J19" i="81"/>
  <c r="J21" i="81"/>
  <c r="J32" i="81"/>
  <c r="J25" i="81"/>
  <c r="I38" i="76"/>
  <c r="I40" i="7" s="1"/>
  <c r="H40" i="7"/>
  <c r="J33" i="81"/>
  <c r="J35" i="81"/>
  <c r="H45" i="7" l="1"/>
  <c r="I36" i="81"/>
  <c r="I45" i="7" s="1"/>
  <c r="J29" i="79"/>
  <c r="J24" i="79"/>
  <c r="J27" i="79"/>
  <c r="J14" i="79"/>
  <c r="J26" i="79"/>
  <c r="J18" i="79"/>
  <c r="J20" i="79"/>
  <c r="J30" i="79"/>
  <c r="J16" i="79"/>
  <c r="J23" i="79"/>
  <c r="J31" i="79"/>
  <c r="J13" i="79"/>
  <c r="J36" i="79"/>
  <c r="J22" i="79"/>
  <c r="H36" i="79"/>
  <c r="J28" i="79"/>
  <c r="J15" i="79"/>
  <c r="J17" i="79"/>
  <c r="J19" i="79"/>
  <c r="J21" i="79"/>
  <c r="J32" i="79"/>
  <c r="J25" i="79"/>
  <c r="J35" i="79"/>
  <c r="J33" i="79"/>
  <c r="J34" i="79"/>
  <c r="H44" i="7"/>
  <c r="I36" i="80"/>
  <c r="I44" i="7" s="1"/>
  <c r="I36" i="79" l="1"/>
  <c r="I43" i="7" s="1"/>
  <c r="H43" i="7"/>
  <c r="F15" i="68" l="1"/>
  <c r="G15" i="68" s="1"/>
  <c r="F15" i="69"/>
  <c r="G15" i="69" s="1"/>
  <c r="F15" i="70"/>
  <c r="G15" i="70" s="1"/>
  <c r="F17" i="68" l="1"/>
  <c r="G17" i="68" s="1"/>
  <c r="G19" i="68" s="1"/>
  <c r="F17" i="70"/>
  <c r="G17" i="70" s="1"/>
  <c r="F17" i="69"/>
  <c r="G17" i="69" s="1"/>
  <c r="H15" i="70"/>
  <c r="I15" i="70" s="1"/>
  <c r="F17" i="66"/>
  <c r="G17" i="66" s="1"/>
  <c r="F17" i="67"/>
  <c r="G17" i="67" s="1"/>
  <c r="F17" i="65"/>
  <c r="G17" i="65" s="1"/>
  <c r="H15" i="69"/>
  <c r="I15" i="69" s="1"/>
  <c r="H15" i="68"/>
  <c r="I15" i="68" s="1"/>
  <c r="F15" i="66" l="1"/>
  <c r="G15" i="66" s="1"/>
  <c r="F15" i="65"/>
  <c r="G15" i="65" s="1"/>
  <c r="F15" i="67"/>
  <c r="G15" i="67" s="1"/>
  <c r="H17" i="67"/>
  <c r="I17" i="67" s="1"/>
  <c r="F19" i="115"/>
  <c r="G19" i="115" s="1"/>
  <c r="F19" i="54"/>
  <c r="G19" i="54" s="1"/>
  <c r="F19" i="56"/>
  <c r="G19" i="56" s="1"/>
  <c r="H17" i="66"/>
  <c r="I17" i="66" s="1"/>
  <c r="H17" i="69"/>
  <c r="I17" i="69" s="1"/>
  <c r="G21" i="68"/>
  <c r="H19" i="68"/>
  <c r="H17" i="70"/>
  <c r="I17" i="70" s="1"/>
  <c r="G19" i="69"/>
  <c r="H17" i="65"/>
  <c r="I17" i="65" s="1"/>
  <c r="G19" i="70"/>
  <c r="H17" i="68"/>
  <c r="I17" i="68" s="1"/>
  <c r="H19" i="56" l="1"/>
  <c r="I19" i="56" s="1"/>
  <c r="H19" i="54"/>
  <c r="I19" i="54" s="1"/>
  <c r="H15" i="67"/>
  <c r="I15" i="67" s="1"/>
  <c r="G19" i="67"/>
  <c r="F23" i="115"/>
  <c r="G23" i="115" s="1"/>
  <c r="F23" i="54"/>
  <c r="G23" i="54" s="1"/>
  <c r="G25" i="54" s="1"/>
  <c r="F23" i="56"/>
  <c r="G23" i="56" s="1"/>
  <c r="H19" i="69"/>
  <c r="G21" i="69"/>
  <c r="F37" i="7"/>
  <c r="I19" i="68"/>
  <c r="G37" i="7" s="1"/>
  <c r="H19" i="115"/>
  <c r="I19" i="115" s="1"/>
  <c r="H15" i="65"/>
  <c r="I15" i="65" s="1"/>
  <c r="G19" i="65"/>
  <c r="H19" i="70"/>
  <c r="G21" i="70"/>
  <c r="G32" i="68"/>
  <c r="H21" i="68"/>
  <c r="I21" i="68" s="1"/>
  <c r="G25" i="68"/>
  <c r="H15" i="66"/>
  <c r="I15" i="66" s="1"/>
  <c r="G19" i="66"/>
  <c r="G33" i="68" l="1"/>
  <c r="G34" i="68" s="1"/>
  <c r="H32" i="68"/>
  <c r="I32" i="68" s="1"/>
  <c r="G35" i="68"/>
  <c r="H23" i="56"/>
  <c r="I23" i="56" s="1"/>
  <c r="F19" i="117"/>
  <c r="G19" i="117" s="1"/>
  <c r="F19" i="59"/>
  <c r="G19" i="59" s="1"/>
  <c r="F19" i="58"/>
  <c r="G19" i="58" s="1"/>
  <c r="F19" i="57"/>
  <c r="G19" i="57" s="1"/>
  <c r="H25" i="68"/>
  <c r="I25" i="68" s="1"/>
  <c r="G25" i="70"/>
  <c r="G32" i="70"/>
  <c r="H21" i="70"/>
  <c r="I21" i="70" s="1"/>
  <c r="H21" i="69"/>
  <c r="I21" i="69" s="1"/>
  <c r="G25" i="69"/>
  <c r="G32" i="69"/>
  <c r="H23" i="115"/>
  <c r="I23" i="115" s="1"/>
  <c r="F15" i="25"/>
  <c r="G15" i="25" s="1"/>
  <c r="F15" i="64"/>
  <c r="G15" i="64" s="1"/>
  <c r="F15" i="63"/>
  <c r="G15" i="63" s="1"/>
  <c r="F16" i="72"/>
  <c r="G16" i="72" s="1"/>
  <c r="F16" i="5"/>
  <c r="G16" i="5" s="1"/>
  <c r="F16" i="71"/>
  <c r="G16" i="71" s="1"/>
  <c r="F23" i="116"/>
  <c r="G23" i="116" s="1"/>
  <c r="F23" i="60"/>
  <c r="G23" i="60" s="1"/>
  <c r="F23" i="62"/>
  <c r="G23" i="62" s="1"/>
  <c r="F23" i="61"/>
  <c r="G23" i="61" s="1"/>
  <c r="H19" i="66"/>
  <c r="G21" i="66"/>
  <c r="F39" i="7"/>
  <c r="I19" i="70"/>
  <c r="G39" i="7" s="1"/>
  <c r="F38" i="7"/>
  <c r="I19" i="69"/>
  <c r="G38" i="7" s="1"/>
  <c r="F16" i="74"/>
  <c r="G16" i="74" s="1"/>
  <c r="F16" i="75"/>
  <c r="G16" i="75" s="1"/>
  <c r="F16" i="73"/>
  <c r="G16" i="73" s="1"/>
  <c r="H19" i="67"/>
  <c r="G21" i="67"/>
  <c r="G42" i="54"/>
  <c r="G47" i="54"/>
  <c r="G29" i="54"/>
  <c r="H25" i="54"/>
  <c r="G30" i="54"/>
  <c r="G25" i="56"/>
  <c r="F19" i="116"/>
  <c r="G19" i="116" s="1"/>
  <c r="F19" i="60"/>
  <c r="G19" i="60" s="1"/>
  <c r="F19" i="61"/>
  <c r="G19" i="61" s="1"/>
  <c r="F19" i="62"/>
  <c r="G19" i="62" s="1"/>
  <c r="F19" i="113"/>
  <c r="G19" i="113" s="1"/>
  <c r="F19" i="49"/>
  <c r="G19" i="49" s="1"/>
  <c r="F19" i="48"/>
  <c r="G19" i="48" s="1"/>
  <c r="F19" i="50"/>
  <c r="G19" i="50" s="1"/>
  <c r="F19" i="114"/>
  <c r="G19" i="114" s="1"/>
  <c r="F19" i="53"/>
  <c r="G19" i="53" s="1"/>
  <c r="F19" i="51"/>
  <c r="G19" i="51" s="1"/>
  <c r="F19" i="52"/>
  <c r="G19" i="52" s="1"/>
  <c r="F17" i="25"/>
  <c r="G17" i="25" s="1"/>
  <c r="F17" i="64"/>
  <c r="G17" i="64" s="1"/>
  <c r="F17" i="63"/>
  <c r="G17" i="63" s="1"/>
  <c r="H19" i="65"/>
  <c r="G21" i="65"/>
  <c r="G25" i="115"/>
  <c r="H23" i="54"/>
  <c r="I23" i="54" s="1"/>
  <c r="F34" i="7" l="1"/>
  <c r="I19" i="65"/>
  <c r="G34" i="7" s="1"/>
  <c r="H19" i="50"/>
  <c r="I19" i="50" s="1"/>
  <c r="H16" i="75"/>
  <c r="I16" i="75" s="1"/>
  <c r="G23" i="75"/>
  <c r="F35" i="7"/>
  <c r="I19" i="66"/>
  <c r="G35" i="7" s="1"/>
  <c r="H15" i="63"/>
  <c r="I15" i="63" s="1"/>
  <c r="G19" i="63"/>
  <c r="H19" i="57"/>
  <c r="I19" i="57" s="1"/>
  <c r="H17" i="63"/>
  <c r="I17" i="63" s="1"/>
  <c r="H19" i="48"/>
  <c r="I19" i="48" s="1"/>
  <c r="H16" i="74"/>
  <c r="I16" i="74" s="1"/>
  <c r="G23" i="74"/>
  <c r="H16" i="71"/>
  <c r="I16" i="71" s="1"/>
  <c r="G23" i="71"/>
  <c r="H19" i="58"/>
  <c r="I19" i="58" s="1"/>
  <c r="H35" i="68"/>
  <c r="I35" i="68" s="1"/>
  <c r="F19" i="112"/>
  <c r="G19" i="112" s="1"/>
  <c r="F19" i="46"/>
  <c r="G19" i="46" s="1"/>
  <c r="F19" i="47"/>
  <c r="G19" i="47" s="1"/>
  <c r="F19" i="4"/>
  <c r="G19" i="4" s="1"/>
  <c r="H17" i="64"/>
  <c r="I17" i="64" s="1"/>
  <c r="H19" i="53"/>
  <c r="I19" i="53" s="1"/>
  <c r="H19" i="49"/>
  <c r="I19" i="49" s="1"/>
  <c r="H19" i="60"/>
  <c r="I19" i="60" s="1"/>
  <c r="G25" i="60"/>
  <c r="H47" i="54"/>
  <c r="I47" i="54" s="1"/>
  <c r="G50" i="54"/>
  <c r="G48" i="54"/>
  <c r="I19" i="67"/>
  <c r="G36" i="7" s="1"/>
  <c r="F36" i="7"/>
  <c r="H23" i="62"/>
  <c r="I23" i="62" s="1"/>
  <c r="H16" i="5"/>
  <c r="I16" i="5" s="1"/>
  <c r="G23" i="5"/>
  <c r="H15" i="25"/>
  <c r="I15" i="25" s="1"/>
  <c r="G19" i="25"/>
  <c r="H19" i="59"/>
  <c r="I19" i="59" s="1"/>
  <c r="H19" i="52"/>
  <c r="I19" i="52" s="1"/>
  <c r="H19" i="62"/>
  <c r="I19" i="62" s="1"/>
  <c r="G25" i="62"/>
  <c r="G47" i="56"/>
  <c r="H25" i="56"/>
  <c r="G30" i="56"/>
  <c r="G29" i="56"/>
  <c r="G42" i="56"/>
  <c r="F14" i="7"/>
  <c r="I25" i="54"/>
  <c r="G14" i="7" s="1"/>
  <c r="H23" i="116"/>
  <c r="I23" i="116" s="1"/>
  <c r="H25" i="69"/>
  <c r="I25" i="69" s="1"/>
  <c r="G35" i="70"/>
  <c r="G33" i="70"/>
  <c r="G34" i="70" s="1"/>
  <c r="H32" i="70"/>
  <c r="I32" i="70" s="1"/>
  <c r="G36" i="68"/>
  <c r="J35" i="68" s="1"/>
  <c r="H34" i="68"/>
  <c r="I34" i="68" s="1"/>
  <c r="G42" i="115"/>
  <c r="H25" i="115"/>
  <c r="G47" i="115"/>
  <c r="G29" i="115"/>
  <c r="G30" i="115"/>
  <c r="H19" i="51"/>
  <c r="I19" i="51" s="1"/>
  <c r="H19" i="61"/>
  <c r="I19" i="61" s="1"/>
  <c r="G25" i="61"/>
  <c r="G34" i="54"/>
  <c r="H29" i="54"/>
  <c r="I29" i="54" s="1"/>
  <c r="G25" i="67"/>
  <c r="G32" i="67"/>
  <c r="H21" i="67"/>
  <c r="I21" i="67" s="1"/>
  <c r="H23" i="61"/>
  <c r="I23" i="61" s="1"/>
  <c r="H15" i="64"/>
  <c r="I15" i="64" s="1"/>
  <c r="G19" i="64"/>
  <c r="H25" i="70"/>
  <c r="I25" i="70" s="1"/>
  <c r="F23" i="117"/>
  <c r="G23" i="117" s="1"/>
  <c r="G25" i="117" s="1"/>
  <c r="F23" i="58"/>
  <c r="G23" i="58" s="1"/>
  <c r="F23" i="59"/>
  <c r="G23" i="59" s="1"/>
  <c r="G25" i="59" s="1"/>
  <c r="F23" i="57"/>
  <c r="G23" i="57" s="1"/>
  <c r="G25" i="57" s="1"/>
  <c r="H21" i="65"/>
  <c r="I21" i="65" s="1"/>
  <c r="G25" i="65"/>
  <c r="G32" i="65"/>
  <c r="H17" i="25"/>
  <c r="I17" i="25" s="1"/>
  <c r="H19" i="114"/>
  <c r="I19" i="114" s="1"/>
  <c r="H19" i="113"/>
  <c r="I19" i="113" s="1"/>
  <c r="H19" i="116"/>
  <c r="I19" i="116" s="1"/>
  <c r="G25" i="116"/>
  <c r="H30" i="54"/>
  <c r="I30" i="54" s="1"/>
  <c r="G35" i="54"/>
  <c r="G45" i="54"/>
  <c r="G43" i="54"/>
  <c r="G44" i="54" s="1"/>
  <c r="H42" i="54"/>
  <c r="I42" i="54" s="1"/>
  <c r="H16" i="73"/>
  <c r="I16" i="73" s="1"/>
  <c r="G23" i="73"/>
  <c r="H21" i="66"/>
  <c r="I21" i="66" s="1"/>
  <c r="G32" i="66"/>
  <c r="G25" i="66"/>
  <c r="H23" i="60"/>
  <c r="I23" i="60" s="1"/>
  <c r="H16" i="72"/>
  <c r="I16" i="72" s="1"/>
  <c r="G23" i="72"/>
  <c r="G33" i="69"/>
  <c r="H32" i="69"/>
  <c r="I32" i="69" s="1"/>
  <c r="G35" i="69"/>
  <c r="H19" i="117"/>
  <c r="I19" i="117" s="1"/>
  <c r="H33" i="68"/>
  <c r="I33" i="68" s="1"/>
  <c r="J34" i="68" l="1"/>
  <c r="J33" i="68"/>
  <c r="G30" i="117"/>
  <c r="G29" i="117"/>
  <c r="G42" i="117"/>
  <c r="H25" i="117"/>
  <c r="G47" i="117"/>
  <c r="H23" i="58"/>
  <c r="I23" i="58" s="1"/>
  <c r="H35" i="70"/>
  <c r="I35" i="70" s="1"/>
  <c r="H25" i="66"/>
  <c r="I25" i="66" s="1"/>
  <c r="H34" i="54"/>
  <c r="I34" i="54" s="1"/>
  <c r="F16" i="7"/>
  <c r="I25" i="56"/>
  <c r="G16" i="7" s="1"/>
  <c r="H19" i="47"/>
  <c r="I19" i="47" s="1"/>
  <c r="H44" i="54"/>
  <c r="I44" i="54" s="1"/>
  <c r="G46" i="54"/>
  <c r="H25" i="65"/>
  <c r="I25" i="65" s="1"/>
  <c r="G30" i="61"/>
  <c r="G29" i="61"/>
  <c r="H25" i="61"/>
  <c r="G47" i="61"/>
  <c r="G42" i="61"/>
  <c r="H30" i="115"/>
  <c r="I30" i="115" s="1"/>
  <c r="G35" i="115"/>
  <c r="H19" i="25"/>
  <c r="G21" i="25"/>
  <c r="H50" i="54"/>
  <c r="I50" i="54" s="1"/>
  <c r="G47" i="60"/>
  <c r="H25" i="60"/>
  <c r="G30" i="60"/>
  <c r="G42" i="60"/>
  <c r="G29" i="60"/>
  <c r="G25" i="58"/>
  <c r="G27" i="75"/>
  <c r="G34" i="75"/>
  <c r="H23" i="75"/>
  <c r="H23" i="117"/>
  <c r="I23" i="117" s="1"/>
  <c r="H19" i="64"/>
  <c r="G21" i="64"/>
  <c r="H25" i="67"/>
  <c r="I25" i="67" s="1"/>
  <c r="H34" i="70"/>
  <c r="I34" i="70" s="1"/>
  <c r="G36" i="70"/>
  <c r="J35" i="70" s="1"/>
  <c r="G42" i="59"/>
  <c r="H25" i="59"/>
  <c r="G29" i="59"/>
  <c r="G30" i="59"/>
  <c r="G47" i="59"/>
  <c r="H32" i="66"/>
  <c r="I32" i="66" s="1"/>
  <c r="G33" i="66"/>
  <c r="G34" i="66" s="1"/>
  <c r="G35" i="66"/>
  <c r="H43" i="54"/>
  <c r="I43" i="54" s="1"/>
  <c r="H35" i="54"/>
  <c r="I35" i="54" s="1"/>
  <c r="H25" i="116"/>
  <c r="G42" i="116"/>
  <c r="G30" i="116"/>
  <c r="G29" i="116"/>
  <c r="G47" i="116"/>
  <c r="H23" i="57"/>
  <c r="I23" i="57" s="1"/>
  <c r="G48" i="115"/>
  <c r="H47" i="115"/>
  <c r="I47" i="115" s="1"/>
  <c r="G50" i="115"/>
  <c r="G43" i="56"/>
  <c r="G44" i="56" s="1"/>
  <c r="G45" i="56"/>
  <c r="H42" i="56"/>
  <c r="I42" i="56" s="1"/>
  <c r="H47" i="56"/>
  <c r="I47" i="56" s="1"/>
  <c r="G48" i="56"/>
  <c r="G50" i="56"/>
  <c r="H19" i="46"/>
  <c r="I19" i="46" s="1"/>
  <c r="H23" i="74"/>
  <c r="G34" i="74"/>
  <c r="G27" i="74"/>
  <c r="H32" i="67"/>
  <c r="I32" i="67" s="1"/>
  <c r="G33" i="67"/>
  <c r="G35" i="67"/>
  <c r="G43" i="115"/>
  <c r="G45" i="115"/>
  <c r="H42" i="115"/>
  <c r="I42" i="115" s="1"/>
  <c r="H30" i="56"/>
  <c r="I30" i="56" s="1"/>
  <c r="G35" i="56"/>
  <c r="H19" i="4"/>
  <c r="I19" i="4" s="1"/>
  <c r="G29" i="57"/>
  <c r="H25" i="57"/>
  <c r="G42" i="57"/>
  <c r="G47" i="57"/>
  <c r="G30" i="57"/>
  <c r="G34" i="69"/>
  <c r="H33" i="69"/>
  <c r="I33" i="69" s="1"/>
  <c r="H23" i="73"/>
  <c r="G27" i="73"/>
  <c r="G34" i="73"/>
  <c r="H29" i="115"/>
  <c r="I29" i="115" s="1"/>
  <c r="G34" i="115"/>
  <c r="H25" i="62"/>
  <c r="G47" i="62"/>
  <c r="G42" i="62"/>
  <c r="G29" i="62"/>
  <c r="G30" i="62"/>
  <c r="H35" i="69"/>
  <c r="I35" i="69" s="1"/>
  <c r="H23" i="72"/>
  <c r="G34" i="72"/>
  <c r="G27" i="72"/>
  <c r="H45" i="54"/>
  <c r="I45" i="54" s="1"/>
  <c r="H32" i="65"/>
  <c r="I32" i="65" s="1"/>
  <c r="G33" i="65"/>
  <c r="G35" i="65"/>
  <c r="H23" i="59"/>
  <c r="I23" i="59" s="1"/>
  <c r="I25" i="115"/>
  <c r="G15" i="7" s="1"/>
  <c r="F15" i="7"/>
  <c r="J12" i="68"/>
  <c r="J20" i="68"/>
  <c r="J22" i="68"/>
  <c r="J13" i="68"/>
  <c r="J18" i="68"/>
  <c r="J14" i="68"/>
  <c r="J30" i="68"/>
  <c r="J24" i="68"/>
  <c r="J27" i="68"/>
  <c r="J26" i="68"/>
  <c r="J31" i="68"/>
  <c r="H36" i="68"/>
  <c r="J36" i="68"/>
  <c r="J23" i="68"/>
  <c r="J29" i="68"/>
  <c r="J28" i="68"/>
  <c r="J16" i="68"/>
  <c r="J15" i="68"/>
  <c r="J19" i="68"/>
  <c r="J17" i="68"/>
  <c r="J21" i="68"/>
  <c r="J32" i="68"/>
  <c r="J25" i="68"/>
  <c r="H33" i="70"/>
  <c r="I33" i="70" s="1"/>
  <c r="H29" i="56"/>
  <c r="I29" i="56" s="1"/>
  <c r="G34" i="56"/>
  <c r="H23" i="5"/>
  <c r="G34" i="5"/>
  <c r="G27" i="5"/>
  <c r="G49" i="54"/>
  <c r="H48" i="54"/>
  <c r="I48" i="54" s="1"/>
  <c r="H19" i="112"/>
  <c r="I19" i="112" s="1"/>
  <c r="G34" i="71"/>
  <c r="G27" i="71"/>
  <c r="H23" i="71"/>
  <c r="H19" i="63"/>
  <c r="G21" i="63"/>
  <c r="J33" i="70" l="1"/>
  <c r="J34" i="70"/>
  <c r="G37" i="71"/>
  <c r="H34" i="71"/>
  <c r="I34" i="71" s="1"/>
  <c r="G35" i="71"/>
  <c r="G36" i="71" s="1"/>
  <c r="I25" i="62"/>
  <c r="G24" i="7" s="1"/>
  <c r="F24" i="7"/>
  <c r="G45" i="57"/>
  <c r="H45" i="57" s="1"/>
  <c r="I45" i="57" s="1"/>
  <c r="H42" i="57"/>
  <c r="I42" i="57" s="1"/>
  <c r="G43" i="57"/>
  <c r="H35" i="67"/>
  <c r="I35" i="67" s="1"/>
  <c r="H27" i="74"/>
  <c r="I27" i="74" s="1"/>
  <c r="H50" i="56"/>
  <c r="I50" i="56" s="1"/>
  <c r="G45" i="116"/>
  <c r="H42" i="116"/>
  <c r="I42" i="116" s="1"/>
  <c r="G43" i="116"/>
  <c r="H34" i="66"/>
  <c r="I34" i="66" s="1"/>
  <c r="G36" i="66"/>
  <c r="J35" i="66" s="1"/>
  <c r="F21" i="7"/>
  <c r="I25" i="60"/>
  <c r="G21" i="7" s="1"/>
  <c r="G34" i="61"/>
  <c r="H29" i="61"/>
  <c r="I29" i="61" s="1"/>
  <c r="J44" i="54"/>
  <c r="J18" i="54"/>
  <c r="J33" i="54"/>
  <c r="J32" i="54"/>
  <c r="J38" i="54"/>
  <c r="J37" i="54"/>
  <c r="J14" i="54"/>
  <c r="J27" i="54"/>
  <c r="J22" i="54"/>
  <c r="J31" i="54"/>
  <c r="H46" i="54"/>
  <c r="I46" i="54" s="1"/>
  <c r="J20" i="54"/>
  <c r="J26" i="54"/>
  <c r="J13" i="54"/>
  <c r="J46" i="54"/>
  <c r="J21" i="54"/>
  <c r="J12" i="54"/>
  <c r="J39" i="54"/>
  <c r="J40" i="54"/>
  <c r="J36" i="54"/>
  <c r="J24" i="54"/>
  <c r="J28" i="54"/>
  <c r="J41" i="54"/>
  <c r="J19" i="54"/>
  <c r="J23" i="54"/>
  <c r="J25" i="54"/>
  <c r="J42" i="54"/>
  <c r="J30" i="54"/>
  <c r="J29" i="54"/>
  <c r="J34" i="54"/>
  <c r="F19" i="7"/>
  <c r="I25" i="117"/>
  <c r="G19" i="7" s="1"/>
  <c r="H27" i="5"/>
  <c r="I27" i="5" s="1"/>
  <c r="H37" i="7"/>
  <c r="I36" i="68"/>
  <c r="I37" i="7" s="1"/>
  <c r="H27" i="72"/>
  <c r="I27" i="72" s="1"/>
  <c r="H29" i="62"/>
  <c r="I29" i="62" s="1"/>
  <c r="G34" i="62"/>
  <c r="F17" i="7"/>
  <c r="I25" i="57"/>
  <c r="G17" i="7" s="1"/>
  <c r="H35" i="56"/>
  <c r="I35" i="56" s="1"/>
  <c r="H45" i="115"/>
  <c r="I45" i="115" s="1"/>
  <c r="G34" i="67"/>
  <c r="H33" i="67"/>
  <c r="I33" i="67" s="1"/>
  <c r="G37" i="74"/>
  <c r="G35" i="74"/>
  <c r="H34" i="74"/>
  <c r="I34" i="74" s="1"/>
  <c r="G49" i="56"/>
  <c r="H48" i="56"/>
  <c r="I48" i="56" s="1"/>
  <c r="H50" i="115"/>
  <c r="I50" i="115" s="1"/>
  <c r="H47" i="116"/>
  <c r="I47" i="116" s="1"/>
  <c r="G50" i="116"/>
  <c r="G48" i="116"/>
  <c r="G49" i="116" s="1"/>
  <c r="F23" i="7"/>
  <c r="I25" i="116"/>
  <c r="G23" i="7" s="1"/>
  <c r="J43" i="54"/>
  <c r="H35" i="66"/>
  <c r="I35" i="66" s="1"/>
  <c r="F20" i="7"/>
  <c r="I25" i="59"/>
  <c r="G20" i="7" s="1"/>
  <c r="G25" i="64"/>
  <c r="H21" i="64"/>
  <c r="I21" i="64" s="1"/>
  <c r="G32" i="64"/>
  <c r="H27" i="75"/>
  <c r="I27" i="75" s="1"/>
  <c r="H29" i="60"/>
  <c r="I29" i="60" s="1"/>
  <c r="G34" i="60"/>
  <c r="G50" i="60"/>
  <c r="G48" i="60"/>
  <c r="H47" i="60"/>
  <c r="I47" i="60" s="1"/>
  <c r="G25" i="25"/>
  <c r="H21" i="25"/>
  <c r="I21" i="25" s="1"/>
  <c r="G32" i="25"/>
  <c r="H35" i="115"/>
  <c r="I35" i="115" s="1"/>
  <c r="G45" i="61"/>
  <c r="G43" i="61"/>
  <c r="G44" i="61" s="1"/>
  <c r="H42" i="61"/>
  <c r="I42" i="61" s="1"/>
  <c r="G35" i="61"/>
  <c r="H30" i="61"/>
  <c r="I30" i="61" s="1"/>
  <c r="G45" i="117"/>
  <c r="H42" i="117"/>
  <c r="I42" i="117" s="1"/>
  <c r="G43" i="117"/>
  <c r="I23" i="71"/>
  <c r="G26" i="7" s="1"/>
  <c r="F26" i="7"/>
  <c r="G37" i="5"/>
  <c r="H34" i="5"/>
  <c r="I34" i="5" s="1"/>
  <c r="G35" i="5"/>
  <c r="H34" i="56"/>
  <c r="I34" i="56" s="1"/>
  <c r="J45" i="54"/>
  <c r="G37" i="72"/>
  <c r="H34" i="72"/>
  <c r="I34" i="72" s="1"/>
  <c r="G35" i="72"/>
  <c r="G43" i="62"/>
  <c r="G44" i="62" s="1"/>
  <c r="G45" i="62"/>
  <c r="H42" i="62"/>
  <c r="I42" i="62" s="1"/>
  <c r="H34" i="73"/>
  <c r="I34" i="73" s="1"/>
  <c r="G37" i="73"/>
  <c r="G35" i="73"/>
  <c r="H30" i="57"/>
  <c r="I30" i="57" s="1"/>
  <c r="G35" i="57"/>
  <c r="H29" i="57"/>
  <c r="I29" i="57" s="1"/>
  <c r="G34" i="57"/>
  <c r="G44" i="115"/>
  <c r="H43" i="115"/>
  <c r="I43" i="115" s="1"/>
  <c r="I23" i="74"/>
  <c r="G29" i="7" s="1"/>
  <c r="F29" i="7"/>
  <c r="H45" i="56"/>
  <c r="I45" i="56" s="1"/>
  <c r="H29" i="116"/>
  <c r="I29" i="116" s="1"/>
  <c r="G34" i="116"/>
  <c r="J35" i="54"/>
  <c r="H33" i="66"/>
  <c r="I33" i="66" s="1"/>
  <c r="G50" i="59"/>
  <c r="G48" i="59"/>
  <c r="H47" i="59"/>
  <c r="I47" i="59" s="1"/>
  <c r="G43" i="59"/>
  <c r="H42" i="59"/>
  <c r="I42" i="59" s="1"/>
  <c r="G45" i="59"/>
  <c r="I19" i="64"/>
  <c r="G33" i="7" s="1"/>
  <c r="F33" i="7"/>
  <c r="G30" i="58"/>
  <c r="G47" i="58"/>
  <c r="G29" i="58"/>
  <c r="G42" i="58"/>
  <c r="H25" i="58"/>
  <c r="G43" i="60"/>
  <c r="G45" i="60"/>
  <c r="H42" i="60"/>
  <c r="I42" i="60" s="1"/>
  <c r="I19" i="25"/>
  <c r="G31" i="7" s="1"/>
  <c r="F31" i="7"/>
  <c r="G48" i="61"/>
  <c r="G49" i="61" s="1"/>
  <c r="H47" i="61"/>
  <c r="I47" i="61" s="1"/>
  <c r="G50" i="61"/>
  <c r="G34" i="117"/>
  <c r="H29" i="117"/>
  <c r="I29" i="117" s="1"/>
  <c r="F23" i="113"/>
  <c r="G23" i="113" s="1"/>
  <c r="F23" i="49"/>
  <c r="G23" i="49" s="1"/>
  <c r="F23" i="48"/>
  <c r="G23" i="48" s="1"/>
  <c r="F23" i="50"/>
  <c r="G23" i="50" s="1"/>
  <c r="F32" i="7"/>
  <c r="I19" i="63"/>
  <c r="G32" i="7" s="1"/>
  <c r="G34" i="65"/>
  <c r="H33" i="65"/>
  <c r="I33" i="65" s="1"/>
  <c r="H30" i="62"/>
  <c r="I30" i="62" s="1"/>
  <c r="G35" i="62"/>
  <c r="F28" i="7"/>
  <c r="I23" i="73"/>
  <c r="G28" i="7" s="1"/>
  <c r="H44" i="56"/>
  <c r="I44" i="56" s="1"/>
  <c r="G46" i="56"/>
  <c r="G34" i="59"/>
  <c r="H29" i="59"/>
  <c r="I29" i="59" s="1"/>
  <c r="H34" i="75"/>
  <c r="I34" i="75" s="1"/>
  <c r="G35" i="75"/>
  <c r="G36" i="75" s="1"/>
  <c r="G37" i="75"/>
  <c r="F23" i="114"/>
  <c r="G23" i="114" s="1"/>
  <c r="F23" i="52"/>
  <c r="G23" i="52" s="1"/>
  <c r="F23" i="53"/>
  <c r="G23" i="53" s="1"/>
  <c r="F23" i="51"/>
  <c r="G23" i="51" s="1"/>
  <c r="H21" i="63"/>
  <c r="I21" i="63" s="1"/>
  <c r="G32" i="63"/>
  <c r="G25" i="63"/>
  <c r="H27" i="71"/>
  <c r="I27" i="71" s="1"/>
  <c r="H49" i="54"/>
  <c r="I49" i="54" s="1"/>
  <c r="G51" i="54"/>
  <c r="K49" i="54" s="1"/>
  <c r="F25" i="7"/>
  <c r="I23" i="5"/>
  <c r="G25" i="7" s="1"/>
  <c r="H35" i="65"/>
  <c r="I35" i="65" s="1"/>
  <c r="I23" i="72"/>
  <c r="G27" i="7" s="1"/>
  <c r="F27" i="7"/>
  <c r="H47" i="62"/>
  <c r="I47" i="62" s="1"/>
  <c r="G50" i="62"/>
  <c r="G48" i="62"/>
  <c r="G49" i="62" s="1"/>
  <c r="H34" i="115"/>
  <c r="I34" i="115" s="1"/>
  <c r="H27" i="73"/>
  <c r="I27" i="73" s="1"/>
  <c r="H34" i="69"/>
  <c r="I34" i="69" s="1"/>
  <c r="G36" i="69"/>
  <c r="G50" i="57"/>
  <c r="H47" i="57"/>
  <c r="I47" i="57" s="1"/>
  <c r="G48" i="57"/>
  <c r="G49" i="57" s="1"/>
  <c r="H43" i="56"/>
  <c r="I43" i="56" s="1"/>
  <c r="J43" i="56"/>
  <c r="G49" i="115"/>
  <c r="H48" i="115"/>
  <c r="I48" i="115" s="1"/>
  <c r="H30" i="116"/>
  <c r="I30" i="116" s="1"/>
  <c r="G35" i="116"/>
  <c r="G35" i="59"/>
  <c r="H30" i="59"/>
  <c r="I30" i="59" s="1"/>
  <c r="J29" i="70"/>
  <c r="J13" i="70"/>
  <c r="J22" i="70"/>
  <c r="J24" i="70"/>
  <c r="J16" i="70"/>
  <c r="J28" i="70"/>
  <c r="J14" i="70"/>
  <c r="J36" i="70"/>
  <c r="J18" i="70"/>
  <c r="J12" i="70"/>
  <c r="J20" i="70"/>
  <c r="H36" i="70"/>
  <c r="J26" i="70"/>
  <c r="J31" i="70"/>
  <c r="J30" i="70"/>
  <c r="J23" i="70"/>
  <c r="J27" i="70"/>
  <c r="J15" i="70"/>
  <c r="J17" i="70"/>
  <c r="J19" i="70"/>
  <c r="J21" i="70"/>
  <c r="J25" i="70"/>
  <c r="J32" i="70"/>
  <c r="F30" i="7"/>
  <c r="I23" i="75"/>
  <c r="G30" i="7" s="1"/>
  <c r="H30" i="60"/>
  <c r="I30" i="60" s="1"/>
  <c r="G35" i="60"/>
  <c r="F22" i="7"/>
  <c r="I25" i="61"/>
  <c r="G22" i="7" s="1"/>
  <c r="G50" i="117"/>
  <c r="G48" i="117"/>
  <c r="H47" i="117"/>
  <c r="I47" i="117" s="1"/>
  <c r="H30" i="117"/>
  <c r="I30" i="117" s="1"/>
  <c r="G35" i="117"/>
  <c r="H49" i="57" l="1"/>
  <c r="I49" i="57" s="1"/>
  <c r="G51" i="57"/>
  <c r="K50" i="57" s="1"/>
  <c r="G46" i="62"/>
  <c r="J35" i="62" s="1"/>
  <c r="H44" i="62"/>
  <c r="I44" i="62" s="1"/>
  <c r="H49" i="62"/>
  <c r="I49" i="62" s="1"/>
  <c r="G51" i="62"/>
  <c r="K34" i="62" s="1"/>
  <c r="F23" i="112"/>
  <c r="G23" i="112" s="1"/>
  <c r="F23" i="46"/>
  <c r="G23" i="46" s="1"/>
  <c r="F23" i="4"/>
  <c r="G23" i="4" s="1"/>
  <c r="F23" i="47"/>
  <c r="G23" i="47" s="1"/>
  <c r="H35" i="59"/>
  <c r="I35" i="59" s="1"/>
  <c r="H23" i="114"/>
  <c r="I23" i="114" s="1"/>
  <c r="G25" i="114"/>
  <c r="G38" i="75"/>
  <c r="J37" i="75" s="1"/>
  <c r="H36" i="75"/>
  <c r="I36" i="75" s="1"/>
  <c r="H23" i="48"/>
  <c r="I23" i="48" s="1"/>
  <c r="G25" i="48"/>
  <c r="G51" i="61"/>
  <c r="K49" i="61" s="1"/>
  <c r="H49" i="61"/>
  <c r="I49" i="61" s="1"/>
  <c r="H45" i="60"/>
  <c r="I45" i="60" s="1"/>
  <c r="H30" i="58"/>
  <c r="I30" i="58" s="1"/>
  <c r="G35" i="58"/>
  <c r="H45" i="61"/>
  <c r="I45" i="61" s="1"/>
  <c r="G36" i="74"/>
  <c r="H35" i="74"/>
  <c r="I35" i="74" s="1"/>
  <c r="H34" i="67"/>
  <c r="I34" i="67" s="1"/>
  <c r="G36" i="67"/>
  <c r="J34" i="66"/>
  <c r="J12" i="66"/>
  <c r="J29" i="66"/>
  <c r="J28" i="66"/>
  <c r="J27" i="66"/>
  <c r="J30" i="66"/>
  <c r="J22" i="66"/>
  <c r="J14" i="66"/>
  <c r="J18" i="66"/>
  <c r="J31" i="66"/>
  <c r="J13" i="66"/>
  <c r="J24" i="66"/>
  <c r="H36" i="66"/>
  <c r="J16" i="66"/>
  <c r="J26" i="66"/>
  <c r="J36" i="66"/>
  <c r="J23" i="66"/>
  <c r="J20" i="66"/>
  <c r="J17" i="66"/>
  <c r="J15" i="66"/>
  <c r="J19" i="66"/>
  <c r="J21" i="66"/>
  <c r="J32" i="66"/>
  <c r="J25" i="66"/>
  <c r="H43" i="116"/>
  <c r="I43" i="116" s="1"/>
  <c r="H50" i="117"/>
  <c r="I50" i="117" s="1"/>
  <c r="H39" i="7"/>
  <c r="I36" i="70"/>
  <c r="I39" i="7" s="1"/>
  <c r="K34" i="54"/>
  <c r="K40" i="54"/>
  <c r="K22" i="54"/>
  <c r="K38" i="54"/>
  <c r="K39" i="54"/>
  <c r="K31" i="54"/>
  <c r="K28" i="54"/>
  <c r="K17" i="54"/>
  <c r="K27" i="54"/>
  <c r="K36" i="54"/>
  <c r="H51" i="54"/>
  <c r="K24" i="54"/>
  <c r="K26" i="54"/>
  <c r="K33" i="54"/>
  <c r="K21" i="54"/>
  <c r="K18" i="54"/>
  <c r="K37" i="54"/>
  <c r="K51" i="54"/>
  <c r="K16" i="54"/>
  <c r="K15" i="54"/>
  <c r="K41" i="54"/>
  <c r="K20" i="54"/>
  <c r="K32" i="54"/>
  <c r="K19" i="54"/>
  <c r="K23" i="54"/>
  <c r="K25" i="54"/>
  <c r="K29" i="54"/>
  <c r="K30" i="54"/>
  <c r="K47" i="54"/>
  <c r="K35" i="54"/>
  <c r="K50" i="54"/>
  <c r="K48" i="54"/>
  <c r="H34" i="59"/>
  <c r="I34" i="59" s="1"/>
  <c r="H50" i="61"/>
  <c r="I50" i="61" s="1"/>
  <c r="K50" i="61"/>
  <c r="G45" i="58"/>
  <c r="H42" i="58"/>
  <c r="I42" i="58" s="1"/>
  <c r="G43" i="58"/>
  <c r="G49" i="59"/>
  <c r="H48" i="59"/>
  <c r="I48" i="59" s="1"/>
  <c r="H32" i="25"/>
  <c r="I32" i="25" s="1"/>
  <c r="G35" i="25"/>
  <c r="G33" i="25"/>
  <c r="H49" i="56"/>
  <c r="I49" i="56" s="1"/>
  <c r="G51" i="56"/>
  <c r="H34" i="61"/>
  <c r="I34" i="61" s="1"/>
  <c r="K34" i="61"/>
  <c r="H35" i="71"/>
  <c r="I35" i="71" s="1"/>
  <c r="H35" i="60"/>
  <c r="I35" i="60" s="1"/>
  <c r="G51" i="115"/>
  <c r="K49" i="115" s="1"/>
  <c r="H49" i="115"/>
  <c r="I49" i="115" s="1"/>
  <c r="J34" i="69"/>
  <c r="J12" i="69"/>
  <c r="J23" i="69"/>
  <c r="J28" i="69"/>
  <c r="J14" i="69"/>
  <c r="J26" i="69"/>
  <c r="J22" i="69"/>
  <c r="J30" i="69"/>
  <c r="J18" i="69"/>
  <c r="J20" i="69"/>
  <c r="J27" i="69"/>
  <c r="J36" i="69"/>
  <c r="J31" i="69"/>
  <c r="J16" i="69"/>
  <c r="J13" i="69"/>
  <c r="J24" i="69"/>
  <c r="H36" i="69"/>
  <c r="J29" i="69"/>
  <c r="J15" i="69"/>
  <c r="J17" i="69"/>
  <c r="J19" i="69"/>
  <c r="J21" i="69"/>
  <c r="J32" i="69"/>
  <c r="J25" i="69"/>
  <c r="J33" i="69"/>
  <c r="J35" i="69"/>
  <c r="H25" i="63"/>
  <c r="I25" i="63" s="1"/>
  <c r="H23" i="53"/>
  <c r="I23" i="53" s="1"/>
  <c r="G25" i="53"/>
  <c r="H37" i="75"/>
  <c r="I37" i="75" s="1"/>
  <c r="J44" i="56"/>
  <c r="J18" i="56"/>
  <c r="J33" i="56"/>
  <c r="J22" i="56"/>
  <c r="J36" i="56"/>
  <c r="J32" i="56"/>
  <c r="J13" i="56"/>
  <c r="J27" i="56"/>
  <c r="H46" i="56"/>
  <c r="I46" i="56" s="1"/>
  <c r="J20" i="56"/>
  <c r="J12" i="56"/>
  <c r="J26" i="56"/>
  <c r="J37" i="56"/>
  <c r="J14" i="56"/>
  <c r="J31" i="56"/>
  <c r="J41" i="56"/>
  <c r="J28" i="56"/>
  <c r="J40" i="56"/>
  <c r="J24" i="56"/>
  <c r="J39" i="56"/>
  <c r="J46" i="56"/>
  <c r="J38" i="56"/>
  <c r="J21" i="56"/>
  <c r="J19" i="56"/>
  <c r="J23" i="56"/>
  <c r="J25" i="56"/>
  <c r="J42" i="56"/>
  <c r="J30" i="56"/>
  <c r="J29" i="56"/>
  <c r="H23" i="113"/>
  <c r="I23" i="113" s="1"/>
  <c r="G25" i="113"/>
  <c r="H34" i="117"/>
  <c r="I34" i="117" s="1"/>
  <c r="H29" i="58"/>
  <c r="I29" i="58" s="1"/>
  <c r="G34" i="58"/>
  <c r="G44" i="59"/>
  <c r="H43" i="59"/>
  <c r="I43" i="59" s="1"/>
  <c r="H50" i="59"/>
  <c r="I50" i="59" s="1"/>
  <c r="J45" i="56"/>
  <c r="G36" i="73"/>
  <c r="H35" i="73"/>
  <c r="I35" i="73" s="1"/>
  <c r="G49" i="60"/>
  <c r="H48" i="60"/>
  <c r="I48" i="60" s="1"/>
  <c r="H34" i="60"/>
  <c r="I34" i="60" s="1"/>
  <c r="G51" i="116"/>
  <c r="K48" i="116" s="1"/>
  <c r="H49" i="116"/>
  <c r="I49" i="116" s="1"/>
  <c r="H34" i="62"/>
  <c r="I34" i="62" s="1"/>
  <c r="H45" i="116"/>
  <c r="I45" i="116" s="1"/>
  <c r="G44" i="57"/>
  <c r="H43" i="57"/>
  <c r="I43" i="57" s="1"/>
  <c r="H35" i="117"/>
  <c r="I35" i="117" s="1"/>
  <c r="G49" i="117"/>
  <c r="H48" i="117"/>
  <c r="I48" i="117" s="1"/>
  <c r="H50" i="62"/>
  <c r="I50" i="62" s="1"/>
  <c r="H35" i="62"/>
  <c r="I35" i="62" s="1"/>
  <c r="G36" i="65"/>
  <c r="H34" i="65"/>
  <c r="I34" i="65" s="1"/>
  <c r="I25" i="58"/>
  <c r="G18" i="7" s="1"/>
  <c r="F18" i="7"/>
  <c r="H45" i="59"/>
  <c r="I45" i="59" s="1"/>
  <c r="H34" i="116"/>
  <c r="I34" i="116" s="1"/>
  <c r="G46" i="115"/>
  <c r="H44" i="115"/>
  <c r="I44" i="115" s="1"/>
  <c r="H45" i="62"/>
  <c r="I45" i="62" s="1"/>
  <c r="H50" i="116"/>
  <c r="I50" i="116" s="1"/>
  <c r="H36" i="71"/>
  <c r="I36" i="71" s="1"/>
  <c r="G38" i="71"/>
  <c r="H50" i="57"/>
  <c r="I50" i="57" s="1"/>
  <c r="H23" i="51"/>
  <c r="I23" i="51" s="1"/>
  <c r="G25" i="51"/>
  <c r="H23" i="49"/>
  <c r="I23" i="49" s="1"/>
  <c r="G25" i="49"/>
  <c r="G44" i="60"/>
  <c r="H43" i="60"/>
  <c r="I43" i="60" s="1"/>
  <c r="H43" i="62"/>
  <c r="I43" i="62" s="1"/>
  <c r="H37" i="72"/>
  <c r="I37" i="72" s="1"/>
  <c r="H37" i="5"/>
  <c r="I37" i="5" s="1"/>
  <c r="G44" i="117"/>
  <c r="H43" i="117"/>
  <c r="I43" i="117" s="1"/>
  <c r="G46" i="61"/>
  <c r="J43" i="61" s="1"/>
  <c r="H44" i="61"/>
  <c r="I44" i="61" s="1"/>
  <c r="H25" i="64"/>
  <c r="I25" i="64" s="1"/>
  <c r="H37" i="74"/>
  <c r="I37" i="74" s="1"/>
  <c r="H35" i="116"/>
  <c r="I35" i="116" s="1"/>
  <c r="H48" i="57"/>
  <c r="I48" i="57" s="1"/>
  <c r="H48" i="62"/>
  <c r="I48" i="62" s="1"/>
  <c r="G35" i="63"/>
  <c r="H32" i="63"/>
  <c r="I32" i="63" s="1"/>
  <c r="G33" i="63"/>
  <c r="G34" i="63" s="1"/>
  <c r="H23" i="52"/>
  <c r="I23" i="52" s="1"/>
  <c r="G25" i="52"/>
  <c r="H35" i="75"/>
  <c r="I35" i="75" s="1"/>
  <c r="H23" i="50"/>
  <c r="I23" i="50" s="1"/>
  <c r="G25" i="50"/>
  <c r="H48" i="61"/>
  <c r="I48" i="61" s="1"/>
  <c r="G50" i="58"/>
  <c r="H47" i="58"/>
  <c r="I47" i="58" s="1"/>
  <c r="G48" i="58"/>
  <c r="G49" i="58" s="1"/>
  <c r="J33" i="66"/>
  <c r="H34" i="57"/>
  <c r="I34" i="57" s="1"/>
  <c r="H35" i="57"/>
  <c r="I35" i="57" s="1"/>
  <c r="H37" i="73"/>
  <c r="I37" i="73" s="1"/>
  <c r="G36" i="72"/>
  <c r="H35" i="72"/>
  <c r="I35" i="72" s="1"/>
  <c r="J34" i="56"/>
  <c r="G36" i="5"/>
  <c r="H35" i="5"/>
  <c r="I35" i="5" s="1"/>
  <c r="H45" i="117"/>
  <c r="I45" i="117" s="1"/>
  <c r="H35" i="61"/>
  <c r="I35" i="61" s="1"/>
  <c r="H43" i="61"/>
  <c r="I43" i="61" s="1"/>
  <c r="H25" i="25"/>
  <c r="I25" i="25" s="1"/>
  <c r="H50" i="60"/>
  <c r="I50" i="60" s="1"/>
  <c r="G33" i="64"/>
  <c r="G34" i="64" s="1"/>
  <c r="H32" i="64"/>
  <c r="I32" i="64" s="1"/>
  <c r="G35" i="64"/>
  <c r="H48" i="116"/>
  <c r="I48" i="116" s="1"/>
  <c r="J35" i="56"/>
  <c r="G44" i="116"/>
  <c r="H37" i="71"/>
  <c r="I37" i="71" s="1"/>
  <c r="K34" i="57" l="1"/>
  <c r="K48" i="57"/>
  <c r="K49" i="62"/>
  <c r="K35" i="57"/>
  <c r="J43" i="62"/>
  <c r="J45" i="62"/>
  <c r="K48" i="61"/>
  <c r="K35" i="116"/>
  <c r="K35" i="62"/>
  <c r="K34" i="116"/>
  <c r="J35" i="75"/>
  <c r="K48" i="62"/>
  <c r="K50" i="62"/>
  <c r="G38" i="72"/>
  <c r="H36" i="72"/>
  <c r="I36" i="72" s="1"/>
  <c r="G36" i="63"/>
  <c r="J33" i="63" s="1"/>
  <c r="H34" i="63"/>
  <c r="I34" i="63" s="1"/>
  <c r="G46" i="60"/>
  <c r="J44" i="60" s="1"/>
  <c r="H44" i="60"/>
  <c r="I44" i="60" s="1"/>
  <c r="J34" i="65"/>
  <c r="J30" i="65"/>
  <c r="J13" i="65"/>
  <c r="J26" i="65"/>
  <c r="J27" i="65"/>
  <c r="J22" i="65"/>
  <c r="J12" i="65"/>
  <c r="H36" i="65"/>
  <c r="J36" i="65"/>
  <c r="J20" i="65"/>
  <c r="J23" i="65"/>
  <c r="J28" i="65"/>
  <c r="J18" i="65"/>
  <c r="J29" i="65"/>
  <c r="J14" i="65"/>
  <c r="J31" i="65"/>
  <c r="J24" i="65"/>
  <c r="J16" i="65"/>
  <c r="J17" i="65"/>
  <c r="J15" i="65"/>
  <c r="J19" i="65"/>
  <c r="J21" i="65"/>
  <c r="J25" i="65"/>
  <c r="J32" i="65"/>
  <c r="J33" i="65"/>
  <c r="J35" i="65"/>
  <c r="H49" i="60"/>
  <c r="I49" i="60" s="1"/>
  <c r="G51" i="60"/>
  <c r="G42" i="53"/>
  <c r="G30" i="53"/>
  <c r="H25" i="53"/>
  <c r="G47" i="53"/>
  <c r="G29" i="53"/>
  <c r="J26" i="67"/>
  <c r="J29" i="67"/>
  <c r="J20" i="67"/>
  <c r="J16" i="67"/>
  <c r="J28" i="67"/>
  <c r="J30" i="67"/>
  <c r="J14" i="67"/>
  <c r="H36" i="67"/>
  <c r="J18" i="67"/>
  <c r="J24" i="67"/>
  <c r="J23" i="67"/>
  <c r="J12" i="67"/>
  <c r="J31" i="67"/>
  <c r="J22" i="67"/>
  <c r="J36" i="67"/>
  <c r="J13" i="67"/>
  <c r="J27" i="67"/>
  <c r="J17" i="67"/>
  <c r="J15" i="67"/>
  <c r="J19" i="67"/>
  <c r="J21" i="67"/>
  <c r="J32" i="67"/>
  <c r="J25" i="67"/>
  <c r="J35" i="67"/>
  <c r="J33" i="67"/>
  <c r="H23" i="112"/>
  <c r="I23" i="112" s="1"/>
  <c r="G25" i="112"/>
  <c r="G51" i="58"/>
  <c r="K50" i="58" s="1"/>
  <c r="H49" i="58"/>
  <c r="I49" i="58" s="1"/>
  <c r="J38" i="61"/>
  <c r="J31" i="61"/>
  <c r="J28" i="61"/>
  <c r="J39" i="61"/>
  <c r="J13" i="61"/>
  <c r="J14" i="61"/>
  <c r="J32" i="61"/>
  <c r="J33" i="61"/>
  <c r="J22" i="61"/>
  <c r="J27" i="61"/>
  <c r="J41" i="61"/>
  <c r="J40" i="61"/>
  <c r="J18" i="61"/>
  <c r="J12" i="61"/>
  <c r="J46" i="61"/>
  <c r="H46" i="61"/>
  <c r="I46" i="61" s="1"/>
  <c r="J21" i="61"/>
  <c r="J20" i="61"/>
  <c r="J26" i="61"/>
  <c r="J37" i="61"/>
  <c r="J36" i="61"/>
  <c r="J24" i="61"/>
  <c r="J23" i="61"/>
  <c r="J19" i="61"/>
  <c r="J25" i="61"/>
  <c r="J30" i="61"/>
  <c r="J29" i="61"/>
  <c r="J42" i="61"/>
  <c r="G29" i="51"/>
  <c r="G42" i="51"/>
  <c r="G30" i="51"/>
  <c r="H25" i="51"/>
  <c r="G47" i="51"/>
  <c r="K20" i="116"/>
  <c r="K32" i="116"/>
  <c r="K26" i="116"/>
  <c r="K16" i="116"/>
  <c r="K21" i="116"/>
  <c r="K18" i="116"/>
  <c r="K37" i="116"/>
  <c r="K22" i="116"/>
  <c r="K15" i="116"/>
  <c r="H51" i="116"/>
  <c r="K24" i="116"/>
  <c r="K27" i="116"/>
  <c r="K38" i="116"/>
  <c r="K31" i="116"/>
  <c r="K41" i="116"/>
  <c r="K40" i="116"/>
  <c r="K36" i="116"/>
  <c r="K28" i="116"/>
  <c r="K39" i="116"/>
  <c r="K33" i="116"/>
  <c r="K51" i="116"/>
  <c r="K17" i="116"/>
  <c r="K23" i="116"/>
  <c r="K19" i="116"/>
  <c r="K25" i="116"/>
  <c r="K29" i="116"/>
  <c r="K47" i="116"/>
  <c r="K30" i="116"/>
  <c r="H44" i="59"/>
  <c r="I44" i="59" s="1"/>
  <c r="G46" i="59"/>
  <c r="G30" i="113"/>
  <c r="H25" i="113"/>
  <c r="G42" i="113"/>
  <c r="G47" i="113"/>
  <c r="G29" i="113"/>
  <c r="G44" i="58"/>
  <c r="H43" i="58"/>
  <c r="I43" i="58" s="1"/>
  <c r="J45" i="61"/>
  <c r="J44" i="62"/>
  <c r="J26" i="62"/>
  <c r="J27" i="62"/>
  <c r="J36" i="62"/>
  <c r="J12" i="62"/>
  <c r="J39" i="62"/>
  <c r="J46" i="62"/>
  <c r="J32" i="62"/>
  <c r="J40" i="62"/>
  <c r="J31" i="62"/>
  <c r="J28" i="62"/>
  <c r="J37" i="62"/>
  <c r="J18" i="62"/>
  <c r="J22" i="62"/>
  <c r="H46" i="62"/>
  <c r="I46" i="62" s="1"/>
  <c r="J13" i="62"/>
  <c r="J41" i="62"/>
  <c r="J21" i="62"/>
  <c r="J33" i="62"/>
  <c r="J38" i="62"/>
  <c r="J14" i="62"/>
  <c r="J20" i="62"/>
  <c r="J24" i="62"/>
  <c r="J19" i="62"/>
  <c r="J23" i="62"/>
  <c r="J25" i="62"/>
  <c r="J30" i="62"/>
  <c r="J42" i="62"/>
  <c r="J29" i="62"/>
  <c r="J35" i="61"/>
  <c r="H50" i="58"/>
  <c r="I50" i="58" s="1"/>
  <c r="K50" i="116"/>
  <c r="G46" i="57"/>
  <c r="J44" i="57" s="1"/>
  <c r="H44" i="57"/>
  <c r="I44" i="57" s="1"/>
  <c r="J34" i="62"/>
  <c r="K49" i="116"/>
  <c r="K48" i="115"/>
  <c r="K36" i="115"/>
  <c r="K40" i="115"/>
  <c r="K33" i="115"/>
  <c r="K41" i="115"/>
  <c r="H51" i="115"/>
  <c r="K24" i="115"/>
  <c r="K28" i="115"/>
  <c r="K51" i="115"/>
  <c r="K27" i="115"/>
  <c r="K31" i="115"/>
  <c r="K18" i="115"/>
  <c r="K16" i="115"/>
  <c r="K38" i="115"/>
  <c r="K17" i="115"/>
  <c r="K26" i="115"/>
  <c r="K22" i="115"/>
  <c r="K20" i="115"/>
  <c r="K32" i="115"/>
  <c r="K37" i="115"/>
  <c r="K21" i="115"/>
  <c r="K39" i="115"/>
  <c r="K15" i="115"/>
  <c r="K19" i="115"/>
  <c r="K23" i="115"/>
  <c r="K25" i="115"/>
  <c r="K47" i="115"/>
  <c r="K29" i="115"/>
  <c r="K30" i="115"/>
  <c r="K34" i="115"/>
  <c r="K50" i="115"/>
  <c r="K35" i="115"/>
  <c r="K48" i="56"/>
  <c r="K28" i="56"/>
  <c r="K16" i="56"/>
  <c r="K15" i="56"/>
  <c r="K20" i="56"/>
  <c r="K17" i="56"/>
  <c r="H51" i="56"/>
  <c r="K51" i="56"/>
  <c r="K18" i="56"/>
  <c r="K26" i="56"/>
  <c r="K33" i="56"/>
  <c r="K41" i="56"/>
  <c r="K27" i="56"/>
  <c r="K37" i="56"/>
  <c r="K40" i="56"/>
  <c r="K31" i="56"/>
  <c r="K21" i="56"/>
  <c r="K32" i="56"/>
  <c r="K36" i="56"/>
  <c r="K39" i="56"/>
  <c r="K22" i="56"/>
  <c r="K24" i="56"/>
  <c r="K38" i="56"/>
  <c r="K19" i="56"/>
  <c r="K23" i="56"/>
  <c r="K25" i="56"/>
  <c r="K47" i="56"/>
  <c r="K29" i="56"/>
  <c r="K30" i="56"/>
  <c r="K35" i="56"/>
  <c r="K50" i="56"/>
  <c r="K34" i="56"/>
  <c r="G34" i="25"/>
  <c r="H33" i="25"/>
  <c r="I33" i="25" s="1"/>
  <c r="H14" i="7"/>
  <c r="I51" i="54"/>
  <c r="I14" i="7" s="1"/>
  <c r="H35" i="7"/>
  <c r="I36" i="66"/>
  <c r="I35" i="7" s="1"/>
  <c r="H25" i="114"/>
  <c r="G42" i="114"/>
  <c r="G29" i="114"/>
  <c r="G30" i="114"/>
  <c r="G47" i="114"/>
  <c r="H23" i="4"/>
  <c r="I23" i="4" s="1"/>
  <c r="G25" i="4"/>
  <c r="K40" i="62"/>
  <c r="K39" i="62"/>
  <c r="K38" i="62"/>
  <c r="K28" i="62"/>
  <c r="H51" i="62"/>
  <c r="K36" i="62"/>
  <c r="K20" i="62"/>
  <c r="K17" i="62"/>
  <c r="K31" i="62"/>
  <c r="K32" i="62"/>
  <c r="K21" i="62"/>
  <c r="K18" i="62"/>
  <c r="K15" i="62"/>
  <c r="K37" i="62"/>
  <c r="K27" i="62"/>
  <c r="K22" i="62"/>
  <c r="K24" i="62"/>
  <c r="K33" i="62"/>
  <c r="K51" i="62"/>
  <c r="K41" i="62"/>
  <c r="K16" i="62"/>
  <c r="K26" i="62"/>
  <c r="K23" i="62"/>
  <c r="K19" i="62"/>
  <c r="K25" i="62"/>
  <c r="K30" i="62"/>
  <c r="K47" i="62"/>
  <c r="K29" i="62"/>
  <c r="K49" i="57"/>
  <c r="K22" i="57"/>
  <c r="K26" i="57"/>
  <c r="K33" i="57"/>
  <c r="K31" i="57"/>
  <c r="K15" i="57"/>
  <c r="K32" i="57"/>
  <c r="K51" i="57"/>
  <c r="H51" i="57"/>
  <c r="K17" i="57"/>
  <c r="K40" i="57"/>
  <c r="K28" i="57"/>
  <c r="K41" i="57"/>
  <c r="K20" i="57"/>
  <c r="K18" i="57"/>
  <c r="K36" i="57"/>
  <c r="K24" i="57"/>
  <c r="K37" i="57"/>
  <c r="K16" i="57"/>
  <c r="K38" i="57"/>
  <c r="K39" i="57"/>
  <c r="K27" i="57"/>
  <c r="K21" i="57"/>
  <c r="K19" i="57"/>
  <c r="K25" i="57"/>
  <c r="K23" i="57"/>
  <c r="K29" i="57"/>
  <c r="K30" i="57"/>
  <c r="K47" i="57"/>
  <c r="H34" i="64"/>
  <c r="I34" i="64" s="1"/>
  <c r="G36" i="64"/>
  <c r="H36" i="5"/>
  <c r="I36" i="5" s="1"/>
  <c r="G38" i="5"/>
  <c r="J38" i="71"/>
  <c r="J29" i="71"/>
  <c r="H38" i="71"/>
  <c r="J25" i="71"/>
  <c r="J21" i="71"/>
  <c r="J30" i="71"/>
  <c r="J20" i="71"/>
  <c r="J15" i="71"/>
  <c r="J33" i="71"/>
  <c r="J24" i="71"/>
  <c r="J19" i="71"/>
  <c r="J13" i="71"/>
  <c r="J14" i="71"/>
  <c r="J22" i="71"/>
  <c r="J28" i="71"/>
  <c r="J18" i="71"/>
  <c r="J17" i="71"/>
  <c r="J31" i="71"/>
  <c r="J26" i="71"/>
  <c r="J32" i="71"/>
  <c r="J16" i="71"/>
  <c r="J23" i="71"/>
  <c r="J34" i="71"/>
  <c r="J27" i="71"/>
  <c r="H49" i="117"/>
  <c r="I49" i="117" s="1"/>
  <c r="G51" i="117"/>
  <c r="H34" i="58"/>
  <c r="I34" i="58" s="1"/>
  <c r="H36" i="74"/>
  <c r="I36" i="74" s="1"/>
  <c r="G38" i="74"/>
  <c r="G29" i="48"/>
  <c r="H25" i="48"/>
  <c r="G30" i="48"/>
  <c r="G47" i="48"/>
  <c r="G42" i="48"/>
  <c r="J37" i="71"/>
  <c r="H35" i="64"/>
  <c r="I35" i="64" s="1"/>
  <c r="G42" i="50"/>
  <c r="G47" i="50"/>
  <c r="H25" i="50"/>
  <c r="G29" i="50"/>
  <c r="G30" i="50"/>
  <c r="H33" i="63"/>
  <c r="I33" i="63" s="1"/>
  <c r="G30" i="49"/>
  <c r="H25" i="49"/>
  <c r="G42" i="49"/>
  <c r="G47" i="49"/>
  <c r="G29" i="49"/>
  <c r="J35" i="71"/>
  <c r="H35" i="58"/>
  <c r="I35" i="58" s="1"/>
  <c r="J36" i="75"/>
  <c r="J31" i="75"/>
  <c r="J33" i="75"/>
  <c r="J14" i="75"/>
  <c r="J18" i="75"/>
  <c r="J24" i="75"/>
  <c r="J20" i="75"/>
  <c r="J30" i="75"/>
  <c r="J38" i="75"/>
  <c r="H38" i="75"/>
  <c r="J21" i="75"/>
  <c r="J13" i="75"/>
  <c r="J32" i="75"/>
  <c r="J25" i="75"/>
  <c r="J17" i="75"/>
  <c r="J15" i="75"/>
  <c r="J28" i="75"/>
  <c r="J26" i="75"/>
  <c r="J29" i="75"/>
  <c r="J19" i="75"/>
  <c r="J22" i="75"/>
  <c r="J16" i="75"/>
  <c r="J23" i="75"/>
  <c r="J34" i="75"/>
  <c r="J27" i="75"/>
  <c r="H23" i="47"/>
  <c r="I23" i="47" s="1"/>
  <c r="G25" i="47"/>
  <c r="H44" i="116"/>
  <c r="I44" i="116" s="1"/>
  <c r="G46" i="116"/>
  <c r="H33" i="64"/>
  <c r="I33" i="64" s="1"/>
  <c r="H48" i="58"/>
  <c r="I48" i="58" s="1"/>
  <c r="H25" i="52"/>
  <c r="G42" i="52"/>
  <c r="G29" i="52"/>
  <c r="G47" i="52"/>
  <c r="G30" i="52"/>
  <c r="H35" i="63"/>
  <c r="I35" i="63" s="1"/>
  <c r="J44" i="61"/>
  <c r="H44" i="117"/>
  <c r="I44" i="117" s="1"/>
  <c r="G46" i="117"/>
  <c r="J36" i="71"/>
  <c r="J44" i="115"/>
  <c r="J13" i="115"/>
  <c r="J39" i="115"/>
  <c r="H46" i="115"/>
  <c r="I46" i="115" s="1"/>
  <c r="J27" i="115"/>
  <c r="J40" i="115"/>
  <c r="J22" i="115"/>
  <c r="J28" i="115"/>
  <c r="J32" i="115"/>
  <c r="J37" i="115"/>
  <c r="J14" i="115"/>
  <c r="J21" i="115"/>
  <c r="J36" i="115"/>
  <c r="J41" i="115"/>
  <c r="J38" i="115"/>
  <c r="J33" i="115"/>
  <c r="J20" i="115"/>
  <c r="J24" i="115"/>
  <c r="J26" i="115"/>
  <c r="J46" i="115"/>
  <c r="J18" i="115"/>
  <c r="J12" i="115"/>
  <c r="J31" i="115"/>
  <c r="J19" i="115"/>
  <c r="J23" i="115"/>
  <c r="J25" i="115"/>
  <c r="J30" i="115"/>
  <c r="J42" i="115"/>
  <c r="J29" i="115"/>
  <c r="J35" i="115"/>
  <c r="J43" i="115"/>
  <c r="J34" i="115"/>
  <c r="J45" i="115"/>
  <c r="H36" i="73"/>
  <c r="I36" i="73" s="1"/>
  <c r="G38" i="73"/>
  <c r="J36" i="73" s="1"/>
  <c r="I36" i="69"/>
  <c r="I38" i="7" s="1"/>
  <c r="H38" i="7"/>
  <c r="J34" i="61"/>
  <c r="K49" i="56"/>
  <c r="H35" i="25"/>
  <c r="I35" i="25" s="1"/>
  <c r="G51" i="59"/>
  <c r="H49" i="59"/>
  <c r="I49" i="59" s="1"/>
  <c r="H45" i="58"/>
  <c r="I45" i="58" s="1"/>
  <c r="J34" i="67"/>
  <c r="K35" i="61"/>
  <c r="K26" i="61"/>
  <c r="K15" i="61"/>
  <c r="K18" i="61"/>
  <c r="K39" i="61"/>
  <c r="H51" i="61"/>
  <c r="K17" i="61"/>
  <c r="K27" i="61"/>
  <c r="K40" i="61"/>
  <c r="K37" i="61"/>
  <c r="K28" i="61"/>
  <c r="K41" i="61"/>
  <c r="K22" i="61"/>
  <c r="K33" i="61"/>
  <c r="K38" i="61"/>
  <c r="K31" i="61"/>
  <c r="K51" i="61"/>
  <c r="K24" i="61"/>
  <c r="K36" i="61"/>
  <c r="K16" i="61"/>
  <c r="K32" i="61"/>
  <c r="K21" i="61"/>
  <c r="K20" i="61"/>
  <c r="K19" i="61"/>
  <c r="K23" i="61"/>
  <c r="K25" i="61"/>
  <c r="K29" i="61"/>
  <c r="K47" i="61"/>
  <c r="K30" i="61"/>
  <c r="H23" i="46"/>
  <c r="I23" i="46" s="1"/>
  <c r="G25" i="46"/>
  <c r="K48" i="58" l="1"/>
  <c r="J35" i="63"/>
  <c r="K49" i="58"/>
  <c r="K34" i="58"/>
  <c r="J43" i="117"/>
  <c r="J33" i="117"/>
  <c r="J26" i="117"/>
  <c r="J28" i="117"/>
  <c r="J32" i="117"/>
  <c r="J27" i="117"/>
  <c r="J14" i="117"/>
  <c r="J38" i="117"/>
  <c r="J41" i="117"/>
  <c r="H46" i="117"/>
  <c r="I46" i="117" s="1"/>
  <c r="J13" i="117"/>
  <c r="J22" i="117"/>
  <c r="J36" i="117"/>
  <c r="J12" i="117"/>
  <c r="J40" i="117"/>
  <c r="J39" i="117"/>
  <c r="J24" i="117"/>
  <c r="J20" i="117"/>
  <c r="J31" i="117"/>
  <c r="J46" i="117"/>
  <c r="J37" i="117"/>
  <c r="J18" i="117"/>
  <c r="J21" i="117"/>
  <c r="J19" i="117"/>
  <c r="J25" i="117"/>
  <c r="J23" i="117"/>
  <c r="J30" i="117"/>
  <c r="J29" i="117"/>
  <c r="J42" i="117"/>
  <c r="J34" i="117"/>
  <c r="J35" i="117"/>
  <c r="J45" i="117"/>
  <c r="H30" i="49"/>
  <c r="I30" i="49" s="1"/>
  <c r="G35" i="49"/>
  <c r="H29" i="114"/>
  <c r="I29" i="114" s="1"/>
  <c r="G34" i="114"/>
  <c r="G43" i="50"/>
  <c r="G44" i="50" s="1"/>
  <c r="G45" i="50"/>
  <c r="H42" i="50"/>
  <c r="I42" i="50" s="1"/>
  <c r="H30" i="48"/>
  <c r="I30" i="48" s="1"/>
  <c r="G35" i="48"/>
  <c r="K49" i="117"/>
  <c r="K41" i="117"/>
  <c r="K18" i="117"/>
  <c r="K40" i="117"/>
  <c r="K17" i="117"/>
  <c r="K22" i="117"/>
  <c r="K21" i="117"/>
  <c r="K15" i="117"/>
  <c r="K28" i="117"/>
  <c r="K20" i="117"/>
  <c r="K26" i="117"/>
  <c r="K36" i="117"/>
  <c r="K51" i="117"/>
  <c r="K31" i="117"/>
  <c r="K39" i="117"/>
  <c r="K24" i="117"/>
  <c r="K38" i="117"/>
  <c r="K33" i="117"/>
  <c r="K27" i="117"/>
  <c r="K16" i="117"/>
  <c r="H51" i="117"/>
  <c r="K37" i="117"/>
  <c r="K32" i="117"/>
  <c r="K19" i="117"/>
  <c r="K23" i="117"/>
  <c r="K25" i="117"/>
  <c r="K29" i="117"/>
  <c r="K47" i="117"/>
  <c r="K30" i="117"/>
  <c r="K50" i="117"/>
  <c r="K34" i="117"/>
  <c r="K48" i="117"/>
  <c r="K35" i="117"/>
  <c r="J34" i="64"/>
  <c r="J29" i="64"/>
  <c r="J27" i="64"/>
  <c r="J22" i="64"/>
  <c r="J26" i="64"/>
  <c r="J20" i="64"/>
  <c r="J23" i="64"/>
  <c r="J24" i="64"/>
  <c r="J14" i="64"/>
  <c r="J28" i="64"/>
  <c r="J31" i="64"/>
  <c r="J12" i="64"/>
  <c r="J18" i="64"/>
  <c r="J36" i="64"/>
  <c r="J30" i="64"/>
  <c r="J13" i="64"/>
  <c r="H36" i="64"/>
  <c r="J16" i="64"/>
  <c r="J17" i="64"/>
  <c r="J15" i="64"/>
  <c r="J19" i="64"/>
  <c r="J21" i="64"/>
  <c r="J32" i="64"/>
  <c r="J25" i="64"/>
  <c r="G45" i="114"/>
  <c r="H42" i="114"/>
  <c r="I42" i="114" s="1"/>
  <c r="G43" i="114"/>
  <c r="G36" i="25"/>
  <c r="J34" i="25" s="1"/>
  <c r="H34" i="25"/>
  <c r="I34" i="25" s="1"/>
  <c r="I25" i="113"/>
  <c r="G8" i="7" s="1"/>
  <c r="F8" i="7"/>
  <c r="G35" i="51"/>
  <c r="H30" i="51"/>
  <c r="I30" i="51" s="1"/>
  <c r="H30" i="53"/>
  <c r="I30" i="53" s="1"/>
  <c r="G35" i="53"/>
  <c r="J31" i="63"/>
  <c r="J29" i="63"/>
  <c r="J26" i="63"/>
  <c r="J12" i="63"/>
  <c r="J27" i="63"/>
  <c r="J28" i="63"/>
  <c r="J23" i="63"/>
  <c r="J13" i="63"/>
  <c r="J16" i="63"/>
  <c r="J36" i="63"/>
  <c r="J24" i="63"/>
  <c r="H36" i="63"/>
  <c r="J18" i="63"/>
  <c r="J22" i="63"/>
  <c r="J14" i="63"/>
  <c r="J30" i="63"/>
  <c r="J20" i="63"/>
  <c r="J15" i="63"/>
  <c r="J17" i="63"/>
  <c r="J19" i="63"/>
  <c r="J21" i="63"/>
  <c r="J32" i="63"/>
  <c r="J25" i="63"/>
  <c r="J44" i="116"/>
  <c r="J12" i="116"/>
  <c r="J28" i="116"/>
  <c r="J32" i="116"/>
  <c r="J39" i="116"/>
  <c r="J27" i="116"/>
  <c r="J22" i="116"/>
  <c r="J38" i="116"/>
  <c r="J26" i="116"/>
  <c r="H46" i="116"/>
  <c r="I46" i="116" s="1"/>
  <c r="J33" i="116"/>
  <c r="J31" i="116"/>
  <c r="J13" i="116"/>
  <c r="J14" i="116"/>
  <c r="J37" i="116"/>
  <c r="J40" i="116"/>
  <c r="J21" i="116"/>
  <c r="J18" i="116"/>
  <c r="J46" i="116"/>
  <c r="J41" i="116"/>
  <c r="J24" i="116"/>
  <c r="J36" i="116"/>
  <c r="J20" i="116"/>
  <c r="J19" i="116"/>
  <c r="J23" i="116"/>
  <c r="J25" i="116"/>
  <c r="J29" i="116"/>
  <c r="J42" i="116"/>
  <c r="J30" i="116"/>
  <c r="J45" i="116"/>
  <c r="J35" i="116"/>
  <c r="J43" i="116"/>
  <c r="J34" i="116"/>
  <c r="H47" i="50"/>
  <c r="I47" i="50" s="1"/>
  <c r="G48" i="50"/>
  <c r="G50" i="50"/>
  <c r="J36" i="74"/>
  <c r="J30" i="74"/>
  <c r="J22" i="74"/>
  <c r="J24" i="74"/>
  <c r="J28" i="74"/>
  <c r="J38" i="74"/>
  <c r="J32" i="74"/>
  <c r="J31" i="74"/>
  <c r="J26" i="74"/>
  <c r="J14" i="74"/>
  <c r="J21" i="74"/>
  <c r="J18" i="74"/>
  <c r="J20" i="74"/>
  <c r="J19" i="74"/>
  <c r="J17" i="74"/>
  <c r="H38" i="74"/>
  <c r="J25" i="74"/>
  <c r="J33" i="74"/>
  <c r="J13" i="74"/>
  <c r="J29" i="74"/>
  <c r="J15" i="74"/>
  <c r="J16" i="74"/>
  <c r="J23" i="74"/>
  <c r="J34" i="74"/>
  <c r="J27" i="74"/>
  <c r="J37" i="74"/>
  <c r="J35" i="74"/>
  <c r="H42" i="113"/>
  <c r="I42" i="113" s="1"/>
  <c r="G45" i="113"/>
  <c r="G43" i="113"/>
  <c r="G44" i="113" s="1"/>
  <c r="F10" i="7"/>
  <c r="I25" i="51"/>
  <c r="G10" i="7" s="1"/>
  <c r="H36" i="7"/>
  <c r="I36" i="67"/>
  <c r="I36" i="7" s="1"/>
  <c r="K36" i="60"/>
  <c r="K40" i="60"/>
  <c r="K37" i="60"/>
  <c r="H51" i="60"/>
  <c r="K21" i="60"/>
  <c r="K18" i="60"/>
  <c r="K26" i="60"/>
  <c r="K33" i="60"/>
  <c r="K20" i="60"/>
  <c r="K31" i="60"/>
  <c r="K51" i="60"/>
  <c r="K32" i="60"/>
  <c r="K39" i="60"/>
  <c r="K22" i="60"/>
  <c r="K28" i="60"/>
  <c r="K27" i="60"/>
  <c r="K15" i="60"/>
  <c r="K38" i="60"/>
  <c r="K16" i="60"/>
  <c r="K17" i="60"/>
  <c r="K41" i="60"/>
  <c r="K24" i="60"/>
  <c r="K19" i="60"/>
  <c r="K23" i="60"/>
  <c r="K25" i="60"/>
  <c r="K29" i="60"/>
  <c r="K30" i="60"/>
  <c r="K47" i="60"/>
  <c r="K35" i="60"/>
  <c r="K34" i="60"/>
  <c r="K48" i="60"/>
  <c r="K50" i="60"/>
  <c r="H34" i="7"/>
  <c r="I36" i="65"/>
  <c r="I34" i="7" s="1"/>
  <c r="G50" i="49"/>
  <c r="G48" i="49"/>
  <c r="H47" i="49"/>
  <c r="I47" i="49" s="1"/>
  <c r="G47" i="46"/>
  <c r="H25" i="46"/>
  <c r="G29" i="46"/>
  <c r="G30" i="46"/>
  <c r="G42" i="46"/>
  <c r="H42" i="52"/>
  <c r="I42" i="52" s="1"/>
  <c r="G43" i="52"/>
  <c r="G45" i="52"/>
  <c r="J33" i="64"/>
  <c r="G30" i="47"/>
  <c r="G42" i="47"/>
  <c r="H25" i="47"/>
  <c r="G29" i="47"/>
  <c r="G47" i="47"/>
  <c r="G45" i="49"/>
  <c r="H42" i="49"/>
  <c r="I42" i="49" s="1"/>
  <c r="G43" i="49"/>
  <c r="G34" i="50"/>
  <c r="H29" i="50"/>
  <c r="I29" i="50" s="1"/>
  <c r="J35" i="64"/>
  <c r="F6" i="7"/>
  <c r="I25" i="48"/>
  <c r="G6" i="7" s="1"/>
  <c r="H47" i="114"/>
  <c r="I47" i="114" s="1"/>
  <c r="G50" i="114"/>
  <c r="G48" i="114"/>
  <c r="G49" i="114" s="1"/>
  <c r="I25" i="114"/>
  <c r="G12" i="7" s="1"/>
  <c r="F12" i="7"/>
  <c r="J45" i="57"/>
  <c r="J22" i="57"/>
  <c r="J32" i="57"/>
  <c r="J13" i="57"/>
  <c r="J18" i="57"/>
  <c r="J24" i="57"/>
  <c r="J12" i="57"/>
  <c r="J31" i="57"/>
  <c r="J39" i="57"/>
  <c r="J28" i="57"/>
  <c r="J20" i="57"/>
  <c r="H46" i="57"/>
  <c r="I46" i="57" s="1"/>
  <c r="J14" i="57"/>
  <c r="J27" i="57"/>
  <c r="J33" i="57"/>
  <c r="J46" i="57"/>
  <c r="J41" i="57"/>
  <c r="J37" i="57"/>
  <c r="J26" i="57"/>
  <c r="J38" i="57"/>
  <c r="J40" i="57"/>
  <c r="J21" i="57"/>
  <c r="J36" i="57"/>
  <c r="J19" i="57"/>
  <c r="J23" i="57"/>
  <c r="J25" i="57"/>
  <c r="J30" i="57"/>
  <c r="J29" i="57"/>
  <c r="J42" i="57"/>
  <c r="J34" i="57"/>
  <c r="J43" i="57"/>
  <c r="J35" i="57"/>
  <c r="H29" i="113"/>
  <c r="I29" i="113" s="1"/>
  <c r="G34" i="113"/>
  <c r="H30" i="113"/>
  <c r="I30" i="113" s="1"/>
  <c r="G35" i="113"/>
  <c r="H42" i="51"/>
  <c r="I42" i="51" s="1"/>
  <c r="G43" i="51"/>
  <c r="G45" i="51"/>
  <c r="H45" i="51" s="1"/>
  <c r="I45" i="51" s="1"/>
  <c r="K35" i="58"/>
  <c r="K27" i="58"/>
  <c r="K37" i="58"/>
  <c r="K33" i="58"/>
  <c r="K16" i="58"/>
  <c r="K24" i="58"/>
  <c r="K22" i="58"/>
  <c r="K36" i="58"/>
  <c r="K31" i="58"/>
  <c r="K41" i="58"/>
  <c r="K32" i="58"/>
  <c r="K28" i="58"/>
  <c r="K17" i="58"/>
  <c r="H51" i="58"/>
  <c r="K39" i="58"/>
  <c r="K15" i="58"/>
  <c r="K18" i="58"/>
  <c r="K40" i="58"/>
  <c r="K26" i="58"/>
  <c r="K21" i="58"/>
  <c r="K51" i="58"/>
  <c r="K38" i="58"/>
  <c r="K20" i="58"/>
  <c r="K19" i="58"/>
  <c r="K23" i="58"/>
  <c r="K25" i="58"/>
  <c r="K30" i="58"/>
  <c r="K29" i="58"/>
  <c r="K47" i="58"/>
  <c r="H29" i="53"/>
  <c r="I29" i="53" s="1"/>
  <c r="G34" i="53"/>
  <c r="G45" i="53"/>
  <c r="G43" i="53"/>
  <c r="G44" i="53" s="1"/>
  <c r="H42" i="53"/>
  <c r="I42" i="53" s="1"/>
  <c r="J35" i="60"/>
  <c r="J36" i="60"/>
  <c r="J38" i="60"/>
  <c r="H46" i="60"/>
  <c r="I46" i="60" s="1"/>
  <c r="J26" i="60"/>
  <c r="J18" i="60"/>
  <c r="J21" i="60"/>
  <c r="J33" i="60"/>
  <c r="J28" i="60"/>
  <c r="J14" i="60"/>
  <c r="J40" i="60"/>
  <c r="J46" i="60"/>
  <c r="J13" i="60"/>
  <c r="J24" i="60"/>
  <c r="J20" i="60"/>
  <c r="J32" i="60"/>
  <c r="J41" i="60"/>
  <c r="J31" i="60"/>
  <c r="J27" i="60"/>
  <c r="J12" i="60"/>
  <c r="J22" i="60"/>
  <c r="J39" i="60"/>
  <c r="J37" i="60"/>
  <c r="J19" i="60"/>
  <c r="J23" i="60"/>
  <c r="J25" i="60"/>
  <c r="J30" i="60"/>
  <c r="J42" i="60"/>
  <c r="J29" i="60"/>
  <c r="J45" i="60"/>
  <c r="J34" i="60"/>
  <c r="J43" i="60"/>
  <c r="H47" i="52"/>
  <c r="I47" i="52" s="1"/>
  <c r="G48" i="52"/>
  <c r="G50" i="52"/>
  <c r="G34" i="49"/>
  <c r="H29" i="49"/>
  <c r="I29" i="49" s="1"/>
  <c r="H47" i="48"/>
  <c r="I47" i="48" s="1"/>
  <c r="G50" i="48"/>
  <c r="H50" i="48" s="1"/>
  <c r="I50" i="48" s="1"/>
  <c r="G48" i="48"/>
  <c r="H26" i="7"/>
  <c r="I38" i="71"/>
  <c r="I26" i="7" s="1"/>
  <c r="G42" i="4"/>
  <c r="H25" i="4"/>
  <c r="G29" i="4"/>
  <c r="G30" i="4"/>
  <c r="G47" i="4"/>
  <c r="I51" i="115"/>
  <c r="I15" i="7" s="1"/>
  <c r="H15" i="7"/>
  <c r="F13" i="7"/>
  <c r="I25" i="53"/>
  <c r="G13" i="7" s="1"/>
  <c r="H22" i="7"/>
  <c r="I51" i="61"/>
  <c r="I22" i="7" s="1"/>
  <c r="G34" i="52"/>
  <c r="H29" i="52"/>
  <c r="I29" i="52" s="1"/>
  <c r="H30" i="7"/>
  <c r="I38" i="75"/>
  <c r="I30" i="7" s="1"/>
  <c r="H30" i="50"/>
  <c r="I30" i="50" s="1"/>
  <c r="G35" i="50"/>
  <c r="K49" i="59"/>
  <c r="K32" i="59"/>
  <c r="K36" i="59"/>
  <c r="K38" i="59"/>
  <c r="K41" i="59"/>
  <c r="K15" i="59"/>
  <c r="K51" i="59"/>
  <c r="K31" i="59"/>
  <c r="K22" i="59"/>
  <c r="H51" i="59"/>
  <c r="K21" i="59"/>
  <c r="K26" i="59"/>
  <c r="K16" i="59"/>
  <c r="K39" i="59"/>
  <c r="K20" i="59"/>
  <c r="K18" i="59"/>
  <c r="K17" i="59"/>
  <c r="K37" i="59"/>
  <c r="K33" i="59"/>
  <c r="K24" i="59"/>
  <c r="K28" i="59"/>
  <c r="K27" i="59"/>
  <c r="K40" i="59"/>
  <c r="K19" i="59"/>
  <c r="K23" i="59"/>
  <c r="K25" i="59"/>
  <c r="K47" i="59"/>
  <c r="K29" i="59"/>
  <c r="K30" i="59"/>
  <c r="K35" i="59"/>
  <c r="K34" i="59"/>
  <c r="K50" i="59"/>
  <c r="K48" i="59"/>
  <c r="J14" i="73"/>
  <c r="J32" i="73"/>
  <c r="J22" i="73"/>
  <c r="J26" i="73"/>
  <c r="J19" i="73"/>
  <c r="J28" i="73"/>
  <c r="J31" i="73"/>
  <c r="J30" i="73"/>
  <c r="J18" i="73"/>
  <c r="J13" i="73"/>
  <c r="J21" i="73"/>
  <c r="J24" i="73"/>
  <c r="J17" i="73"/>
  <c r="J38" i="73"/>
  <c r="J29" i="73"/>
  <c r="J15" i="73"/>
  <c r="J25" i="73"/>
  <c r="H38" i="73"/>
  <c r="J20" i="73"/>
  <c r="J33" i="73"/>
  <c r="J16" i="73"/>
  <c r="J23" i="73"/>
  <c r="J34" i="73"/>
  <c r="J27" i="73"/>
  <c r="J35" i="73"/>
  <c r="J37" i="73"/>
  <c r="J44" i="117"/>
  <c r="G35" i="52"/>
  <c r="H30" i="52"/>
  <c r="I30" i="52" s="1"/>
  <c r="I25" i="52"/>
  <c r="G11" i="7" s="1"/>
  <c r="F11" i="7"/>
  <c r="F7" i="7"/>
  <c r="I25" i="49"/>
  <c r="G7" i="7" s="1"/>
  <c r="F9" i="7"/>
  <c r="I25" i="50"/>
  <c r="G9" i="7" s="1"/>
  <c r="G43" i="48"/>
  <c r="G45" i="48"/>
  <c r="H42" i="48"/>
  <c r="I42" i="48" s="1"/>
  <c r="H29" i="48"/>
  <c r="I29" i="48" s="1"/>
  <c r="G34" i="48"/>
  <c r="J36" i="5"/>
  <c r="J18" i="5"/>
  <c r="J29" i="5"/>
  <c r="J25" i="5"/>
  <c r="J17" i="5"/>
  <c r="J15" i="5"/>
  <c r="J38" i="5"/>
  <c r="J20" i="5"/>
  <c r="J24" i="5"/>
  <c r="J21" i="5"/>
  <c r="J31" i="5"/>
  <c r="J14" i="5"/>
  <c r="J32" i="5"/>
  <c r="J33" i="5"/>
  <c r="J30" i="5"/>
  <c r="J13" i="5"/>
  <c r="J28" i="5"/>
  <c r="J22" i="5"/>
  <c r="J26" i="5"/>
  <c r="J19" i="5"/>
  <c r="H38" i="5"/>
  <c r="J16" i="5"/>
  <c r="J23" i="5"/>
  <c r="J34" i="5"/>
  <c r="J27" i="5"/>
  <c r="J37" i="5"/>
  <c r="J35" i="5"/>
  <c r="H17" i="7"/>
  <c r="I51" i="57"/>
  <c r="I17" i="7" s="1"/>
  <c r="I51" i="62"/>
  <c r="I24" i="7" s="1"/>
  <c r="H24" i="7"/>
  <c r="H30" i="114"/>
  <c r="I30" i="114" s="1"/>
  <c r="G35" i="114"/>
  <c r="H16" i="7"/>
  <c r="I51" i="56"/>
  <c r="I16" i="7" s="1"/>
  <c r="H44" i="58"/>
  <c r="I44" i="58" s="1"/>
  <c r="G46" i="58"/>
  <c r="H47" i="113"/>
  <c r="I47" i="113" s="1"/>
  <c r="G50" i="113"/>
  <c r="G48" i="113"/>
  <c r="G49" i="113" s="1"/>
  <c r="J44" i="59"/>
  <c r="J22" i="59"/>
  <c r="J26" i="59"/>
  <c r="J13" i="59"/>
  <c r="J28" i="59"/>
  <c r="J46" i="59"/>
  <c r="J24" i="59"/>
  <c r="J31" i="59"/>
  <c r="J40" i="59"/>
  <c r="J27" i="59"/>
  <c r="J41" i="59"/>
  <c r="J18" i="59"/>
  <c r="J12" i="59"/>
  <c r="J37" i="59"/>
  <c r="J14" i="59"/>
  <c r="J39" i="59"/>
  <c r="J33" i="59"/>
  <c r="H46" i="59"/>
  <c r="I46" i="59" s="1"/>
  <c r="J20" i="59"/>
  <c r="J32" i="59"/>
  <c r="J21" i="59"/>
  <c r="J36" i="59"/>
  <c r="J38" i="59"/>
  <c r="J19" i="59"/>
  <c r="J25" i="59"/>
  <c r="J23" i="59"/>
  <c r="J42" i="59"/>
  <c r="J29" i="59"/>
  <c r="J30" i="59"/>
  <c r="J35" i="59"/>
  <c r="J43" i="59"/>
  <c r="J45" i="59"/>
  <c r="J34" i="59"/>
  <c r="H23" i="7"/>
  <c r="I51" i="116"/>
  <c r="I23" i="7" s="1"/>
  <c r="H47" i="51"/>
  <c r="I47" i="51" s="1"/>
  <c r="G48" i="51"/>
  <c r="G49" i="51" s="1"/>
  <c r="G50" i="51"/>
  <c r="G34" i="51"/>
  <c r="H29" i="51"/>
  <c r="I29" i="51" s="1"/>
  <c r="G47" i="112"/>
  <c r="H25" i="112"/>
  <c r="G30" i="112"/>
  <c r="G29" i="112"/>
  <c r="G42" i="112"/>
  <c r="G50" i="53"/>
  <c r="G48" i="53"/>
  <c r="H47" i="53"/>
  <c r="I47" i="53" s="1"/>
  <c r="K49" i="60"/>
  <c r="J34" i="63"/>
  <c r="J36" i="72"/>
  <c r="J32" i="72"/>
  <c r="J24" i="72"/>
  <c r="J33" i="72"/>
  <c r="J29" i="72"/>
  <c r="J22" i="72"/>
  <c r="J38" i="72"/>
  <c r="J28" i="72"/>
  <c r="J17" i="72"/>
  <c r="J20" i="72"/>
  <c r="H38" i="72"/>
  <c r="J19" i="72"/>
  <c r="J26" i="72"/>
  <c r="J31" i="72"/>
  <c r="J14" i="72"/>
  <c r="J13" i="72"/>
  <c r="J18" i="72"/>
  <c r="J15" i="72"/>
  <c r="J30" i="72"/>
  <c r="J21" i="72"/>
  <c r="J25" i="72"/>
  <c r="J16" i="72"/>
  <c r="J23" i="72"/>
  <c r="J27" i="72"/>
  <c r="J34" i="72"/>
  <c r="J37" i="72"/>
  <c r="J35" i="72"/>
  <c r="G51" i="113" l="1"/>
  <c r="H49" i="113"/>
  <c r="I49" i="113" s="1"/>
  <c r="G46" i="53"/>
  <c r="J34" i="53" s="1"/>
  <c r="H44" i="53"/>
  <c r="I44" i="53" s="1"/>
  <c r="H47" i="4"/>
  <c r="I47" i="4" s="1"/>
  <c r="G50" i="4"/>
  <c r="G48" i="4"/>
  <c r="H42" i="47"/>
  <c r="I42" i="47" s="1"/>
  <c r="G43" i="47"/>
  <c r="G45" i="47"/>
  <c r="H45" i="47" s="1"/>
  <c r="I45" i="47" s="1"/>
  <c r="H35" i="51"/>
  <c r="I35" i="51" s="1"/>
  <c r="H30" i="112"/>
  <c r="I30" i="112" s="1"/>
  <c r="G35" i="112"/>
  <c r="H49" i="51"/>
  <c r="I49" i="51" s="1"/>
  <c r="G51" i="51"/>
  <c r="K50" i="51" s="1"/>
  <c r="J44" i="58"/>
  <c r="J14" i="58"/>
  <c r="J31" i="58"/>
  <c r="J33" i="58"/>
  <c r="H46" i="58"/>
  <c r="I46" i="58" s="1"/>
  <c r="J12" i="58"/>
  <c r="J28" i="58"/>
  <c r="J20" i="58"/>
  <c r="J40" i="58"/>
  <c r="J36" i="58"/>
  <c r="J41" i="58"/>
  <c r="J21" i="58"/>
  <c r="J32" i="58"/>
  <c r="J13" i="58"/>
  <c r="J18" i="58"/>
  <c r="J27" i="58"/>
  <c r="J38" i="58"/>
  <c r="J39" i="58"/>
  <c r="J24" i="58"/>
  <c r="J26" i="58"/>
  <c r="J46" i="58"/>
  <c r="J37" i="58"/>
  <c r="J22" i="58"/>
  <c r="J19" i="58"/>
  <c r="J23" i="58"/>
  <c r="J25" i="58"/>
  <c r="J29" i="58"/>
  <c r="J30" i="58"/>
  <c r="J42" i="58"/>
  <c r="J35" i="58"/>
  <c r="J34" i="58"/>
  <c r="J45" i="58"/>
  <c r="J43" i="58"/>
  <c r="H35" i="52"/>
  <c r="I35" i="52" s="1"/>
  <c r="H30" i="4"/>
  <c r="I30" i="4" s="1"/>
  <c r="G35" i="4"/>
  <c r="G49" i="52"/>
  <c r="H48" i="52"/>
  <c r="I48" i="52" s="1"/>
  <c r="H48" i="114"/>
  <c r="I48" i="114" s="1"/>
  <c r="H47" i="47"/>
  <c r="I47" i="47" s="1"/>
  <c r="G48" i="47"/>
  <c r="G49" i="47" s="1"/>
  <c r="G50" i="47"/>
  <c r="G35" i="47"/>
  <c r="H30" i="47"/>
  <c r="I30" i="47" s="1"/>
  <c r="G44" i="52"/>
  <c r="H43" i="52"/>
  <c r="I43" i="52" s="1"/>
  <c r="H42" i="46"/>
  <c r="I42" i="46" s="1"/>
  <c r="G45" i="46"/>
  <c r="G43" i="46"/>
  <c r="G44" i="46" s="1"/>
  <c r="G48" i="46"/>
  <c r="H47" i="46"/>
  <c r="I47" i="46" s="1"/>
  <c r="G50" i="46"/>
  <c r="H48" i="49"/>
  <c r="I48" i="49" s="1"/>
  <c r="H21" i="7"/>
  <c r="I51" i="60"/>
  <c r="I21" i="7" s="1"/>
  <c r="H29" i="7"/>
  <c r="I38" i="74"/>
  <c r="I29" i="7" s="1"/>
  <c r="I36" i="63"/>
  <c r="I32" i="7" s="1"/>
  <c r="H32" i="7"/>
  <c r="J22" i="25"/>
  <c r="H36" i="25"/>
  <c r="J20" i="25"/>
  <c r="J36" i="25"/>
  <c r="J29" i="25"/>
  <c r="J23" i="25"/>
  <c r="J27" i="25"/>
  <c r="J14" i="25"/>
  <c r="J30" i="25"/>
  <c r="J12" i="25"/>
  <c r="J28" i="25"/>
  <c r="J18" i="25"/>
  <c r="J26" i="25"/>
  <c r="J24" i="25"/>
  <c r="J16" i="25"/>
  <c r="J31" i="25"/>
  <c r="J13" i="25"/>
  <c r="J15" i="25"/>
  <c r="J17" i="25"/>
  <c r="J19" i="25"/>
  <c r="J21" i="25"/>
  <c r="J32" i="25"/>
  <c r="J25" i="25"/>
  <c r="J33" i="25"/>
  <c r="J35" i="25"/>
  <c r="H45" i="114"/>
  <c r="I45" i="114" s="1"/>
  <c r="H33" i="7"/>
  <c r="I36" i="64"/>
  <c r="I33" i="7" s="1"/>
  <c r="H35" i="48"/>
  <c r="I35" i="48" s="1"/>
  <c r="H27" i="7"/>
  <c r="I38" i="72"/>
  <c r="I27" i="7" s="1"/>
  <c r="H50" i="53"/>
  <c r="I50" i="53" s="1"/>
  <c r="H35" i="50"/>
  <c r="I35" i="50" s="1"/>
  <c r="H42" i="4"/>
  <c r="I42" i="4" s="1"/>
  <c r="G45" i="4"/>
  <c r="H45" i="4" s="1"/>
  <c r="I45" i="4" s="1"/>
  <c r="G43" i="4"/>
  <c r="G51" i="114"/>
  <c r="K50" i="114" s="1"/>
  <c r="H49" i="114"/>
  <c r="I49" i="114" s="1"/>
  <c r="F3" i="7"/>
  <c r="I25" i="46"/>
  <c r="G3" i="7" s="1"/>
  <c r="H44" i="50"/>
  <c r="I44" i="50" s="1"/>
  <c r="G46" i="50"/>
  <c r="J43" i="50" s="1"/>
  <c r="I25" i="112"/>
  <c r="G4" i="7" s="1"/>
  <c r="F4" i="7"/>
  <c r="H50" i="51"/>
  <c r="I50" i="51" s="1"/>
  <c r="H48" i="113"/>
  <c r="I48" i="113" s="1"/>
  <c r="K48" i="113"/>
  <c r="H34" i="48"/>
  <c r="I34" i="48" s="1"/>
  <c r="H45" i="48"/>
  <c r="I45" i="48" s="1"/>
  <c r="H34" i="49"/>
  <c r="I34" i="49" s="1"/>
  <c r="H43" i="53"/>
  <c r="I43" i="53" s="1"/>
  <c r="H50" i="114"/>
  <c r="I50" i="114" s="1"/>
  <c r="H34" i="50"/>
  <c r="I34" i="50" s="1"/>
  <c r="H45" i="49"/>
  <c r="I45" i="49" s="1"/>
  <c r="H29" i="47"/>
  <c r="I29" i="47" s="1"/>
  <c r="G34" i="47"/>
  <c r="G35" i="46"/>
  <c r="H30" i="46"/>
  <c r="I30" i="46" s="1"/>
  <c r="H50" i="49"/>
  <c r="I50" i="49" s="1"/>
  <c r="G46" i="113"/>
  <c r="J45" i="113" s="1"/>
  <c r="H44" i="113"/>
  <c r="I44" i="113" s="1"/>
  <c r="H50" i="50"/>
  <c r="I50" i="50" s="1"/>
  <c r="I51" i="117"/>
  <c r="I19" i="7" s="1"/>
  <c r="H19" i="7"/>
  <c r="H45" i="50"/>
  <c r="I45" i="50" s="1"/>
  <c r="H34" i="114"/>
  <c r="I34" i="114" s="1"/>
  <c r="H35" i="49"/>
  <c r="I35" i="49" s="1"/>
  <c r="G34" i="112"/>
  <c r="H29" i="112"/>
  <c r="I29" i="112" s="1"/>
  <c r="I51" i="59"/>
  <c r="I20" i="7" s="1"/>
  <c r="H20" i="7"/>
  <c r="G49" i="48"/>
  <c r="H48" i="48"/>
  <c r="I48" i="48" s="1"/>
  <c r="H50" i="52"/>
  <c r="I50" i="52" s="1"/>
  <c r="G44" i="49"/>
  <c r="H43" i="49"/>
  <c r="I43" i="49" s="1"/>
  <c r="H45" i="52"/>
  <c r="I45" i="52" s="1"/>
  <c r="H45" i="113"/>
  <c r="I45" i="113" s="1"/>
  <c r="H29" i="4"/>
  <c r="I29" i="4" s="1"/>
  <c r="G34" i="4"/>
  <c r="H34" i="53"/>
  <c r="I34" i="53" s="1"/>
  <c r="G49" i="53"/>
  <c r="H48" i="53"/>
  <c r="I48" i="53" s="1"/>
  <c r="G43" i="112"/>
  <c r="G45" i="112"/>
  <c r="H42" i="112"/>
  <c r="I42" i="112" s="1"/>
  <c r="G50" i="112"/>
  <c r="H47" i="112"/>
  <c r="I47" i="112" s="1"/>
  <c r="G48" i="112"/>
  <c r="G49" i="112" s="1"/>
  <c r="H34" i="51"/>
  <c r="I34" i="51" s="1"/>
  <c r="H48" i="51"/>
  <c r="I48" i="51" s="1"/>
  <c r="H50" i="113"/>
  <c r="I50" i="113" s="1"/>
  <c r="K50" i="113"/>
  <c r="H35" i="114"/>
  <c r="I35" i="114" s="1"/>
  <c r="I38" i="5"/>
  <c r="I25" i="7" s="1"/>
  <c r="H25" i="7"/>
  <c r="G44" i="48"/>
  <c r="H43" i="48"/>
  <c r="I43" i="48" s="1"/>
  <c r="I38" i="73"/>
  <c r="I28" i="7" s="1"/>
  <c r="H28" i="7"/>
  <c r="H34" i="52"/>
  <c r="I34" i="52" s="1"/>
  <c r="F2" i="7"/>
  <c r="I25" i="4"/>
  <c r="G2" i="7" s="1"/>
  <c r="H45" i="53"/>
  <c r="I45" i="53" s="1"/>
  <c r="I51" i="58"/>
  <c r="I18" i="7" s="1"/>
  <c r="H18" i="7"/>
  <c r="G44" i="51"/>
  <c r="H43" i="51"/>
  <c r="I43" i="51" s="1"/>
  <c r="H35" i="113"/>
  <c r="I35" i="113" s="1"/>
  <c r="K35" i="113"/>
  <c r="H34" i="113"/>
  <c r="I34" i="113" s="1"/>
  <c r="K34" i="113"/>
  <c r="I25" i="47"/>
  <c r="G5" i="7" s="1"/>
  <c r="F5" i="7"/>
  <c r="G34" i="46"/>
  <c r="H29" i="46"/>
  <c r="I29" i="46" s="1"/>
  <c r="G49" i="49"/>
  <c r="H43" i="113"/>
  <c r="I43" i="113" s="1"/>
  <c r="G49" i="50"/>
  <c r="H48" i="50"/>
  <c r="I48" i="50" s="1"/>
  <c r="H35" i="53"/>
  <c r="I35" i="53" s="1"/>
  <c r="G44" i="114"/>
  <c r="H43" i="114"/>
  <c r="I43" i="114" s="1"/>
  <c r="H43" i="50"/>
  <c r="I43" i="50" s="1"/>
  <c r="J43" i="53" l="1"/>
  <c r="J35" i="53"/>
  <c r="J45" i="53"/>
  <c r="J35" i="113"/>
  <c r="K34" i="114"/>
  <c r="K35" i="114"/>
  <c r="K34" i="51"/>
  <c r="J44" i="113"/>
  <c r="J34" i="50"/>
  <c r="J35" i="50"/>
  <c r="J43" i="113"/>
  <c r="J34" i="113"/>
  <c r="K48" i="51"/>
  <c r="H49" i="47"/>
  <c r="I49" i="47" s="1"/>
  <c r="G51" i="47"/>
  <c r="K50" i="47" s="1"/>
  <c r="H34" i="46"/>
  <c r="I34" i="46" s="1"/>
  <c r="H49" i="112"/>
  <c r="I49" i="112" s="1"/>
  <c r="G51" i="112"/>
  <c r="K34" i="112" s="1"/>
  <c r="H49" i="48"/>
  <c r="I49" i="48" s="1"/>
  <c r="G51" i="48"/>
  <c r="K49" i="48" s="1"/>
  <c r="J14" i="50"/>
  <c r="J18" i="50"/>
  <c r="J28" i="50"/>
  <c r="H46" i="50"/>
  <c r="I46" i="50" s="1"/>
  <c r="J38" i="50"/>
  <c r="J32" i="50"/>
  <c r="J22" i="50"/>
  <c r="J26" i="50"/>
  <c r="J36" i="50"/>
  <c r="J13" i="50"/>
  <c r="J21" i="50"/>
  <c r="J39" i="50"/>
  <c r="J20" i="50"/>
  <c r="J41" i="50"/>
  <c r="J37" i="50"/>
  <c r="J24" i="50"/>
  <c r="J46" i="50"/>
  <c r="J27" i="50"/>
  <c r="J40" i="50"/>
  <c r="J33" i="50"/>
  <c r="J12" i="50"/>
  <c r="J31" i="50"/>
  <c r="J19" i="50"/>
  <c r="J23" i="50"/>
  <c r="J25" i="50"/>
  <c r="J42" i="50"/>
  <c r="J29" i="50"/>
  <c r="J30" i="50"/>
  <c r="H49" i="52"/>
  <c r="I49" i="52" s="1"/>
  <c r="G51" i="52"/>
  <c r="G44" i="47"/>
  <c r="H43" i="47"/>
  <c r="I43" i="47" s="1"/>
  <c r="H48" i="4"/>
  <c r="I48" i="4" s="1"/>
  <c r="H44" i="51"/>
  <c r="I44" i="51" s="1"/>
  <c r="G46" i="51"/>
  <c r="J44" i="51" s="1"/>
  <c r="H48" i="112"/>
  <c r="I48" i="112" s="1"/>
  <c r="G51" i="53"/>
  <c r="K49" i="53" s="1"/>
  <c r="H49" i="53"/>
  <c r="I49" i="53" s="1"/>
  <c r="J45" i="50"/>
  <c r="J26" i="113"/>
  <c r="J18" i="113"/>
  <c r="J31" i="113"/>
  <c r="J22" i="113"/>
  <c r="J14" i="113"/>
  <c r="J36" i="113"/>
  <c r="J46" i="113"/>
  <c r="J12" i="113"/>
  <c r="J27" i="113"/>
  <c r="J33" i="113"/>
  <c r="J21" i="113"/>
  <c r="J40" i="113"/>
  <c r="J39" i="113"/>
  <c r="J28" i="113"/>
  <c r="J20" i="113"/>
  <c r="J13" i="113"/>
  <c r="J24" i="113"/>
  <c r="J41" i="113"/>
  <c r="J37" i="113"/>
  <c r="J32" i="113"/>
  <c r="J38" i="113"/>
  <c r="H46" i="113"/>
  <c r="I46" i="113" s="1"/>
  <c r="J19" i="113"/>
  <c r="J23" i="113"/>
  <c r="J25" i="113"/>
  <c r="J29" i="113"/>
  <c r="J30" i="113"/>
  <c r="J42" i="113"/>
  <c r="K49" i="114"/>
  <c r="K38" i="114"/>
  <c r="K16" i="114"/>
  <c r="K15" i="114"/>
  <c r="K26" i="114"/>
  <c r="H51" i="114"/>
  <c r="K36" i="114"/>
  <c r="K39" i="114"/>
  <c r="K18" i="114"/>
  <c r="K40" i="114"/>
  <c r="K17" i="114"/>
  <c r="K51" i="114"/>
  <c r="K21" i="114"/>
  <c r="K32" i="114"/>
  <c r="K27" i="114"/>
  <c r="K31" i="114"/>
  <c r="K24" i="114"/>
  <c r="K22" i="114"/>
  <c r="K28" i="114"/>
  <c r="K41" i="114"/>
  <c r="K33" i="114"/>
  <c r="K37" i="114"/>
  <c r="K20" i="114"/>
  <c r="K19" i="114"/>
  <c r="K23" i="114"/>
  <c r="K25" i="114"/>
  <c r="K47" i="114"/>
  <c r="K29" i="114"/>
  <c r="K30" i="114"/>
  <c r="H50" i="46"/>
  <c r="I50" i="46" s="1"/>
  <c r="H43" i="46"/>
  <c r="I43" i="46" s="1"/>
  <c r="K48" i="114"/>
  <c r="K49" i="51"/>
  <c r="K28" i="51"/>
  <c r="K20" i="51"/>
  <c r="K32" i="51"/>
  <c r="K27" i="51"/>
  <c r="K33" i="51"/>
  <c r="K31" i="51"/>
  <c r="K17" i="51"/>
  <c r="K26" i="51"/>
  <c r="K39" i="51"/>
  <c r="K40" i="51"/>
  <c r="K21" i="51"/>
  <c r="K18" i="51"/>
  <c r="K51" i="51"/>
  <c r="K41" i="51"/>
  <c r="H51" i="51"/>
  <c r="K15" i="51"/>
  <c r="K24" i="51"/>
  <c r="K36" i="51"/>
  <c r="K37" i="51"/>
  <c r="K38" i="51"/>
  <c r="K22" i="51"/>
  <c r="K16" i="51"/>
  <c r="K19" i="51"/>
  <c r="K23" i="51"/>
  <c r="K25" i="51"/>
  <c r="K29" i="51"/>
  <c r="K30" i="51"/>
  <c r="K47" i="51"/>
  <c r="H35" i="112"/>
  <c r="I35" i="112" s="1"/>
  <c r="H50" i="4"/>
  <c r="I50" i="4" s="1"/>
  <c r="J38" i="53"/>
  <c r="J32" i="53"/>
  <c r="J33" i="53"/>
  <c r="J40" i="53"/>
  <c r="J22" i="53"/>
  <c r="H46" i="53"/>
  <c r="I46" i="53" s="1"/>
  <c r="J12" i="53"/>
  <c r="J41" i="53"/>
  <c r="J28" i="53"/>
  <c r="J20" i="53"/>
  <c r="J39" i="53"/>
  <c r="J37" i="53"/>
  <c r="J36" i="53"/>
  <c r="J46" i="53"/>
  <c r="J31" i="53"/>
  <c r="J18" i="53"/>
  <c r="J21" i="53"/>
  <c r="J27" i="53"/>
  <c r="J14" i="53"/>
  <c r="J24" i="53"/>
  <c r="J13" i="53"/>
  <c r="J26" i="53"/>
  <c r="J19" i="53"/>
  <c r="J23" i="53"/>
  <c r="J25" i="53"/>
  <c r="J42" i="53"/>
  <c r="J29" i="53"/>
  <c r="J30" i="53"/>
  <c r="H44" i="114"/>
  <c r="I44" i="114" s="1"/>
  <c r="G46" i="114"/>
  <c r="G51" i="49"/>
  <c r="H49" i="49"/>
  <c r="I49" i="49" s="1"/>
  <c r="G46" i="48"/>
  <c r="J44" i="48" s="1"/>
  <c r="H44" i="48"/>
  <c r="I44" i="48" s="1"/>
  <c r="H45" i="112"/>
  <c r="I45" i="112" s="1"/>
  <c r="H34" i="112"/>
  <c r="I34" i="112" s="1"/>
  <c r="H34" i="47"/>
  <c r="I34" i="47" s="1"/>
  <c r="H31" i="7"/>
  <c r="I36" i="25"/>
  <c r="I31" i="7" s="1"/>
  <c r="H45" i="46"/>
  <c r="I45" i="46" s="1"/>
  <c r="H50" i="47"/>
  <c r="I50" i="47" s="1"/>
  <c r="G51" i="50"/>
  <c r="K49" i="50" s="1"/>
  <c r="H49" i="50"/>
  <c r="I49" i="50" s="1"/>
  <c r="H50" i="112"/>
  <c r="I50" i="112" s="1"/>
  <c r="G44" i="112"/>
  <c r="H43" i="112"/>
  <c r="I43" i="112" s="1"/>
  <c r="H34" i="4"/>
  <c r="I34" i="4" s="1"/>
  <c r="G46" i="49"/>
  <c r="H44" i="49"/>
  <c r="I44" i="49" s="1"/>
  <c r="H35" i="46"/>
  <c r="I35" i="46" s="1"/>
  <c r="J44" i="50"/>
  <c r="G44" i="4"/>
  <c r="H43" i="4"/>
  <c r="I43" i="4" s="1"/>
  <c r="G49" i="46"/>
  <c r="H48" i="46"/>
  <c r="I48" i="46" s="1"/>
  <c r="H44" i="46"/>
  <c r="I44" i="46" s="1"/>
  <c r="G46" i="46"/>
  <c r="G46" i="52"/>
  <c r="J44" i="52" s="1"/>
  <c r="H44" i="52"/>
  <c r="I44" i="52" s="1"/>
  <c r="H35" i="47"/>
  <c r="I35" i="47" s="1"/>
  <c r="K35" i="47"/>
  <c r="H48" i="47"/>
  <c r="I48" i="47" s="1"/>
  <c r="H35" i="4"/>
  <c r="I35" i="4" s="1"/>
  <c r="K35" i="51"/>
  <c r="G49" i="4"/>
  <c r="J44" i="53"/>
  <c r="K49" i="113"/>
  <c r="K32" i="113"/>
  <c r="K51" i="113"/>
  <c r="H51" i="113"/>
  <c r="K33" i="113"/>
  <c r="K39" i="113"/>
  <c r="K20" i="113"/>
  <c r="K36" i="113"/>
  <c r="K15" i="113"/>
  <c r="K28" i="113"/>
  <c r="K17" i="113"/>
  <c r="K41" i="113"/>
  <c r="K21" i="113"/>
  <c r="K27" i="113"/>
  <c r="K31" i="113"/>
  <c r="K38" i="113"/>
  <c r="K18" i="113"/>
  <c r="K24" i="113"/>
  <c r="K16" i="113"/>
  <c r="K37" i="113"/>
  <c r="K40" i="113"/>
  <c r="K26" i="113"/>
  <c r="K22" i="113"/>
  <c r="K19" i="113"/>
  <c r="K23" i="113"/>
  <c r="K25" i="113"/>
  <c r="K47" i="113"/>
  <c r="K29" i="113"/>
  <c r="K30" i="113"/>
  <c r="K48" i="112" l="1"/>
  <c r="K50" i="112"/>
  <c r="K35" i="112"/>
  <c r="K34" i="47"/>
  <c r="K48" i="47"/>
  <c r="J44" i="46"/>
  <c r="J38" i="46"/>
  <c r="J26" i="46"/>
  <c r="J27" i="46"/>
  <c r="J37" i="46"/>
  <c r="J12" i="46"/>
  <c r="J18" i="46"/>
  <c r="J28" i="46"/>
  <c r="J41" i="46"/>
  <c r="J32" i="46"/>
  <c r="J39" i="46"/>
  <c r="J22" i="46"/>
  <c r="H46" i="46"/>
  <c r="I46" i="46" s="1"/>
  <c r="J31" i="46"/>
  <c r="J33" i="46"/>
  <c r="J36" i="46"/>
  <c r="J24" i="46"/>
  <c r="J14" i="46"/>
  <c r="J46" i="46"/>
  <c r="J13" i="46"/>
  <c r="J20" i="46"/>
  <c r="J40" i="46"/>
  <c r="J21" i="46"/>
  <c r="J19" i="46"/>
  <c r="J23" i="46"/>
  <c r="J25" i="46"/>
  <c r="J29" i="46"/>
  <c r="J42" i="46"/>
  <c r="J30" i="46"/>
  <c r="J44" i="49"/>
  <c r="J39" i="49"/>
  <c r="J36" i="49"/>
  <c r="J32" i="49"/>
  <c r="J13" i="49"/>
  <c r="J33" i="49"/>
  <c r="J40" i="49"/>
  <c r="J26" i="49"/>
  <c r="J12" i="49"/>
  <c r="J22" i="49"/>
  <c r="J24" i="49"/>
  <c r="J27" i="49"/>
  <c r="H46" i="49"/>
  <c r="I46" i="49" s="1"/>
  <c r="J21" i="49"/>
  <c r="J46" i="49"/>
  <c r="J18" i="49"/>
  <c r="J31" i="49"/>
  <c r="J37" i="49"/>
  <c r="J41" i="49"/>
  <c r="J28" i="49"/>
  <c r="J38" i="49"/>
  <c r="J20" i="49"/>
  <c r="J14" i="49"/>
  <c r="J19" i="49"/>
  <c r="J23" i="49"/>
  <c r="J25" i="49"/>
  <c r="J42" i="49"/>
  <c r="J29" i="49"/>
  <c r="J30" i="49"/>
  <c r="J34" i="49"/>
  <c r="J43" i="49"/>
  <c r="J45" i="49"/>
  <c r="J35" i="49"/>
  <c r="J35" i="48"/>
  <c r="J40" i="48"/>
  <c r="J13" i="48"/>
  <c r="J32" i="48"/>
  <c r="H46" i="48"/>
  <c r="I46" i="48" s="1"/>
  <c r="J18" i="48"/>
  <c r="J24" i="48"/>
  <c r="J22" i="48"/>
  <c r="J38" i="48"/>
  <c r="J46" i="48"/>
  <c r="J31" i="48"/>
  <c r="J12" i="48"/>
  <c r="J26" i="48"/>
  <c r="J36" i="48"/>
  <c r="J21" i="48"/>
  <c r="J33" i="48"/>
  <c r="J28" i="48"/>
  <c r="J41" i="48"/>
  <c r="J37" i="48"/>
  <c r="J27" i="48"/>
  <c r="J20" i="48"/>
  <c r="J14" i="48"/>
  <c r="J39" i="48"/>
  <c r="J19" i="48"/>
  <c r="J23" i="48"/>
  <c r="J25" i="48"/>
  <c r="J30" i="48"/>
  <c r="J42" i="48"/>
  <c r="J29" i="48"/>
  <c r="J34" i="48"/>
  <c r="J45" i="48"/>
  <c r="J43" i="48"/>
  <c r="J43" i="46"/>
  <c r="K48" i="53"/>
  <c r="K16" i="53"/>
  <c r="K22" i="53"/>
  <c r="K33" i="53"/>
  <c r="H51" i="53"/>
  <c r="K41" i="53"/>
  <c r="K21" i="53"/>
  <c r="K31" i="53"/>
  <c r="K18" i="53"/>
  <c r="K27" i="53"/>
  <c r="K28" i="53"/>
  <c r="K39" i="53"/>
  <c r="K17" i="53"/>
  <c r="K38" i="53"/>
  <c r="K40" i="53"/>
  <c r="K15" i="53"/>
  <c r="K36" i="53"/>
  <c r="K26" i="53"/>
  <c r="K51" i="53"/>
  <c r="K24" i="53"/>
  <c r="K37" i="53"/>
  <c r="K20" i="53"/>
  <c r="K32" i="53"/>
  <c r="K19" i="53"/>
  <c r="K23" i="53"/>
  <c r="K25" i="53"/>
  <c r="K30" i="53"/>
  <c r="K29" i="53"/>
  <c r="K47" i="53"/>
  <c r="K35" i="53"/>
  <c r="K34" i="53"/>
  <c r="K50" i="53"/>
  <c r="K48" i="52"/>
  <c r="K40" i="52"/>
  <c r="K16" i="52"/>
  <c r="K36" i="52"/>
  <c r="K26" i="52"/>
  <c r="K31" i="52"/>
  <c r="H51" i="52"/>
  <c r="K32" i="52"/>
  <c r="K17" i="52"/>
  <c r="K37" i="52"/>
  <c r="K21" i="52"/>
  <c r="K15" i="52"/>
  <c r="K39" i="52"/>
  <c r="K33" i="52"/>
  <c r="K18" i="52"/>
  <c r="K27" i="52"/>
  <c r="K28" i="52"/>
  <c r="K41" i="52"/>
  <c r="K24" i="52"/>
  <c r="K20" i="52"/>
  <c r="K38" i="52"/>
  <c r="K51" i="52"/>
  <c r="K22" i="52"/>
  <c r="K19" i="52"/>
  <c r="K23" i="52"/>
  <c r="K25" i="52"/>
  <c r="K47" i="52"/>
  <c r="K30" i="52"/>
  <c r="K29" i="52"/>
  <c r="K35" i="52"/>
  <c r="K50" i="52"/>
  <c r="K34" i="52"/>
  <c r="K49" i="112"/>
  <c r="K33" i="112"/>
  <c r="K20" i="112"/>
  <c r="K31" i="112"/>
  <c r="K40" i="112"/>
  <c r="K26" i="112"/>
  <c r="K21" i="112"/>
  <c r="K41" i="112"/>
  <c r="H51" i="112"/>
  <c r="K17" i="112"/>
  <c r="K32" i="112"/>
  <c r="K15" i="112"/>
  <c r="K36" i="112"/>
  <c r="K27" i="112"/>
  <c r="K39" i="112"/>
  <c r="K18" i="112"/>
  <c r="K37" i="112"/>
  <c r="K24" i="112"/>
  <c r="K51" i="112"/>
  <c r="K16" i="112"/>
  <c r="K22" i="112"/>
  <c r="K38" i="112"/>
  <c r="K28" i="112"/>
  <c r="K19" i="112"/>
  <c r="K23" i="112"/>
  <c r="K25" i="112"/>
  <c r="K30" i="112"/>
  <c r="K29" i="112"/>
  <c r="K47" i="112"/>
  <c r="H8" i="7"/>
  <c r="I51" i="113"/>
  <c r="I8" i="7" s="1"/>
  <c r="G46" i="4"/>
  <c r="H44" i="4"/>
  <c r="I44" i="4" s="1"/>
  <c r="J35" i="46"/>
  <c r="G46" i="112"/>
  <c r="H44" i="112"/>
  <c r="I44" i="112" s="1"/>
  <c r="K49" i="49"/>
  <c r="K51" i="49"/>
  <c r="K33" i="49"/>
  <c r="K26" i="49"/>
  <c r="K27" i="49"/>
  <c r="K38" i="49"/>
  <c r="K22" i="49"/>
  <c r="K39" i="49"/>
  <c r="K32" i="49"/>
  <c r="K31" i="49"/>
  <c r="K20" i="49"/>
  <c r="K16" i="49"/>
  <c r="K37" i="49"/>
  <c r="K41" i="49"/>
  <c r="K18" i="49"/>
  <c r="H51" i="49"/>
  <c r="K21" i="49"/>
  <c r="K15" i="49"/>
  <c r="K28" i="49"/>
  <c r="K36" i="49"/>
  <c r="K40" i="49"/>
  <c r="K17" i="49"/>
  <c r="K24" i="49"/>
  <c r="K19" i="49"/>
  <c r="K23" i="49"/>
  <c r="K25" i="49"/>
  <c r="K29" i="49"/>
  <c r="K47" i="49"/>
  <c r="K30" i="49"/>
  <c r="K35" i="49"/>
  <c r="K48" i="49"/>
  <c r="K50" i="49"/>
  <c r="K34" i="49"/>
  <c r="G46" i="47"/>
  <c r="H44" i="47"/>
  <c r="I44" i="47" s="1"/>
  <c r="K49" i="47"/>
  <c r="K15" i="47"/>
  <c r="K32" i="47"/>
  <c r="H51" i="47"/>
  <c r="K38" i="47"/>
  <c r="K22" i="47"/>
  <c r="K27" i="47"/>
  <c r="K41" i="47"/>
  <c r="K31" i="47"/>
  <c r="K21" i="47"/>
  <c r="K51" i="47"/>
  <c r="K37" i="47"/>
  <c r="K20" i="47"/>
  <c r="K17" i="47"/>
  <c r="K16" i="47"/>
  <c r="K24" i="47"/>
  <c r="K33" i="47"/>
  <c r="K36" i="47"/>
  <c r="K39" i="47"/>
  <c r="K40" i="47"/>
  <c r="K26" i="47"/>
  <c r="K28" i="47"/>
  <c r="K18" i="47"/>
  <c r="K19" i="47"/>
  <c r="K23" i="47"/>
  <c r="K25" i="47"/>
  <c r="K47" i="47"/>
  <c r="K30" i="47"/>
  <c r="K29" i="47"/>
  <c r="H49" i="4"/>
  <c r="I49" i="4" s="1"/>
  <c r="G51" i="4"/>
  <c r="J34" i="52"/>
  <c r="J18" i="52"/>
  <c r="J39" i="52"/>
  <c r="J32" i="52"/>
  <c r="H46" i="52"/>
  <c r="I46" i="52" s="1"/>
  <c r="J28" i="52"/>
  <c r="J24" i="52"/>
  <c r="J36" i="52"/>
  <c r="J40" i="52"/>
  <c r="J22" i="52"/>
  <c r="J27" i="52"/>
  <c r="J38" i="52"/>
  <c r="J37" i="52"/>
  <c r="J13" i="52"/>
  <c r="J21" i="52"/>
  <c r="J31" i="52"/>
  <c r="J14" i="52"/>
  <c r="J41" i="52"/>
  <c r="J20" i="52"/>
  <c r="J26" i="52"/>
  <c r="J12" i="52"/>
  <c r="J46" i="52"/>
  <c r="J33" i="52"/>
  <c r="J19" i="52"/>
  <c r="J23" i="52"/>
  <c r="J25" i="52"/>
  <c r="J42" i="52"/>
  <c r="J29" i="52"/>
  <c r="J30" i="52"/>
  <c r="J35" i="52"/>
  <c r="J43" i="52"/>
  <c r="J45" i="52"/>
  <c r="H49" i="46"/>
  <c r="I49" i="46" s="1"/>
  <c r="G51" i="46"/>
  <c r="K49" i="46" s="1"/>
  <c r="K48" i="50"/>
  <c r="K40" i="50"/>
  <c r="K31" i="50"/>
  <c r="K15" i="50"/>
  <c r="K22" i="50"/>
  <c r="K27" i="50"/>
  <c r="H51" i="50"/>
  <c r="K18" i="50"/>
  <c r="K17" i="50"/>
  <c r="K37" i="50"/>
  <c r="K41" i="50"/>
  <c r="K24" i="50"/>
  <c r="K38" i="50"/>
  <c r="K32" i="50"/>
  <c r="K51" i="50"/>
  <c r="K36" i="50"/>
  <c r="K28" i="50"/>
  <c r="K21" i="50"/>
  <c r="K16" i="50"/>
  <c r="K33" i="50"/>
  <c r="K26" i="50"/>
  <c r="K20" i="50"/>
  <c r="K39" i="50"/>
  <c r="K19" i="50"/>
  <c r="K23" i="50"/>
  <c r="K25" i="50"/>
  <c r="K30" i="50"/>
  <c r="K29" i="50"/>
  <c r="K47" i="50"/>
  <c r="K35" i="50"/>
  <c r="K34" i="50"/>
  <c r="K50" i="50"/>
  <c r="J45" i="46"/>
  <c r="J44" i="114"/>
  <c r="J27" i="114"/>
  <c r="J18" i="114"/>
  <c r="J32" i="114"/>
  <c r="J22" i="114"/>
  <c r="J12" i="114"/>
  <c r="J38" i="114"/>
  <c r="J14" i="114"/>
  <c r="J26" i="114"/>
  <c r="J36" i="114"/>
  <c r="J40" i="114"/>
  <c r="J33" i="114"/>
  <c r="J41" i="114"/>
  <c r="J24" i="114"/>
  <c r="J37" i="114"/>
  <c r="J21" i="114"/>
  <c r="J39" i="114"/>
  <c r="J31" i="114"/>
  <c r="J28" i="114"/>
  <c r="H46" i="114"/>
  <c r="I46" i="114" s="1"/>
  <c r="J46" i="114"/>
  <c r="J20" i="114"/>
  <c r="J13" i="114"/>
  <c r="J19" i="114"/>
  <c r="J23" i="114"/>
  <c r="J25" i="114"/>
  <c r="J30" i="114"/>
  <c r="J42" i="114"/>
  <c r="J29" i="114"/>
  <c r="J34" i="114"/>
  <c r="J35" i="114"/>
  <c r="J45" i="114"/>
  <c r="J43" i="114"/>
  <c r="H10" i="7"/>
  <c r="I51" i="51"/>
  <c r="I10" i="7" s="1"/>
  <c r="I51" i="114"/>
  <c r="I12" i="7" s="1"/>
  <c r="H12" i="7"/>
  <c r="J45" i="51"/>
  <c r="J26" i="51"/>
  <c r="J22" i="51"/>
  <c r="J39" i="51"/>
  <c r="J12" i="51"/>
  <c r="J28" i="51"/>
  <c r="J40" i="51"/>
  <c r="J36" i="51"/>
  <c r="H46" i="51"/>
  <c r="I46" i="51" s="1"/>
  <c r="J38" i="51"/>
  <c r="J20" i="51"/>
  <c r="J24" i="51"/>
  <c r="J31" i="51"/>
  <c r="J37" i="51"/>
  <c r="J27" i="51"/>
  <c r="J41" i="51"/>
  <c r="J46" i="51"/>
  <c r="J21" i="51"/>
  <c r="J13" i="51"/>
  <c r="J18" i="51"/>
  <c r="J33" i="51"/>
  <c r="J32" i="51"/>
  <c r="J14" i="51"/>
  <c r="J19" i="51"/>
  <c r="J23" i="51"/>
  <c r="J25" i="51"/>
  <c r="J30" i="51"/>
  <c r="J42" i="51"/>
  <c r="J29" i="51"/>
  <c r="J34" i="51"/>
  <c r="J35" i="51"/>
  <c r="J43" i="51"/>
  <c r="K49" i="52"/>
  <c r="K50" i="48"/>
  <c r="K15" i="48"/>
  <c r="K38" i="48"/>
  <c r="K37" i="48"/>
  <c r="K22" i="48"/>
  <c r="K51" i="48"/>
  <c r="K24" i="48"/>
  <c r="K31" i="48"/>
  <c r="K33" i="48"/>
  <c r="K40" i="48"/>
  <c r="K39" i="48"/>
  <c r="K18" i="48"/>
  <c r="H51" i="48"/>
  <c r="K16" i="48"/>
  <c r="K20" i="48"/>
  <c r="K27" i="48"/>
  <c r="K17" i="48"/>
  <c r="K28" i="48"/>
  <c r="K32" i="48"/>
  <c r="K41" i="48"/>
  <c r="K26" i="48"/>
  <c r="K21" i="48"/>
  <c r="K36" i="48"/>
  <c r="K19" i="48"/>
  <c r="K23" i="48"/>
  <c r="K25" i="48"/>
  <c r="K47" i="48"/>
  <c r="K30" i="48"/>
  <c r="K29" i="48"/>
  <c r="K34" i="48"/>
  <c r="K48" i="48"/>
  <c r="K35" i="48"/>
  <c r="J34" i="46"/>
  <c r="H6" i="7" l="1"/>
  <c r="I51" i="48"/>
  <c r="I6" i="7" s="1"/>
  <c r="J45" i="4"/>
  <c r="J32" i="4"/>
  <c r="J33" i="4"/>
  <c r="J40" i="4"/>
  <c r="J41" i="4"/>
  <c r="J22" i="4"/>
  <c r="J46" i="4"/>
  <c r="J39" i="4"/>
  <c r="J26" i="4"/>
  <c r="J36" i="4"/>
  <c r="J37" i="4"/>
  <c r="J20" i="4"/>
  <c r="J28" i="4"/>
  <c r="H46" i="4"/>
  <c r="I46" i="4" s="1"/>
  <c r="J24" i="4"/>
  <c r="J38" i="4"/>
  <c r="J13" i="4"/>
  <c r="J31" i="4"/>
  <c r="J14" i="4"/>
  <c r="J27" i="4"/>
  <c r="J21" i="4"/>
  <c r="J12" i="4"/>
  <c r="J18" i="4"/>
  <c r="J19" i="4"/>
  <c r="J23" i="4"/>
  <c r="J25" i="4"/>
  <c r="J30" i="4"/>
  <c r="J42" i="4"/>
  <c r="J29" i="4"/>
  <c r="J34" i="4"/>
  <c r="J35" i="4"/>
  <c r="J43" i="4"/>
  <c r="I51" i="50"/>
  <c r="I9" i="7" s="1"/>
  <c r="H9" i="7"/>
  <c r="K48" i="46"/>
  <c r="K18" i="46"/>
  <c r="K28" i="46"/>
  <c r="K15" i="46"/>
  <c r="K20" i="46"/>
  <c r="K40" i="46"/>
  <c r="K24" i="46"/>
  <c r="K16" i="46"/>
  <c r="K17" i="46"/>
  <c r="K51" i="46"/>
  <c r="K26" i="46"/>
  <c r="H51" i="46"/>
  <c r="K21" i="46"/>
  <c r="K33" i="46"/>
  <c r="K36" i="46"/>
  <c r="K37" i="46"/>
  <c r="K39" i="46"/>
  <c r="K32" i="46"/>
  <c r="K22" i="46"/>
  <c r="K27" i="46"/>
  <c r="K38" i="46"/>
  <c r="K41" i="46"/>
  <c r="K31" i="46"/>
  <c r="K19" i="46"/>
  <c r="K23" i="46"/>
  <c r="K25" i="46"/>
  <c r="K30" i="46"/>
  <c r="K47" i="46"/>
  <c r="K29" i="46"/>
  <c r="K50" i="46"/>
  <c r="K34" i="46"/>
  <c r="K35" i="46"/>
  <c r="H11" i="7"/>
  <c r="I51" i="52"/>
  <c r="I11" i="7" s="1"/>
  <c r="K49" i="4"/>
  <c r="K26" i="4"/>
  <c r="K18" i="4"/>
  <c r="K33" i="4"/>
  <c r="K15" i="4"/>
  <c r="K37" i="4"/>
  <c r="K39" i="4"/>
  <c r="K24" i="4"/>
  <c r="K22" i="4"/>
  <c r="K21" i="4"/>
  <c r="K32" i="4"/>
  <c r="H51" i="4"/>
  <c r="K20" i="4"/>
  <c r="K40" i="4"/>
  <c r="K16" i="4"/>
  <c r="K41" i="4"/>
  <c r="K27" i="4"/>
  <c r="K51" i="4"/>
  <c r="K28" i="4"/>
  <c r="K31" i="4"/>
  <c r="K38" i="4"/>
  <c r="K17" i="4"/>
  <c r="K36" i="4"/>
  <c r="K19" i="4"/>
  <c r="K23" i="4"/>
  <c r="K25" i="4"/>
  <c r="K47" i="4"/>
  <c r="K30" i="4"/>
  <c r="K29" i="4"/>
  <c r="K48" i="4"/>
  <c r="K50" i="4"/>
  <c r="K34" i="4"/>
  <c r="K35" i="4"/>
  <c r="H4" i="7"/>
  <c r="I51" i="112"/>
  <c r="I4" i="7" s="1"/>
  <c r="H13" i="7"/>
  <c r="I51" i="53"/>
  <c r="I13" i="7" s="1"/>
  <c r="J45" i="47"/>
  <c r="J13" i="47"/>
  <c r="J22" i="47"/>
  <c r="J33" i="47"/>
  <c r="J31" i="47"/>
  <c r="J26" i="47"/>
  <c r="J21" i="47"/>
  <c r="J41" i="47"/>
  <c r="J37" i="47"/>
  <c r="J14" i="47"/>
  <c r="J40" i="47"/>
  <c r="J24" i="47"/>
  <c r="J36" i="47"/>
  <c r="J46" i="47"/>
  <c r="J28" i="47"/>
  <c r="J38" i="47"/>
  <c r="J20" i="47"/>
  <c r="J12" i="47"/>
  <c r="H46" i="47"/>
  <c r="I46" i="47" s="1"/>
  <c r="J32" i="47"/>
  <c r="J27" i="47"/>
  <c r="J18" i="47"/>
  <c r="J39" i="47"/>
  <c r="J19" i="47"/>
  <c r="J23" i="47"/>
  <c r="J25" i="47"/>
  <c r="J42" i="47"/>
  <c r="J30" i="47"/>
  <c r="J29" i="47"/>
  <c r="J34" i="47"/>
  <c r="J35" i="47"/>
  <c r="J43" i="47"/>
  <c r="J37" i="112"/>
  <c r="J33" i="112"/>
  <c r="J14" i="112"/>
  <c r="J39" i="112"/>
  <c r="J21" i="112"/>
  <c r="J28" i="112"/>
  <c r="J41" i="112"/>
  <c r="J31" i="112"/>
  <c r="J22" i="112"/>
  <c r="J24" i="112"/>
  <c r="J38" i="112"/>
  <c r="J32" i="112"/>
  <c r="J12" i="112"/>
  <c r="J40" i="112"/>
  <c r="J36" i="112"/>
  <c r="H46" i="112"/>
  <c r="I46" i="112" s="1"/>
  <c r="J27" i="112"/>
  <c r="J20" i="112"/>
  <c r="J13" i="112"/>
  <c r="J46" i="112"/>
  <c r="J18" i="112"/>
  <c r="J26" i="112"/>
  <c r="J19" i="112"/>
  <c r="J23" i="112"/>
  <c r="J25" i="112"/>
  <c r="J30" i="112"/>
  <c r="J29" i="112"/>
  <c r="J42" i="112"/>
  <c r="J34" i="112"/>
  <c r="J35" i="112"/>
  <c r="J45" i="112"/>
  <c r="J43" i="112"/>
  <c r="I51" i="47"/>
  <c r="I5" i="7" s="1"/>
  <c r="H5" i="7"/>
  <c r="J44" i="47"/>
  <c r="H7" i="7"/>
  <c r="I51" i="49"/>
  <c r="I7" i="7" s="1"/>
  <c r="J44" i="112"/>
  <c r="J44" i="4"/>
  <c r="I51" i="4" l="1"/>
  <c r="I2" i="7" s="1"/>
  <c r="H2" i="7"/>
  <c r="I51" i="46"/>
  <c r="I3" i="7" s="1"/>
  <c r="H3" i="7"/>
</calcChain>
</file>

<file path=xl/comments1.xml><?xml version="1.0" encoding="utf-8"?>
<comments xmlns="http://schemas.openxmlformats.org/spreadsheetml/2006/main">
  <authors>
    <author>SHETH Nikita</author>
    <author>KIM Susan</author>
    <author>AKSELRUD Uri</author>
  </authors>
  <commentList>
    <comment ref="K5" authorId="0">
      <text>
        <r>
          <rPr>
            <b/>
            <sz val="8"/>
            <color indexed="81"/>
            <rFont val="Tahoma"/>
            <family val="2"/>
          </rPr>
          <t>SHETH Nikita:</t>
        </r>
        <r>
          <rPr>
            <sz val="8"/>
            <color indexed="81"/>
            <rFont val="Tahoma"/>
            <family val="2"/>
          </rPr>
          <t xml:space="preserve">
Forgone revenue rider is not taken into account when comparing bill impacts of 2017 rates over 2016. Same approach as 2016.</t>
        </r>
      </text>
    </comment>
    <comment ref="L5" authorId="0">
      <text>
        <r>
          <rPr>
            <b/>
            <sz val="8"/>
            <color indexed="81"/>
            <rFont val="Tahoma"/>
            <family val="2"/>
          </rPr>
          <t>SHETH Nikita:</t>
        </r>
        <r>
          <rPr>
            <sz val="8"/>
            <color indexed="81"/>
            <rFont val="Tahoma"/>
            <family val="2"/>
          </rPr>
          <t xml:space="preserve">
Forgone revenue rider is not taken into account when comparing bill impacts of 2017 rates over 2016. Same approach as 2016.</t>
        </r>
      </text>
    </comment>
    <comment ref="W5" authorId="1">
      <text>
        <r>
          <rPr>
            <sz val="8"/>
            <color indexed="81"/>
            <rFont val="Tahoma"/>
            <family val="2"/>
          </rPr>
          <t>INCLUDES NEW RSVA WMSC FOR CLASS B ONLY</t>
        </r>
      </text>
    </comment>
    <comment ref="Y15" authorId="2">
      <text>
        <r>
          <rPr>
            <sz val="9"/>
            <color indexed="81"/>
            <rFont val="Tahoma"/>
            <family val="2"/>
          </rPr>
          <t>uplifted for applicable line losses</t>
        </r>
      </text>
    </comment>
    <comment ref="Y16" authorId="2">
      <text>
        <r>
          <rPr>
            <sz val="9"/>
            <color indexed="81"/>
            <rFont val="Tahoma"/>
            <family val="2"/>
          </rPr>
          <t>uplifted for applicable line losses</t>
        </r>
      </text>
    </comment>
    <comment ref="Y17" authorId="2">
      <text>
        <r>
          <rPr>
            <sz val="9"/>
            <color indexed="81"/>
            <rFont val="Tahoma"/>
            <family val="2"/>
          </rPr>
          <t>uplifted for applicable line losses</t>
        </r>
      </text>
    </comment>
    <comment ref="Q18" authorId="1">
      <text>
        <r>
          <rPr>
            <sz val="8"/>
            <color indexed="81"/>
            <rFont val="Tahoma"/>
            <family val="2"/>
          </rPr>
          <t>ST Fixed Service Charge and ST Meter Charge for an ST  delivery point with 1 applicable HONI-owned metering facility</t>
        </r>
      </text>
    </comment>
    <comment ref="S18" authorId="1">
      <text>
        <r>
          <rPr>
            <sz val="8"/>
            <color indexed="81"/>
            <rFont val="Tahoma"/>
            <family val="2"/>
          </rPr>
          <t>ST common line charge determinant</t>
        </r>
      </text>
    </comment>
    <comment ref="Y18" authorId="1">
      <text>
        <r>
          <rPr>
            <sz val="8"/>
            <color indexed="81"/>
            <rFont val="Tahoma"/>
            <family val="2"/>
          </rPr>
          <t>uplifted for applicable line losses</t>
        </r>
      </text>
    </comment>
  </commentList>
</comments>
</file>

<file path=xl/sharedStrings.xml><?xml version="1.0" encoding="utf-8"?>
<sst xmlns="http://schemas.openxmlformats.org/spreadsheetml/2006/main" count="2438" uniqueCount="126">
  <si>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</si>
  <si>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</si>
  <si>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</si>
  <si>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</si>
  <si>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</si>
  <si>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</si>
  <si>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</si>
  <si>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</si>
  <si>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</si>
  <si>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</si>
  <si>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</si>
  <si>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</si>
  <si>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</si>
  <si>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</si>
  <si>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</si>
  <si>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</si>
  <si>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</si>
  <si>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</si>
  <si>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</si>
  <si>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</si>
  <si>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</si>
  <si>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</si>
  <si>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</si>
  <si>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</si>
  <si>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</si>
  <si>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</si>
  <si>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</si>
  <si>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</si>
  <si>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</si>
  <si>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</si>
  <si>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</si>
  <si>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</si>
  <si>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</si>
  <si>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</si>
  <si>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</si>
  <si>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</si>
  <si>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</si>
  <si>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</si>
  <si>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</si>
  <si>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</si>
  <si>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</si>
  <si>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</si>
  <si>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</si>
  <si>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</si>
  <si>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</si>
  <si>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</si>
  <si>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</si>
  <si>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t>DGen</t>
  </si>
  <si>
    <t>Load factor</t>
  </si>
  <si>
    <t xml:space="preserve">% of Total Bill </t>
  </si>
  <si>
    <t>TOU</t>
  </si>
  <si>
    <t>Current Variable Charge ($/kWh or $/kW))</t>
  </si>
  <si>
    <t>Smart Metering Entity Charge ($/month)</t>
  </si>
  <si>
    <t>Smart Meter Adder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</si>
  <si>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</si>
  <si>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</si>
  <si>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</si>
  <si>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</si>
  <si>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</si>
  <si>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</si>
  <si>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</si>
  <si>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</si>
  <si>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</si>
  <si>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</si>
  <si>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</si>
  <si>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</si>
  <si>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</si>
  <si>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</si>
  <si>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</si>
  <si>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</si>
  <si>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</si>
  <si>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</si>
  <si>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</si>
  <si>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</si>
  <si>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</si>
  <si>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</si>
  <si>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</si>
  <si>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</si>
  <si>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</si>
  <si>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</si>
  <si>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</si>
  <si>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</si>
  <si>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</si>
  <si>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</si>
  <si>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</si>
  <si>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</si>
  <si>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Proposed Def/VA rate rider Volumetric($/kWh or $/kW)</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</si>
  <si>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</si>
  <si>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</si>
  <si>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</si>
  <si>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</si>
  <si>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</si>
  <si>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</si>
  <si>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</si>
  <si>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Current Foregone Revenue Riders Fixed ($/month)</t>
  </si>
  <si>
    <t>Two-tier RPP</t>
  </si>
  <si>
    <t>Ontario Electricity Support Program Charge</t>
  </si>
  <si>
    <t>Proposed RTSR-CONN ($/kWh or $/kW)</t>
  </si>
  <si>
    <t>2018 Bill Impacts (Low Consumption Level)</t>
  </si>
  <si>
    <t>2017 Total Bill</t>
  </si>
  <si>
    <t>2018 Bill Impacts (Typical Consumption Level)</t>
  </si>
  <si>
    <t>2018 Bill Impacts (High Consumption Level)</t>
  </si>
  <si>
    <t>Current Rate Rider for Disposition of Global Adjustment Account</t>
  </si>
  <si>
    <t>Proposed Rate Rider for Disposition of Global Adjustment Account</t>
  </si>
  <si>
    <t>Proposed Foregone Revenue Riders Fixed ($/month)</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</si>
  <si>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</si>
  <si>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</si>
  <si>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</si>
  <si>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</si>
  <si>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</si>
  <si>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</si>
  <si>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</si>
  <si>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Volumetric Global Adjustment Account Rider</t>
  </si>
  <si>
    <t>Fixed Foregone Revenue Rider</t>
  </si>
  <si>
    <t>Fixed Foregone Revenue</t>
  </si>
  <si>
    <t>Total Electricity Charge on Two-Tier RPP (before HST)</t>
  </si>
  <si>
    <t>Service Charge (RRRP credit applied)</t>
  </si>
  <si>
    <t>Average</t>
  </si>
  <si>
    <t>kWh (Consumption)</t>
  </si>
  <si>
    <t>kW (Peak)</t>
  </si>
  <si>
    <t>2018 Bill Impacts (Average Consumption Level)</t>
  </si>
  <si>
    <t>Total Amount on TOU</t>
  </si>
  <si>
    <t>Smart Metering Entity Charge ($/month) - effective until Oct 2018</t>
  </si>
  <si>
    <t>Placeholder</t>
  </si>
  <si>
    <t>Volumetric Deferral/Variance Account Rider (including CBR Class B rider)</t>
  </si>
  <si>
    <t>DGEN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</si>
</sst>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s>
  <fonts count="16" x14ac:knownFonts="1">
    <font>
      <sz val="10"/>
      <name val="Arial"/>
      <family val="2"/>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2"/>
      <name val="Times New Roman"/>
      <family val="1"/>
    </font>
    <font>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6">
    <xf numFmtId="0" fontId="0"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164" fontId="2" fillId="0" borderId="0"/>
    <xf numFmtId="164" fontId="2" fillId="0" borderId="0"/>
    <xf numFmtId="164" fontId="2" fillId="0" borderId="0"/>
    <xf numFmtId="170" fontId="9" fillId="0" borderId="0"/>
    <xf numFmtId="171" fontId="2" fillId="0" borderId="0" applyFont="0" applyFill="0" applyBorder="0" applyAlignment="0" applyProtection="0"/>
    <xf numFmtId="172" fontId="2" fillId="0" borderId="0" applyFont="0" applyFill="0" applyBorder="0" applyAlignment="0" applyProtection="0"/>
    <xf numFmtId="39"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6" fontId="10" fillId="0" borderId="0"/>
    <xf numFmtId="177" fontId="10" fillId="0" borderId="0"/>
    <xf numFmtId="178" fontId="10" fillId="0" borderId="0"/>
    <xf numFmtId="38" fontId="11" fillId="8" borderId="0" applyNumberFormat="0" applyBorder="0" applyAlignment="0" applyProtection="0"/>
    <xf numFmtId="0" fontId="12" fillId="0" borderId="16" applyNumberFormat="0" applyAlignment="0" applyProtection="0">
      <alignment horizontal="left" vertical="center"/>
    </xf>
    <xf numFmtId="0" fontId="12" fillId="0" borderId="15">
      <alignment horizontal="left" vertical="center"/>
    </xf>
    <xf numFmtId="10" fontId="11" fillId="9" borderId="1" applyNumberFormat="0" applyBorder="0" applyAlignment="0" applyProtection="0"/>
    <xf numFmtId="179" fontId="9" fillId="0" borderId="0"/>
    <xf numFmtId="166" fontId="2" fillId="0" borderId="0"/>
    <xf numFmtId="0" fontId="2" fillId="0" borderId="0"/>
    <xf numFmtId="7" fontId="10" fillId="0" borderId="0"/>
    <xf numFmtId="37" fontId="13" fillId="10" borderId="0">
      <alignment horizontal="right"/>
    </xf>
    <xf numFmtId="10" fontId="2" fillId="0" borderId="0" applyFont="0" applyFill="0" applyBorder="0" applyAlignment="0" applyProtection="0"/>
    <xf numFmtId="0" fontId="14" fillId="0" borderId="0" applyNumberFormat="0" applyFont="0" applyFill="0" applyBorder="0" applyAlignment="0" applyProtection="0">
      <alignment horizontal="left"/>
    </xf>
    <xf numFmtId="15" fontId="14" fillId="0" borderId="0" applyFont="0" applyFill="0" applyBorder="0" applyAlignment="0" applyProtection="0"/>
    <xf numFmtId="4" fontId="14" fillId="0" borderId="0" applyFont="0" applyFill="0" applyBorder="0" applyAlignment="0" applyProtection="0"/>
    <xf numFmtId="0" fontId="15" fillId="0" borderId="36">
      <alignment horizontal="center"/>
    </xf>
    <xf numFmtId="3" fontId="14" fillId="0" borderId="0" applyFont="0" applyFill="0" applyBorder="0" applyAlignment="0" applyProtection="0"/>
    <xf numFmtId="0" fontId="14" fillId="11" borderId="0" applyNumberFormat="0" applyFont="0" applyBorder="0" applyAlignment="0" applyProtection="0"/>
    <xf numFmtId="1" fontId="2" fillId="0" borderId="0"/>
    <xf numFmtId="0" fontId="2" fillId="0" borderId="0" applyFont="0" applyFill="0" applyBorder="0" applyAlignment="0" applyProtection="0"/>
    <xf numFmtId="0" fontId="2" fillId="0" borderId="0">
      <alignment vertical="top"/>
    </xf>
    <xf numFmtId="0" fontId="2" fillId="0" borderId="0">
      <alignment vertical="top"/>
    </xf>
    <xf numFmtId="180" fontId="2" fillId="0" borderId="0"/>
    <xf numFmtId="180" fontId="2" fillId="0" borderId="0"/>
    <xf numFmtId="180" fontId="2" fillId="0" borderId="0"/>
  </cellStyleXfs>
  <cellXfs count="193">
    <xf numFmtId="0" fontId="0" fillId="0" borderId="0" xfId="0"/>
    <xf numFmtId="0" fontId="3"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3" fontId="0" fillId="0" borderId="0" xfId="0" applyNumberFormat="1"/>
    <xf numFmtId="0" fontId="3" fillId="0" borderId="1" xfId="0" applyFont="1" applyBorder="1"/>
    <xf numFmtId="3" fontId="0" fillId="0" borderId="1" xfId="0" applyNumberFormat="1" applyBorder="1"/>
    <xf numFmtId="0" fontId="3" fillId="0" borderId="1" xfId="0" applyFont="1" applyFill="1" applyBorder="1"/>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xf>
    <xf numFmtId="0" fontId="3" fillId="2" borderId="1" xfId="0" applyFont="1" applyFill="1" applyBorder="1" applyAlignment="1">
      <alignment horizontal="center"/>
    </xf>
    <xf numFmtId="10" fontId="2" fillId="0" borderId="0" xfId="4" applyNumberFormat="1" applyFont="1"/>
    <xf numFmtId="0" fontId="0" fillId="2" borderId="1" xfId="0" applyFill="1" applyBorder="1"/>
    <xf numFmtId="0" fontId="0" fillId="2" borderId="1" xfId="0" applyFill="1" applyBorder="1" applyAlignment="1">
      <alignment horizontal="right"/>
    </xf>
    <xf numFmtId="0" fontId="3" fillId="0" borderId="4" xfId="0" applyFont="1" applyBorder="1" applyAlignment="1">
      <alignment horizontal="center" wrapText="1"/>
    </xf>
    <xf numFmtId="0" fontId="3" fillId="0" borderId="5" xfId="0" applyFont="1" applyBorder="1" applyAlignment="1">
      <alignment horizontal="center" wrapText="1"/>
    </xf>
    <xf numFmtId="10" fontId="3" fillId="0" borderId="6" xfId="4" applyNumberFormat="1" applyFont="1" applyBorder="1" applyAlignment="1">
      <alignment horizontal="center" wrapText="1"/>
    </xf>
    <xf numFmtId="0" fontId="3"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3" fillId="3" borderId="1" xfId="0" applyNumberFormat="1" applyFont="1" applyFill="1" applyBorder="1" applyAlignment="1">
      <alignment horizontal="center"/>
    </xf>
    <xf numFmtId="4" fontId="3" fillId="3" borderId="1" xfId="0" applyNumberFormat="1" applyFont="1" applyFill="1" applyBorder="1"/>
    <xf numFmtId="4" fontId="0" fillId="3" borderId="1" xfId="0" applyNumberFormat="1" applyFill="1" applyBorder="1"/>
    <xf numFmtId="10" fontId="3" fillId="3" borderId="1" xfId="4" applyNumberFormat="1" applyFont="1" applyFill="1" applyBorder="1"/>
    <xf numFmtId="166" fontId="2" fillId="0" borderId="1" xfId="0" applyNumberFormat="1" applyFont="1" applyBorder="1"/>
    <xf numFmtId="4" fontId="3" fillId="4" borderId="1" xfId="0" applyNumberFormat="1" applyFont="1" applyFill="1" applyBorder="1" applyAlignment="1">
      <alignment horizontal="center"/>
    </xf>
    <xf numFmtId="4" fontId="3" fillId="4" borderId="1" xfId="0" applyNumberFormat="1" applyFont="1" applyFill="1" applyBorder="1"/>
    <xf numFmtId="4" fontId="0" fillId="4" borderId="1" xfId="0" applyNumberFormat="1" applyFill="1" applyBorder="1"/>
    <xf numFmtId="10" fontId="2" fillId="4" borderId="1" xfId="4" applyNumberFormat="1" applyFont="1" applyFill="1" applyBorder="1"/>
    <xf numFmtId="10" fontId="3" fillId="4" borderId="1" xfId="4" applyNumberFormat="1" applyFont="1" applyFill="1" applyBorder="1"/>
    <xf numFmtId="167" fontId="0" fillId="0" borderId="1" xfId="0" applyNumberFormat="1" applyBorder="1"/>
    <xf numFmtId="4" fontId="3" fillId="0" borderId="1" xfId="0" applyNumberFormat="1" applyFont="1" applyBorder="1"/>
    <xf numFmtId="10" fontId="3" fillId="0" borderId="1" xfId="4" applyNumberFormat="1" applyFont="1" applyBorder="1"/>
    <xf numFmtId="0" fontId="3" fillId="3" borderId="7" xfId="0" applyFont="1" applyFill="1" applyBorder="1"/>
    <xf numFmtId="4" fontId="3" fillId="3" borderId="8" xfId="0" applyNumberFormat="1" applyFont="1" applyFill="1" applyBorder="1" applyAlignment="1">
      <alignment horizontal="center"/>
    </xf>
    <xf numFmtId="4" fontId="3" fillId="3" borderId="8" xfId="0" applyNumberFormat="1" applyFont="1" applyFill="1" applyBorder="1"/>
    <xf numFmtId="10" fontId="3" fillId="3" borderId="8" xfId="4" applyNumberFormat="1" applyFont="1" applyFill="1" applyBorder="1"/>
    <xf numFmtId="10" fontId="3" fillId="3" borderId="9" xfId="4" applyNumberFormat="1" applyFont="1" applyFill="1" applyBorder="1"/>
    <xf numFmtId="0" fontId="2" fillId="3" borderId="10" xfId="0" applyFont="1" applyFill="1" applyBorder="1"/>
    <xf numFmtId="4" fontId="0" fillId="3" borderId="1" xfId="0" applyNumberFormat="1" applyFill="1" applyBorder="1" applyAlignment="1">
      <alignment horizontal="center"/>
    </xf>
    <xf numFmtId="10" fontId="2" fillId="3" borderId="1" xfId="4" applyNumberFormat="1" applyFont="1" applyFill="1" applyBorder="1"/>
    <xf numFmtId="10" fontId="2" fillId="3" borderId="11" xfId="4" applyNumberFormat="1" applyFont="1" applyFill="1" applyBorder="1"/>
    <xf numFmtId="0" fontId="3" fillId="3" borderId="10" xfId="0" applyFont="1" applyFill="1" applyBorder="1"/>
    <xf numFmtId="10" fontId="3" fillId="3" borderId="11" xfId="4" applyNumberFormat="1" applyFont="1" applyFill="1" applyBorder="1"/>
    <xf numFmtId="0" fontId="3" fillId="3" borderId="12" xfId="0" applyFont="1" applyFill="1" applyBorder="1"/>
    <xf numFmtId="4" fontId="3" fillId="3" borderId="13" xfId="0" applyNumberFormat="1" applyFont="1" applyFill="1" applyBorder="1" applyAlignment="1">
      <alignment horizontal="center"/>
    </xf>
    <xf numFmtId="4" fontId="3" fillId="3" borderId="13" xfId="0" applyNumberFormat="1" applyFont="1" applyFill="1" applyBorder="1"/>
    <xf numFmtId="10" fontId="3" fillId="3" borderId="13" xfId="4" applyNumberFormat="1" applyFont="1" applyFill="1" applyBorder="1"/>
    <xf numFmtId="10" fontId="3" fillId="3" borderId="14" xfId="4" applyNumberFormat="1" applyFont="1" applyFill="1" applyBorder="1"/>
    <xf numFmtId="0" fontId="3" fillId="4" borderId="7" xfId="0" applyFont="1" applyFill="1" applyBorder="1"/>
    <xf numFmtId="4" fontId="3" fillId="4" borderId="8" xfId="0" applyNumberFormat="1" applyFont="1" applyFill="1" applyBorder="1" applyAlignment="1">
      <alignment horizontal="center"/>
    </xf>
    <xf numFmtId="4" fontId="3" fillId="4" borderId="8" xfId="0" applyNumberFormat="1" applyFont="1" applyFill="1" applyBorder="1"/>
    <xf numFmtId="10" fontId="3" fillId="4" borderId="8" xfId="4" applyNumberFormat="1" applyFont="1" applyFill="1" applyBorder="1"/>
    <xf numFmtId="10" fontId="3" fillId="4" borderId="9" xfId="4" applyNumberFormat="1" applyFont="1" applyFill="1" applyBorder="1"/>
    <xf numFmtId="0" fontId="2" fillId="4" borderId="10" xfId="0" applyFont="1" applyFill="1" applyBorder="1"/>
    <xf numFmtId="4" fontId="0" fillId="4" borderId="1" xfId="0" applyNumberFormat="1" applyFill="1" applyBorder="1" applyAlignment="1">
      <alignment horizontal="center"/>
    </xf>
    <xf numFmtId="10" fontId="2" fillId="4" borderId="11" xfId="4" applyNumberFormat="1" applyFont="1" applyFill="1" applyBorder="1"/>
    <xf numFmtId="0" fontId="3" fillId="4" borderId="10" xfId="0" applyFont="1" applyFill="1" applyBorder="1"/>
    <xf numFmtId="10" fontId="3" fillId="4" borderId="11" xfId="4" applyNumberFormat="1" applyFont="1" applyFill="1" applyBorder="1"/>
    <xf numFmtId="0" fontId="3" fillId="4" borderId="12" xfId="0" applyFont="1" applyFill="1" applyBorder="1"/>
    <xf numFmtId="4" fontId="3" fillId="4" borderId="13" xfId="0" applyNumberFormat="1" applyFont="1" applyFill="1" applyBorder="1" applyAlignment="1">
      <alignment horizontal="center"/>
    </xf>
    <xf numFmtId="4" fontId="3" fillId="4" borderId="13" xfId="0" applyNumberFormat="1" applyFont="1" applyFill="1" applyBorder="1"/>
    <xf numFmtId="10" fontId="3" fillId="4" borderId="13" xfId="4" applyNumberFormat="1" applyFont="1" applyFill="1" applyBorder="1"/>
    <xf numFmtId="10" fontId="3"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3" fillId="0" borderId="1" xfId="0" applyNumberFormat="1" applyFont="1" applyBorder="1" applyAlignment="1">
      <alignment horizontal="center"/>
    </xf>
    <xf numFmtId="3" fontId="2"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2" fillId="2" borderId="1" xfId="0" applyFont="1" applyFill="1" applyBorder="1"/>
    <xf numFmtId="9" fontId="2" fillId="2" borderId="1" xfId="4" applyFont="1" applyFill="1" applyBorder="1"/>
    <xf numFmtId="3" fontId="3" fillId="0" borderId="9" xfId="0" applyNumberFormat="1" applyFont="1" applyBorder="1" applyAlignment="1">
      <alignment horizontal="center"/>
    </xf>
    <xf numFmtId="3" fontId="3" fillId="0" borderId="11" xfId="0" applyNumberFormat="1" applyFont="1" applyBorder="1" applyAlignment="1">
      <alignment horizontal="center"/>
    </xf>
    <xf numFmtId="3" fontId="3" fillId="0" borderId="14" xfId="0" applyNumberFormat="1" applyFont="1" applyBorder="1" applyAlignment="1">
      <alignment horizontal="center"/>
    </xf>
    <xf numFmtId="0" fontId="3" fillId="6" borderId="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center"/>
    </xf>
    <xf numFmtId="3" fontId="3" fillId="0" borderId="10" xfId="0" applyNumberFormat="1" applyFont="1" applyBorder="1" applyAlignment="1">
      <alignment horizontal="center"/>
    </xf>
    <xf numFmtId="3" fontId="3" fillId="0" borderId="12" xfId="0" applyNumberFormat="1" applyFont="1" applyBorder="1" applyAlignment="1">
      <alignment horizontal="center"/>
    </xf>
    <xf numFmtId="0" fontId="3" fillId="0" borderId="23" xfId="0" applyFont="1" applyBorder="1" applyAlignment="1">
      <alignment horizontal="center" vertical="center" wrapText="1"/>
    </xf>
    <xf numFmtId="0" fontId="3" fillId="0" borderId="32" xfId="0" applyFont="1" applyBorder="1" applyAlignment="1">
      <alignment horizontal="center" wrapText="1"/>
    </xf>
    <xf numFmtId="0" fontId="3" fillId="0" borderId="33" xfId="0" applyFont="1" applyBorder="1" applyAlignment="1">
      <alignment horizontal="center" vertical="center" wrapText="1"/>
    </xf>
    <xf numFmtId="3" fontId="3" fillId="0" borderId="7" xfId="0" applyNumberFormat="1" applyFont="1" applyBorder="1" applyAlignment="1">
      <alignment horizontal="center"/>
    </xf>
    <xf numFmtId="0" fontId="3"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2" fillId="0" borderId="9" xfId="4" applyNumberFormat="1" applyFont="1" applyBorder="1"/>
    <xf numFmtId="0" fontId="0" fillId="0" borderId="10" xfId="0" applyBorder="1"/>
    <xf numFmtId="10" fontId="2" fillId="0" borderId="11" xfId="4" applyNumberFormat="1" applyFont="1" applyBorder="1"/>
    <xf numFmtId="0" fontId="2" fillId="0" borderId="10" xfId="0" applyFont="1" applyBorder="1"/>
    <xf numFmtId="0" fontId="3" fillId="0" borderId="10" xfId="0" applyFont="1" applyBorder="1"/>
    <xf numFmtId="10" fontId="3" fillId="0" borderId="11" xfId="4" applyNumberFormat="1" applyFont="1" applyBorder="1"/>
    <xf numFmtId="0" fontId="3" fillId="0" borderId="12" xfId="0" applyFont="1" applyBorder="1"/>
    <xf numFmtId="3" fontId="2" fillId="0" borderId="13" xfId="0" applyNumberFormat="1" applyFont="1" applyBorder="1" applyAlignment="1">
      <alignment horizontal="center"/>
    </xf>
    <xf numFmtId="166" fontId="2" fillId="0" borderId="13" xfId="0" applyNumberFormat="1" applyFont="1" applyBorder="1"/>
    <xf numFmtId="4" fontId="3" fillId="0" borderId="13" xfId="0" applyNumberFormat="1" applyFont="1" applyBorder="1"/>
    <xf numFmtId="3" fontId="0" fillId="0" borderId="13" xfId="0" applyNumberFormat="1" applyBorder="1" applyAlignment="1">
      <alignment horizontal="center"/>
    </xf>
    <xf numFmtId="10" fontId="3" fillId="0" borderId="13" xfId="4" applyNumberFormat="1" applyFont="1" applyBorder="1"/>
    <xf numFmtId="10" fontId="3"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2" fontId="0" fillId="5" borderId="1" xfId="0" applyNumberFormat="1" applyFill="1" applyBorder="1"/>
    <xf numFmtId="0" fontId="3"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0" fontId="6"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7" fontId="10" fillId="7" borderId="19" xfId="2" applyNumberFormat="1" applyFont="1" applyFill="1" applyBorder="1" applyAlignment="1">
      <alignment horizontal="center"/>
    </xf>
    <xf numFmtId="10" fontId="10" fillId="7" borderId="21" xfId="3" applyNumberFormat="1" applyFont="1" applyFill="1" applyBorder="1" applyAlignment="1">
      <alignment horizontal="center"/>
    </xf>
    <xf numFmtId="7" fontId="10" fillId="6" borderId="7" xfId="0" applyNumberFormat="1" applyFont="1" applyFill="1" applyBorder="1" applyAlignment="1">
      <alignment horizontal="center"/>
    </xf>
    <xf numFmtId="7" fontId="10" fillId="7" borderId="3" xfId="2" applyNumberFormat="1" applyFont="1" applyFill="1" applyBorder="1" applyAlignment="1">
      <alignment horizontal="center"/>
    </xf>
    <xf numFmtId="10" fontId="10" fillId="7" borderId="3" xfId="3" applyNumberFormat="1" applyFont="1" applyFill="1" applyBorder="1" applyAlignment="1">
      <alignment horizontal="center"/>
    </xf>
    <xf numFmtId="7" fontId="10" fillId="6" borderId="10" xfId="0" applyNumberFormat="1" applyFont="1" applyFill="1" applyBorder="1" applyAlignment="1">
      <alignment horizontal="center"/>
    </xf>
    <xf numFmtId="7" fontId="10" fillId="7" borderId="20" xfId="2" applyNumberFormat="1" applyFont="1" applyFill="1" applyBorder="1" applyAlignment="1">
      <alignment horizontal="center"/>
    </xf>
    <xf numFmtId="10" fontId="10" fillId="7" borderId="22" xfId="3" applyNumberFormat="1" applyFont="1" applyFill="1" applyBorder="1" applyAlignment="1">
      <alignment horizontal="center"/>
    </xf>
    <xf numFmtId="7" fontId="10" fillId="6" borderId="12" xfId="0" applyNumberFormat="1" applyFont="1" applyFill="1" applyBorder="1" applyAlignment="1">
      <alignment horizontal="center"/>
    </xf>
    <xf numFmtId="10" fontId="10" fillId="7" borderId="2" xfId="3" applyNumberFormat="1" applyFont="1" applyFill="1" applyBorder="1" applyAlignment="1">
      <alignment horizontal="center"/>
    </xf>
    <xf numFmtId="0" fontId="3" fillId="6" borderId="6" xfId="0" applyFont="1" applyFill="1" applyBorder="1" applyAlignment="1">
      <alignment horizontal="center" vertical="center" wrapText="1"/>
    </xf>
    <xf numFmtId="10" fontId="10" fillId="6" borderId="9" xfId="3" applyNumberFormat="1" applyFont="1" applyFill="1" applyBorder="1" applyAlignment="1">
      <alignment horizontal="center"/>
    </xf>
    <xf numFmtId="10" fontId="10" fillId="6" borderId="11" xfId="3" applyNumberFormat="1" applyFont="1" applyFill="1" applyBorder="1" applyAlignment="1">
      <alignment horizontal="center"/>
    </xf>
    <xf numFmtId="10" fontId="10" fillId="6" borderId="14" xfId="3" applyNumberFormat="1" applyFont="1" applyFill="1" applyBorder="1" applyAlignment="1">
      <alignment horizontal="center"/>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3" fillId="4" borderId="10" xfId="0" applyFont="1" applyFill="1" applyBorder="1" applyAlignment="1">
      <alignment horizontal="left"/>
    </xf>
    <xf numFmtId="0" fontId="3" fillId="7" borderId="1" xfId="0" applyFont="1" applyFill="1" applyBorder="1" applyAlignment="1">
      <alignment horizontal="center" vertical="center" wrapText="1"/>
    </xf>
    <xf numFmtId="0" fontId="3" fillId="5" borderId="1" xfId="0" applyFont="1" applyFill="1" applyBorder="1" applyAlignment="1">
      <alignment horizontal="center"/>
    </xf>
    <xf numFmtId="0" fontId="0" fillId="5" borderId="0" xfId="0" applyFill="1"/>
    <xf numFmtId="0" fontId="0" fillId="3" borderId="10" xfId="0" applyFont="1" applyFill="1" applyBorder="1"/>
    <xf numFmtId="0" fontId="0" fillId="4" borderId="10" xfId="0" applyFont="1" applyFill="1" applyBorder="1"/>
    <xf numFmtId="2" fontId="0" fillId="0" borderId="1" xfId="0" applyNumberFormat="1" applyBorder="1" applyAlignment="1">
      <alignment horizontal="center"/>
    </xf>
    <xf numFmtId="0" fontId="3" fillId="5" borderId="1" xfId="0" applyFont="1" applyFill="1" applyBorder="1" applyAlignment="1">
      <alignment horizontal="center" vertical="center" wrapText="1"/>
    </xf>
    <xf numFmtId="165" fontId="0" fillId="12" borderId="1" xfId="0" applyNumberFormat="1" applyFill="1" applyBorder="1"/>
    <xf numFmtId="0" fontId="3" fillId="0" borderId="38" xfId="0" applyFont="1" applyBorder="1" applyAlignment="1">
      <alignment horizontal="center"/>
    </xf>
    <xf numFmtId="3" fontId="3" fillId="0" borderId="39" xfId="0" applyNumberFormat="1" applyFont="1" applyBorder="1" applyAlignment="1">
      <alignment horizontal="center"/>
    </xf>
    <xf numFmtId="3" fontId="3" fillId="0" borderId="40" xfId="0" applyNumberFormat="1" applyFont="1" applyBorder="1" applyAlignment="1">
      <alignment horizontal="center"/>
    </xf>
    <xf numFmtId="7" fontId="0" fillId="0" borderId="37" xfId="0" applyNumberFormat="1" applyFont="1" applyBorder="1" applyAlignment="1">
      <alignment horizontal="center"/>
    </xf>
    <xf numFmtId="7" fontId="10" fillId="7" borderId="41" xfId="2" applyNumberFormat="1" applyFont="1" applyFill="1" applyBorder="1" applyAlignment="1">
      <alignment horizontal="center"/>
    </xf>
    <xf numFmtId="10" fontId="10" fillId="7" borderId="38" xfId="3" applyNumberFormat="1" applyFont="1" applyFill="1" applyBorder="1" applyAlignment="1">
      <alignment horizontal="center"/>
    </xf>
    <xf numFmtId="7" fontId="10" fillId="6" borderId="39" xfId="0" applyNumberFormat="1" applyFont="1" applyFill="1" applyBorder="1" applyAlignment="1">
      <alignment horizontal="center"/>
    </xf>
    <xf numFmtId="10" fontId="10" fillId="6" borderId="40" xfId="3" applyNumberFormat="1" applyFont="1" applyFill="1" applyBorder="1" applyAlignment="1">
      <alignment horizontal="center"/>
    </xf>
    <xf numFmtId="164" fontId="0" fillId="0" borderId="1" xfId="1" applyNumberFormat="1" applyFont="1" applyBorder="1"/>
    <xf numFmtId="0" fontId="3" fillId="0" borderId="1" xfId="0" applyFont="1" applyBorder="1" applyAlignment="1">
      <alignment wrapText="1"/>
    </xf>
    <xf numFmtId="1" fontId="0" fillId="2" borderId="1" xfId="0" applyNumberFormat="1" applyFill="1" applyBorder="1"/>
    <xf numFmtId="0" fontId="3" fillId="0" borderId="39" xfId="0" applyFont="1" applyBorder="1"/>
    <xf numFmtId="3" fontId="2" fillId="0" borderId="42" xfId="0" applyNumberFormat="1" applyFont="1" applyBorder="1" applyAlignment="1">
      <alignment horizontal="center"/>
    </xf>
    <xf numFmtId="166" fontId="2" fillId="0" borderId="42" xfId="0" applyNumberFormat="1" applyFont="1" applyBorder="1"/>
    <xf numFmtId="4" fontId="3" fillId="0" borderId="42" xfId="0" applyNumberFormat="1" applyFont="1" applyBorder="1"/>
    <xf numFmtId="3" fontId="0" fillId="0" borderId="42" xfId="0" applyNumberFormat="1" applyBorder="1" applyAlignment="1">
      <alignment horizontal="center"/>
    </xf>
    <xf numFmtId="10" fontId="3" fillId="0" borderId="42" xfId="4" applyNumberFormat="1" applyFont="1" applyBorder="1"/>
    <xf numFmtId="10" fontId="3" fillId="0" borderId="40" xfId="4" applyNumberFormat="1" applyFont="1" applyBorder="1"/>
    <xf numFmtId="167" fontId="0" fillId="0" borderId="1" xfId="0" applyNumberFormat="1" applyFont="1" applyBorder="1"/>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horizontal="center" vertical="center"/>
    </xf>
    <xf numFmtId="0" fontId="3" fillId="0" borderId="29"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6" fillId="0" borderId="34" xfId="0" applyFont="1" applyBorder="1" applyAlignment="1">
      <alignment horizontal="center"/>
    </xf>
    <xf numFmtId="0" fontId="6" fillId="0" borderId="16" xfId="0" applyFont="1" applyBorder="1" applyAlignment="1">
      <alignment horizontal="center"/>
    </xf>
    <xf numFmtId="0" fontId="6" fillId="0" borderId="35" xfId="0" applyFont="1" applyBorder="1" applyAlignment="1">
      <alignment horizontal="center"/>
    </xf>
  </cellXfs>
  <cellStyles count="46">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CCFFCC"/>
      <color rgb="FFFFCCCC"/>
      <color rgb="FFFFFFFF"/>
      <color rgb="FFFFCC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tint="0.499984740745262"/>
  </sheetPr>
  <dimension ref="A4:Y92"/>
  <sheetViews>
    <sheetView zoomScaleNormal="100" workbookViewId="0">
      <pane xSplit="2" ySplit="5" topLeftCell="C6" activePane="bottomRight" state="frozen"/>
      <selection activeCell="S19" sqref="S19"/>
      <selection pane="topRight" activeCell="S19" sqref="S19"/>
      <selection pane="bottomLeft" activeCell="S19" sqref="S19"/>
      <selection pane="bottomRight" sqref="A1:XFD1"/>
    </sheetView>
  </sheetViews>
  <sheetFormatPr defaultRowHeight="12.75" x14ac:dyDescent="0.2"/>
  <cols>
    <col min="1" max="1" width="18.42578125" bestFit="1" customWidth="1"/>
    <col min="2" max="2" width="13" customWidth="1"/>
    <col min="3" max="3" width="12.5703125" customWidth="1"/>
    <col min="4" max="4" width="11.140625" customWidth="1"/>
    <col min="6" max="6" width="12.140625" customWidth="1"/>
    <col min="7" max="7" width="9.42578125" style="152" bestFit="1" customWidth="1"/>
    <col min="8" max="8" width="8.85546875" style="152" bestFit="1" customWidth="1"/>
    <col min="9" max="9" width="9.42578125" style="152" bestFit="1" customWidth="1"/>
    <col min="10" max="10" width="9.5703125" style="152" customWidth="1"/>
    <col min="11" max="11" width="9.7109375" style="152" bestFit="1" customWidth="1"/>
    <col min="12" max="12" width="9.85546875" style="152" customWidth="1"/>
    <col min="13" max="13" width="9.42578125" style="152" bestFit="1" customWidth="1"/>
    <col min="14" max="14" width="9.85546875" style="152" bestFit="1" customWidth="1"/>
    <col min="15" max="15" width="8.42578125" style="152" bestFit="1" customWidth="1"/>
    <col min="16" max="16" width="9.5703125" style="152" bestFit="1" customWidth="1"/>
    <col min="17" max="18" width="10" customWidth="1"/>
    <col min="19" max="20" width="11" customWidth="1"/>
    <col min="21" max="21" width="11.140625" bestFit="1" customWidth="1"/>
    <col min="22" max="22" width="9.5703125" bestFit="1" customWidth="1"/>
    <col min="23" max="23" width="10.5703125" bestFit="1" customWidth="1"/>
    <col min="24" max="24" width="9.5703125" customWidth="1"/>
    <col min="25" max="25" width="9.5703125" bestFit="1" customWidth="1"/>
    <col min="26" max="26" width="11" customWidth="1"/>
    <col min="27" max="27" width="10.28515625" customWidth="1"/>
    <col min="28" max="28" width="10.7109375" customWidth="1"/>
  </cols>
  <sheetData>
    <row r="4" spans="1:25" x14ac:dyDescent="0.2">
      <c r="A4" s="9">
        <v>1</v>
      </c>
      <c r="B4" s="9">
        <v>2</v>
      </c>
      <c r="C4" s="9">
        <v>3</v>
      </c>
      <c r="D4" s="9">
        <v>4</v>
      </c>
      <c r="E4" s="9">
        <v>5</v>
      </c>
      <c r="F4" s="9">
        <v>6</v>
      </c>
      <c r="G4" s="151">
        <v>7</v>
      </c>
      <c r="H4" s="151">
        <v>8</v>
      </c>
      <c r="I4" s="151">
        <v>9</v>
      </c>
      <c r="J4" s="151">
        <v>10</v>
      </c>
      <c r="K4" s="151">
        <v>11</v>
      </c>
      <c r="L4" s="151">
        <v>12</v>
      </c>
      <c r="M4" s="151">
        <v>13</v>
      </c>
      <c r="N4" s="151">
        <v>14</v>
      </c>
      <c r="O4" s="151">
        <v>15</v>
      </c>
      <c r="P4" s="151">
        <v>16</v>
      </c>
      <c r="Q4" s="9">
        <v>17</v>
      </c>
      <c r="R4" s="9">
        <v>18</v>
      </c>
      <c r="S4" s="9">
        <v>19</v>
      </c>
      <c r="T4" s="9">
        <v>20</v>
      </c>
      <c r="U4" s="9">
        <v>21</v>
      </c>
      <c r="V4" s="9">
        <v>22</v>
      </c>
      <c r="W4" s="9">
        <v>23</v>
      </c>
      <c r="X4" s="9">
        <v>24</v>
      </c>
      <c r="Y4" s="9">
        <v>25</v>
      </c>
    </row>
    <row r="5" spans="1:25" s="12" customFormat="1" ht="102" x14ac:dyDescent="0.2">
      <c r="A5" s="10" t="s">
        <v>13</v>
      </c>
      <c r="B5" s="10" t="s">
        <v>14</v>
      </c>
      <c r="C5" s="10" t="s">
        <v>62</v>
      </c>
      <c r="D5" s="10" t="s">
        <v>15</v>
      </c>
      <c r="E5" s="10" t="s">
        <v>71</v>
      </c>
      <c r="F5" s="11" t="s">
        <v>17</v>
      </c>
      <c r="G5" s="11" t="s">
        <v>54</v>
      </c>
      <c r="H5" s="11" t="s">
        <v>53</v>
      </c>
      <c r="I5" s="11" t="s">
        <v>52</v>
      </c>
      <c r="J5" s="11" t="s">
        <v>51</v>
      </c>
      <c r="K5" s="11" t="s">
        <v>94</v>
      </c>
      <c r="L5" s="11" t="s">
        <v>104</v>
      </c>
      <c r="M5" s="11" t="s">
        <v>88</v>
      </c>
      <c r="N5" s="11" t="s">
        <v>89</v>
      </c>
      <c r="O5" s="11" t="s">
        <v>58</v>
      </c>
      <c r="P5" s="11" t="s">
        <v>59</v>
      </c>
      <c r="Q5" s="150" t="s">
        <v>55</v>
      </c>
      <c r="R5" s="11" t="s">
        <v>122</v>
      </c>
      <c r="S5" s="150" t="s">
        <v>57</v>
      </c>
      <c r="T5" s="156" t="s">
        <v>102</v>
      </c>
      <c r="U5" s="150" t="s">
        <v>103</v>
      </c>
      <c r="V5" s="150" t="s">
        <v>87</v>
      </c>
      <c r="W5" s="150" t="s">
        <v>86</v>
      </c>
      <c r="X5" s="150" t="s">
        <v>56</v>
      </c>
      <c r="Y5" s="150" t="s">
        <v>97</v>
      </c>
    </row>
    <row r="6" spans="1:25" x14ac:dyDescent="0.2">
      <c r="A6" s="6" t="s">
        <v>0</v>
      </c>
      <c r="B6" s="126">
        <v>1.0569999999999999</v>
      </c>
      <c r="C6" s="7">
        <v>750</v>
      </c>
      <c r="D6" s="7">
        <v>600</v>
      </c>
      <c r="E6" s="2"/>
      <c r="F6" s="4" t="s">
        <v>18</v>
      </c>
      <c r="G6" s="121">
        <v>24.78</v>
      </c>
      <c r="H6" s="78">
        <v>0</v>
      </c>
      <c r="I6" s="78">
        <v>0.79</v>
      </c>
      <c r="J6" s="125">
        <v>9.4000000000000004E-3</v>
      </c>
      <c r="K6" s="121"/>
      <c r="L6" s="125"/>
      <c r="M6" s="121">
        <v>0.72</v>
      </c>
      <c r="N6" s="125">
        <v>-2.9999999999999997E-4</v>
      </c>
      <c r="O6" s="125">
        <v>6.7000000000000002E-3</v>
      </c>
      <c r="P6" s="125">
        <v>4.7000000000000002E-3</v>
      </c>
      <c r="Q6" s="3">
        <v>27.71</v>
      </c>
      <c r="R6" s="2">
        <v>0.79</v>
      </c>
      <c r="S6" s="100">
        <v>7.7999999999999996E-3</v>
      </c>
      <c r="T6" s="125">
        <v>-1E-3</v>
      </c>
      <c r="U6" s="157"/>
      <c r="V6" s="155">
        <v>7.0000000000000001E-3</v>
      </c>
      <c r="W6" s="100">
        <v>3.0000000000000004E-5</v>
      </c>
      <c r="X6" s="100">
        <v>7.8279999999999999E-3</v>
      </c>
      <c r="Y6" s="100">
        <v>6.4380000000000001E-3</v>
      </c>
    </row>
    <row r="7" spans="1:25" x14ac:dyDescent="0.2">
      <c r="A7" s="6" t="s">
        <v>1</v>
      </c>
      <c r="B7" s="126">
        <v>1.0760000000000001</v>
      </c>
      <c r="C7" s="7">
        <v>750</v>
      </c>
      <c r="D7" s="7">
        <v>600</v>
      </c>
      <c r="E7" s="2"/>
      <c r="F7" s="4" t="s">
        <v>18</v>
      </c>
      <c r="G7" s="121">
        <v>33.770000000000003</v>
      </c>
      <c r="H7" s="78">
        <v>0</v>
      </c>
      <c r="I7" s="78">
        <v>0.79</v>
      </c>
      <c r="J7" s="125">
        <v>2.3E-2</v>
      </c>
      <c r="K7" s="121"/>
      <c r="L7" s="125"/>
      <c r="M7" s="121">
        <v>0.82</v>
      </c>
      <c r="N7" s="125">
        <v>-2.0000000000000001E-4</v>
      </c>
      <c r="O7" s="125">
        <v>6.4000000000000003E-3</v>
      </c>
      <c r="P7" s="125">
        <v>4.7000000000000002E-3</v>
      </c>
      <c r="Q7" s="3">
        <v>37.79</v>
      </c>
      <c r="R7" s="2">
        <v>0.79</v>
      </c>
      <c r="S7" s="100">
        <v>2.18E-2</v>
      </c>
      <c r="T7" s="125">
        <v>-1E-3</v>
      </c>
      <c r="U7" s="157"/>
      <c r="V7" s="155">
        <v>4.0000000000000001E-3</v>
      </c>
      <c r="W7" s="100">
        <v>2.0000000000000002E-5</v>
      </c>
      <c r="X7" s="100">
        <v>7.2069999999999999E-3</v>
      </c>
      <c r="Y7" s="100">
        <v>6.0319999999999992E-3</v>
      </c>
    </row>
    <row r="8" spans="1:25" x14ac:dyDescent="0.2">
      <c r="A8" s="6" t="s">
        <v>2</v>
      </c>
      <c r="B8" s="126">
        <v>1.105</v>
      </c>
      <c r="C8" s="7">
        <v>750</v>
      </c>
      <c r="D8" s="7">
        <v>600</v>
      </c>
      <c r="E8" s="2"/>
      <c r="F8" s="4" t="s">
        <v>18</v>
      </c>
      <c r="G8" s="121">
        <v>19.829999999999998</v>
      </c>
      <c r="H8" s="78">
        <v>0</v>
      </c>
      <c r="I8" s="78">
        <v>0.79</v>
      </c>
      <c r="J8" s="125">
        <v>3.7400000000000003E-2</v>
      </c>
      <c r="K8" s="121"/>
      <c r="L8" s="125"/>
      <c r="M8" s="121">
        <v>1.36</v>
      </c>
      <c r="N8" s="125">
        <v>0</v>
      </c>
      <c r="O8" s="125">
        <v>6.1999999999999998E-3</v>
      </c>
      <c r="P8" s="125">
        <v>4.4000000000000003E-3</v>
      </c>
      <c r="Q8" s="3">
        <v>25.019678307903931</v>
      </c>
      <c r="R8" s="2">
        <v>0.79</v>
      </c>
      <c r="S8" s="100">
        <v>3.5900000000000001E-2</v>
      </c>
      <c r="T8" s="125">
        <v>-1E-3</v>
      </c>
      <c r="U8" s="157"/>
      <c r="V8" s="155">
        <v>-2.1000000000000001E-2</v>
      </c>
      <c r="W8" s="100">
        <v>1.0000000000000003E-5</v>
      </c>
      <c r="X8" s="100">
        <v>6.7400000000000003E-3</v>
      </c>
      <c r="Y8" s="100">
        <v>5.6299999999999996E-3</v>
      </c>
    </row>
    <row r="9" spans="1:25" x14ac:dyDescent="0.2">
      <c r="A9" s="6" t="s">
        <v>3</v>
      </c>
      <c r="B9" s="126">
        <v>1.1040000000000001</v>
      </c>
      <c r="C9" s="7">
        <v>500</v>
      </c>
      <c r="D9" s="7">
        <v>600</v>
      </c>
      <c r="E9" s="2"/>
      <c r="F9" s="4" t="s">
        <v>18</v>
      </c>
      <c r="G9" s="121">
        <v>36.28</v>
      </c>
      <c r="H9" s="78">
        <v>0</v>
      </c>
      <c r="I9" s="78">
        <v>0.79</v>
      </c>
      <c r="J9" s="125">
        <v>6.3500000000000001E-2</v>
      </c>
      <c r="K9" s="121"/>
      <c r="L9" s="125"/>
      <c r="M9" s="121">
        <v>0.84</v>
      </c>
      <c r="N9" s="125">
        <v>2.9999999999999997E-4</v>
      </c>
      <c r="O9" s="125">
        <v>5.1000000000000004E-3</v>
      </c>
      <c r="P9" s="125">
        <v>4.1999999999999997E-3</v>
      </c>
      <c r="Q9" s="3">
        <v>40.520000000000003</v>
      </c>
      <c r="R9" s="2">
        <v>0.79</v>
      </c>
      <c r="S9" s="100">
        <v>6.0100000000000001E-2</v>
      </c>
      <c r="T9" s="125">
        <v>-1E-3</v>
      </c>
      <c r="U9" s="157"/>
      <c r="V9" s="155">
        <v>-2E-3</v>
      </c>
      <c r="W9" s="100">
        <v>1.0000000000000003E-5</v>
      </c>
      <c r="X9" s="100">
        <v>5.6559999999999996E-3</v>
      </c>
      <c r="Y9" s="100">
        <v>4.8209999999999998E-3</v>
      </c>
    </row>
    <row r="10" spans="1:25" x14ac:dyDescent="0.2">
      <c r="A10" s="6" t="s">
        <v>4</v>
      </c>
      <c r="B10" s="126">
        <v>1.0960000000000001</v>
      </c>
      <c r="C10" s="7">
        <v>2000</v>
      </c>
      <c r="D10" s="7">
        <v>750</v>
      </c>
      <c r="E10" s="2"/>
      <c r="F10" s="4" t="s">
        <v>18</v>
      </c>
      <c r="G10" s="121">
        <v>27.87</v>
      </c>
      <c r="H10" s="78">
        <v>0</v>
      </c>
      <c r="I10" s="78">
        <v>0.79</v>
      </c>
      <c r="J10" s="125">
        <v>5.6000000000000001E-2</v>
      </c>
      <c r="K10" s="121"/>
      <c r="L10" s="125"/>
      <c r="M10" s="121">
        <v>0.73</v>
      </c>
      <c r="N10" s="125">
        <v>2.0000000000000001E-4</v>
      </c>
      <c r="O10" s="125">
        <v>5.8999999999999999E-3</v>
      </c>
      <c r="P10" s="125">
        <v>3.8E-3</v>
      </c>
      <c r="Q10" s="3">
        <v>29.56</v>
      </c>
      <c r="R10" s="2">
        <v>0.79</v>
      </c>
      <c r="S10" s="100">
        <v>5.8900000000000001E-2</v>
      </c>
      <c r="T10" s="125">
        <v>-1E-3</v>
      </c>
      <c r="U10" s="125">
        <v>0</v>
      </c>
      <c r="V10" s="155">
        <v>2E-3</v>
      </c>
      <c r="W10" s="100">
        <v>2.0000000000000002E-5</v>
      </c>
      <c r="X10" s="100">
        <v>5.6930000000000001E-3</v>
      </c>
      <c r="Y10" s="100">
        <v>4.4740000000000005E-3</v>
      </c>
    </row>
    <row r="11" spans="1:25" x14ac:dyDescent="0.2">
      <c r="A11" s="6" t="s">
        <v>6</v>
      </c>
      <c r="B11" s="126">
        <v>1.0669999999999999</v>
      </c>
      <c r="C11" s="7">
        <v>2000</v>
      </c>
      <c r="D11" s="7">
        <v>750</v>
      </c>
      <c r="E11" s="2"/>
      <c r="F11" s="4" t="s">
        <v>18</v>
      </c>
      <c r="G11" s="121">
        <v>23.3</v>
      </c>
      <c r="H11" s="78">
        <v>0</v>
      </c>
      <c r="I11" s="78">
        <v>0.79</v>
      </c>
      <c r="J11" s="125">
        <v>2.6200000000000001E-2</v>
      </c>
      <c r="K11" s="121"/>
      <c r="L11" s="125"/>
      <c r="M11" s="121">
        <v>0.67</v>
      </c>
      <c r="N11" s="125">
        <v>-1E-4</v>
      </c>
      <c r="O11" s="125">
        <v>6.4000000000000003E-3</v>
      </c>
      <c r="P11" s="125">
        <v>4.0000000000000001E-3</v>
      </c>
      <c r="Q11" s="3">
        <v>23.88</v>
      </c>
      <c r="R11" s="2">
        <v>0.79</v>
      </c>
      <c r="S11" s="100">
        <v>2.7799999999999998E-2</v>
      </c>
      <c r="T11" s="125">
        <v>-1E-3</v>
      </c>
      <c r="U11" s="125">
        <v>0</v>
      </c>
      <c r="V11" s="155">
        <v>8.0000000000000002E-3</v>
      </c>
      <c r="W11" s="100">
        <v>3.0000000000000004E-5</v>
      </c>
      <c r="X11" s="100">
        <v>6.1060000000000003E-3</v>
      </c>
      <c r="Y11" s="100">
        <v>4.6519999999999999E-3</v>
      </c>
    </row>
    <row r="12" spans="1:25" x14ac:dyDescent="0.2">
      <c r="A12" s="6" t="s">
        <v>8</v>
      </c>
      <c r="B12" s="126">
        <v>1.0920000000000001</v>
      </c>
      <c r="C12" s="7">
        <v>1440</v>
      </c>
      <c r="D12" s="7">
        <v>750</v>
      </c>
      <c r="E12" s="2"/>
      <c r="F12" s="4" t="s">
        <v>18</v>
      </c>
      <c r="G12" s="121">
        <v>4.25</v>
      </c>
      <c r="H12" s="78">
        <v>0</v>
      </c>
      <c r="I12" s="78">
        <v>0</v>
      </c>
      <c r="J12" s="125">
        <v>9.2399999999999996E-2</v>
      </c>
      <c r="K12" s="121"/>
      <c r="L12" s="125"/>
      <c r="M12" s="121">
        <v>0.08</v>
      </c>
      <c r="N12" s="125">
        <v>6.9999999999999999E-4</v>
      </c>
      <c r="O12" s="125">
        <v>4.4999999999999997E-3</v>
      </c>
      <c r="P12" s="125">
        <v>2.7000000000000001E-3</v>
      </c>
      <c r="Q12" s="3">
        <v>4.07</v>
      </c>
      <c r="R12" s="2">
        <v>0</v>
      </c>
      <c r="S12" s="100">
        <v>9.7600000000000006E-2</v>
      </c>
      <c r="T12" s="125">
        <v>-1E-3</v>
      </c>
      <c r="U12" s="125">
        <v>0</v>
      </c>
      <c r="V12" s="155">
        <v>7.0000000000000001E-3</v>
      </c>
      <c r="W12" s="100">
        <v>-9.9999999999999991E-6</v>
      </c>
      <c r="X12" s="100">
        <v>4.6979999999999999E-3</v>
      </c>
      <c r="Y12" s="100">
        <v>4.2899999999999995E-3</v>
      </c>
    </row>
    <row r="13" spans="1:25" x14ac:dyDescent="0.2">
      <c r="A13" s="6" t="s">
        <v>9</v>
      </c>
      <c r="B13" s="126">
        <v>1.0920000000000001</v>
      </c>
      <c r="C13" s="7">
        <v>62</v>
      </c>
      <c r="D13" s="7">
        <v>750</v>
      </c>
      <c r="E13" s="2"/>
      <c r="F13" s="4" t="s">
        <v>18</v>
      </c>
      <c r="G13" s="121">
        <v>2.71</v>
      </c>
      <c r="H13" s="78">
        <v>0</v>
      </c>
      <c r="I13" s="78">
        <v>0</v>
      </c>
      <c r="J13" s="125">
        <v>0.1178</v>
      </c>
      <c r="K13" s="121"/>
      <c r="L13" s="125"/>
      <c r="M13" s="121">
        <v>0.05</v>
      </c>
      <c r="N13" s="125">
        <v>8.9999999999999998E-4</v>
      </c>
      <c r="O13" s="125">
        <v>4.4999999999999997E-3</v>
      </c>
      <c r="P13" s="125">
        <v>2.7000000000000001E-3</v>
      </c>
      <c r="Q13" s="3">
        <v>3.15</v>
      </c>
      <c r="R13" s="2">
        <v>0</v>
      </c>
      <c r="S13" s="100">
        <v>0.11990000000000001</v>
      </c>
      <c r="T13" s="125">
        <v>-1E-3</v>
      </c>
      <c r="U13" s="125">
        <v>0</v>
      </c>
      <c r="V13" s="155">
        <v>6.0000000000000001E-3</v>
      </c>
      <c r="W13" s="100">
        <v>-6.0000000000000002E-5</v>
      </c>
      <c r="X13" s="100">
        <f>X12</f>
        <v>4.6979999999999999E-3</v>
      </c>
      <c r="Y13" s="100">
        <f>Y12</f>
        <v>4.2899999999999995E-3</v>
      </c>
    </row>
    <row r="14" spans="1:25" x14ac:dyDescent="0.2">
      <c r="A14" s="8" t="s">
        <v>12</v>
      </c>
      <c r="B14" s="126">
        <v>1.0920000000000001</v>
      </c>
      <c r="C14" s="7">
        <v>500</v>
      </c>
      <c r="D14" s="7">
        <v>750</v>
      </c>
      <c r="E14" s="2"/>
      <c r="F14" s="4" t="s">
        <v>18</v>
      </c>
      <c r="G14" s="121">
        <v>35.18</v>
      </c>
      <c r="H14" s="78">
        <v>0</v>
      </c>
      <c r="I14" s="78">
        <v>0</v>
      </c>
      <c r="J14" s="125">
        <v>2.8500000000000001E-2</v>
      </c>
      <c r="K14" s="121"/>
      <c r="L14" s="125"/>
      <c r="M14" s="121">
        <v>0.51</v>
      </c>
      <c r="N14" s="125">
        <v>-1E-4</v>
      </c>
      <c r="O14" s="125">
        <v>4.7000000000000002E-3</v>
      </c>
      <c r="P14" s="125">
        <v>3.0999999999999999E-3</v>
      </c>
      <c r="Q14" s="3">
        <v>34.76</v>
      </c>
      <c r="R14" s="2">
        <v>0</v>
      </c>
      <c r="S14" s="100">
        <v>2.8400000000000002E-2</v>
      </c>
      <c r="T14" s="125">
        <v>-1E-3</v>
      </c>
      <c r="U14" s="125">
        <v>0</v>
      </c>
      <c r="V14" s="155">
        <v>2E-3</v>
      </c>
      <c r="W14" s="100">
        <v>2.0000000000000002E-5</v>
      </c>
      <c r="X14" s="100">
        <v>4.7699999999999999E-3</v>
      </c>
      <c r="Y14" s="100">
        <v>3.7950000000000002E-3</v>
      </c>
    </row>
    <row r="15" spans="1:25" x14ac:dyDescent="0.2">
      <c r="A15" s="6" t="s">
        <v>5</v>
      </c>
      <c r="B15" s="126">
        <v>1.0609999999999999</v>
      </c>
      <c r="C15" s="7">
        <v>36000</v>
      </c>
      <c r="D15" s="7">
        <v>0</v>
      </c>
      <c r="E15" s="2">
        <v>117</v>
      </c>
      <c r="F15" s="4" t="s">
        <v>19</v>
      </c>
      <c r="G15" s="121">
        <v>89.48</v>
      </c>
      <c r="H15" s="78">
        <v>0</v>
      </c>
      <c r="I15" s="78">
        <v>0</v>
      </c>
      <c r="J15" s="125">
        <v>16.023600000000002</v>
      </c>
      <c r="K15" s="121"/>
      <c r="L15" s="125"/>
      <c r="M15" s="121">
        <v>1.37</v>
      </c>
      <c r="N15" s="125">
        <v>4.2799999999999998E-2</v>
      </c>
      <c r="O15" s="125">
        <v>1.7027000000000001</v>
      </c>
      <c r="P15" s="125">
        <v>1.1397999999999999</v>
      </c>
      <c r="Q15" s="3">
        <v>102.52</v>
      </c>
      <c r="R15" s="2">
        <v>0</v>
      </c>
      <c r="S15" s="100">
        <v>16.768899999999999</v>
      </c>
      <c r="T15" s="125">
        <v>-1E-3</v>
      </c>
      <c r="U15" s="125">
        <v>0</v>
      </c>
      <c r="V15" s="155">
        <v>-8.9999999999999993E-3</v>
      </c>
      <c r="W15" s="100">
        <v>5.1599999999999997E-3</v>
      </c>
      <c r="X15" s="100">
        <v>1.6718177000000001</v>
      </c>
      <c r="Y15" s="100">
        <v>1.2769135</v>
      </c>
    </row>
    <row r="16" spans="1:25" x14ac:dyDescent="0.2">
      <c r="A16" s="6" t="s">
        <v>7</v>
      </c>
      <c r="B16" s="126">
        <v>1.05</v>
      </c>
      <c r="C16" s="7">
        <v>36000</v>
      </c>
      <c r="D16" s="7">
        <v>0</v>
      </c>
      <c r="E16" s="2">
        <v>117</v>
      </c>
      <c r="F16" s="4" t="s">
        <v>19</v>
      </c>
      <c r="G16" s="121">
        <v>93.97</v>
      </c>
      <c r="H16" s="78">
        <v>0</v>
      </c>
      <c r="I16" s="78">
        <v>0</v>
      </c>
      <c r="J16" s="125">
        <v>9.1837</v>
      </c>
      <c r="K16" s="121"/>
      <c r="L16" s="125"/>
      <c r="M16" s="121">
        <v>1.42</v>
      </c>
      <c r="N16" s="125">
        <v>-6.2300000000000001E-2</v>
      </c>
      <c r="O16" s="125">
        <v>2.1128999999999998</v>
      </c>
      <c r="P16" s="125">
        <v>1.3900999999999999</v>
      </c>
      <c r="Q16" s="3">
        <v>100.72</v>
      </c>
      <c r="R16" s="2">
        <v>0</v>
      </c>
      <c r="S16" s="100">
        <v>9.6226000000000003</v>
      </c>
      <c r="T16" s="125">
        <v>-1E-3</v>
      </c>
      <c r="U16" s="125">
        <v>0</v>
      </c>
      <c r="V16" s="155">
        <v>1.7999999999999999E-2</v>
      </c>
      <c r="W16" s="100">
        <v>1.1179999999999999E-2</v>
      </c>
      <c r="X16" s="100">
        <v>2.2310400000000001</v>
      </c>
      <c r="Y16" s="100">
        <v>1.7046749999999999</v>
      </c>
    </row>
    <row r="17" spans="1:25" x14ac:dyDescent="0.2">
      <c r="A17" s="8" t="s">
        <v>10</v>
      </c>
      <c r="B17" s="126">
        <v>1.0609999999999999</v>
      </c>
      <c r="C17" s="7">
        <v>2000</v>
      </c>
      <c r="D17" s="7">
        <v>0</v>
      </c>
      <c r="E17" s="2">
        <v>15</v>
      </c>
      <c r="F17" s="4" t="s">
        <v>19</v>
      </c>
      <c r="G17" s="121">
        <v>149.34</v>
      </c>
      <c r="H17" s="78">
        <v>0</v>
      </c>
      <c r="I17" s="78">
        <v>0</v>
      </c>
      <c r="J17" s="125">
        <v>7.0504000000000007</v>
      </c>
      <c r="K17" s="121"/>
      <c r="L17" s="125"/>
      <c r="M17" s="121">
        <v>2.72</v>
      </c>
      <c r="N17" s="125">
        <v>6.3299999999999995E-2</v>
      </c>
      <c r="O17" s="125">
        <v>0.55489999999999995</v>
      </c>
      <c r="P17" s="125">
        <v>0.3553</v>
      </c>
      <c r="Q17" s="3">
        <v>196.16</v>
      </c>
      <c r="R17" s="2">
        <v>0</v>
      </c>
      <c r="S17" s="100">
        <v>6.431</v>
      </c>
      <c r="T17" s="125">
        <v>-1E-3</v>
      </c>
      <c r="U17" s="125">
        <v>0</v>
      </c>
      <c r="V17" s="155">
        <v>1.0999999999999999E-2</v>
      </c>
      <c r="W17" s="100">
        <v>2.82E-3</v>
      </c>
      <c r="X17" s="100">
        <v>0.63108279999999994</v>
      </c>
      <c r="Y17" s="100">
        <v>0.54747599999999996</v>
      </c>
    </row>
    <row r="18" spans="1:25" x14ac:dyDescent="0.2">
      <c r="A18" s="8" t="s">
        <v>11</v>
      </c>
      <c r="B18" s="126">
        <v>1.034</v>
      </c>
      <c r="C18" s="7">
        <v>36000</v>
      </c>
      <c r="D18" s="7">
        <v>0</v>
      </c>
      <c r="E18" s="2">
        <v>117</v>
      </c>
      <c r="F18" s="4" t="s">
        <v>19</v>
      </c>
      <c r="G18" s="121">
        <v>1256.56</v>
      </c>
      <c r="H18" s="78">
        <v>0</v>
      </c>
      <c r="I18" s="78">
        <v>0</v>
      </c>
      <c r="J18" s="125">
        <v>1.2052</v>
      </c>
      <c r="K18" s="121"/>
      <c r="L18" s="125"/>
      <c r="M18" s="121">
        <v>11.86</v>
      </c>
      <c r="N18" s="125">
        <v>0.31259999999999999</v>
      </c>
      <c r="O18" s="125">
        <v>3.3028</v>
      </c>
      <c r="P18" s="125">
        <v>2.6059999999999999</v>
      </c>
      <c r="Q18" s="3">
        <v>1199.21</v>
      </c>
      <c r="R18" s="2">
        <v>0</v>
      </c>
      <c r="S18" s="100">
        <v>1.3102585039311754</v>
      </c>
      <c r="T18" s="125">
        <v>-1E-3</v>
      </c>
      <c r="U18" s="125">
        <v>0</v>
      </c>
      <c r="V18" s="155">
        <v>3.819</v>
      </c>
      <c r="W18" s="100">
        <v>-0.13666999999999996</v>
      </c>
      <c r="X18" s="100">
        <v>3.4866480000000002</v>
      </c>
      <c r="Y18" s="100">
        <v>2.6021643999999999</v>
      </c>
    </row>
    <row r="19" spans="1:25" x14ac:dyDescent="0.2">
      <c r="G19"/>
      <c r="H19"/>
      <c r="I19"/>
      <c r="J19"/>
      <c r="K19"/>
      <c r="L19"/>
      <c r="M19"/>
      <c r="N19"/>
      <c r="O19"/>
      <c r="P19"/>
      <c r="T19" s="5"/>
      <c r="U19" s="5"/>
      <c r="V19" s="5"/>
      <c r="W19" s="68"/>
      <c r="X19" s="5"/>
    </row>
    <row r="20" spans="1:25" x14ac:dyDescent="0.2">
      <c r="G20"/>
      <c r="H20"/>
      <c r="I20"/>
      <c r="J20"/>
      <c r="K20"/>
      <c r="L20"/>
      <c r="M20"/>
      <c r="N20"/>
      <c r="O20" s="68"/>
      <c r="P20" s="68"/>
      <c r="T20" s="5"/>
      <c r="U20" s="5"/>
      <c r="V20" s="5"/>
      <c r="W20" s="5"/>
      <c r="X20" s="5"/>
    </row>
    <row r="21" spans="1:25" ht="38.25" x14ac:dyDescent="0.2">
      <c r="A21" s="10" t="s">
        <v>13</v>
      </c>
      <c r="B21" s="10" t="s">
        <v>14</v>
      </c>
      <c r="C21" s="167" t="s">
        <v>118</v>
      </c>
      <c r="D21" s="167" t="s">
        <v>119</v>
      </c>
      <c r="G21"/>
      <c r="H21"/>
      <c r="I21"/>
      <c r="J21"/>
      <c r="K21"/>
      <c r="L21"/>
      <c r="M21"/>
      <c r="N21"/>
      <c r="O21"/>
      <c r="P21" s="68"/>
      <c r="Q21" s="68"/>
      <c r="U21" s="5"/>
      <c r="V21" s="5"/>
      <c r="W21" s="5"/>
      <c r="X21" s="5"/>
      <c r="Y21" s="5"/>
    </row>
    <row r="22" spans="1:25" x14ac:dyDescent="0.2">
      <c r="A22" s="6" t="s">
        <v>0</v>
      </c>
      <c r="B22" s="126">
        <v>1.0569999999999999</v>
      </c>
      <c r="C22" s="166">
        <v>755</v>
      </c>
      <c r="D22" s="2"/>
      <c r="G22"/>
      <c r="H22"/>
      <c r="I22"/>
      <c r="J22"/>
      <c r="K22"/>
      <c r="L22"/>
      <c r="M22"/>
      <c r="N22"/>
      <c r="O22"/>
      <c r="P22" s="68"/>
      <c r="Q22" s="68"/>
      <c r="U22" s="5"/>
      <c r="V22" s="5"/>
      <c r="W22" s="5"/>
      <c r="X22" s="5"/>
      <c r="Y22" s="5"/>
    </row>
    <row r="23" spans="1:25" x14ac:dyDescent="0.2">
      <c r="A23" s="6" t="s">
        <v>1</v>
      </c>
      <c r="B23" s="126">
        <v>1.0760000000000001</v>
      </c>
      <c r="C23" s="166">
        <v>920</v>
      </c>
      <c r="D23" s="2"/>
      <c r="G23"/>
      <c r="H23"/>
      <c r="I23"/>
      <c r="J23"/>
      <c r="K23"/>
      <c r="L23"/>
      <c r="M23"/>
      <c r="N23"/>
      <c r="O23"/>
      <c r="P23" s="68"/>
      <c r="Q23" s="68"/>
      <c r="U23" s="5"/>
      <c r="V23" s="5"/>
      <c r="W23" s="5"/>
      <c r="X23" s="5"/>
      <c r="Y23" s="5"/>
    </row>
    <row r="24" spans="1:25" x14ac:dyDescent="0.2">
      <c r="A24" s="6" t="s">
        <v>2</v>
      </c>
      <c r="B24" s="126">
        <v>1.105</v>
      </c>
      <c r="C24" s="166">
        <v>1152</v>
      </c>
      <c r="D24" s="2"/>
      <c r="G24"/>
      <c r="H24"/>
      <c r="I24"/>
      <c r="J24"/>
      <c r="K24"/>
      <c r="L24"/>
      <c r="M24"/>
      <c r="N24"/>
      <c r="O24"/>
      <c r="P24"/>
      <c r="U24" s="5"/>
      <c r="V24" s="5"/>
      <c r="W24" s="5"/>
      <c r="X24" s="5"/>
      <c r="Y24" s="5"/>
    </row>
    <row r="25" spans="1:25" x14ac:dyDescent="0.2">
      <c r="A25" s="6" t="s">
        <v>3</v>
      </c>
      <c r="B25" s="126">
        <v>1.1040000000000001</v>
      </c>
      <c r="C25" s="166">
        <v>352</v>
      </c>
      <c r="D25" s="2"/>
      <c r="G25"/>
      <c r="H25"/>
      <c r="I25"/>
      <c r="J25"/>
      <c r="K25"/>
      <c r="L25"/>
      <c r="M25"/>
      <c r="N25"/>
      <c r="O25"/>
      <c r="P25"/>
      <c r="T25" s="68"/>
      <c r="U25" s="5"/>
      <c r="V25" s="5"/>
      <c r="W25" s="5"/>
      <c r="X25" s="5"/>
      <c r="Y25" s="5"/>
    </row>
    <row r="26" spans="1:25" x14ac:dyDescent="0.2">
      <c r="A26" s="6" t="s">
        <v>4</v>
      </c>
      <c r="B26" s="126">
        <v>1.0960000000000001</v>
      </c>
      <c r="C26" s="166">
        <v>1982</v>
      </c>
      <c r="D26" s="2"/>
      <c r="G26"/>
      <c r="H26"/>
      <c r="I26"/>
      <c r="J26"/>
      <c r="K26"/>
      <c r="L26"/>
      <c r="M26"/>
      <c r="N26"/>
      <c r="O26"/>
      <c r="P26"/>
      <c r="U26" s="5"/>
      <c r="V26" s="5"/>
      <c r="W26" s="5"/>
      <c r="X26" s="5"/>
      <c r="Y26" s="5"/>
    </row>
    <row r="27" spans="1:25" x14ac:dyDescent="0.2">
      <c r="A27" s="6" t="s">
        <v>6</v>
      </c>
      <c r="B27" s="126">
        <v>1.0669999999999999</v>
      </c>
      <c r="C27" s="166">
        <v>2759</v>
      </c>
      <c r="D27" s="2"/>
      <c r="G27"/>
      <c r="H27"/>
      <c r="I27"/>
      <c r="J27"/>
      <c r="K27"/>
      <c r="L27"/>
      <c r="M27"/>
      <c r="N27"/>
      <c r="O27"/>
      <c r="P27"/>
      <c r="U27" s="5"/>
      <c r="V27" s="5"/>
      <c r="W27" s="5"/>
      <c r="X27" s="5"/>
      <c r="Y27" s="5"/>
    </row>
    <row r="28" spans="1:25" x14ac:dyDescent="0.2">
      <c r="A28" s="6" t="s">
        <v>8</v>
      </c>
      <c r="B28" s="126">
        <v>1.0920000000000001</v>
      </c>
      <c r="C28" s="166">
        <v>517</v>
      </c>
      <c r="D28" s="2"/>
      <c r="G28"/>
      <c r="H28"/>
      <c r="I28"/>
      <c r="J28"/>
      <c r="K28"/>
      <c r="L28"/>
      <c r="M28"/>
      <c r="N28"/>
      <c r="O28"/>
      <c r="P28"/>
      <c r="U28" s="5"/>
      <c r="V28" s="5"/>
      <c r="W28" s="5"/>
      <c r="X28" s="5"/>
      <c r="Y28" s="5"/>
    </row>
    <row r="29" spans="1:25" x14ac:dyDescent="0.2">
      <c r="A29" s="6" t="s">
        <v>9</v>
      </c>
      <c r="B29" s="126">
        <v>1.0920000000000001</v>
      </c>
      <c r="C29" s="166">
        <v>71</v>
      </c>
      <c r="D29" s="2"/>
      <c r="G29"/>
      <c r="H29"/>
      <c r="I29"/>
      <c r="J29"/>
      <c r="K29"/>
      <c r="L29"/>
      <c r="M29"/>
      <c r="N29"/>
      <c r="O29"/>
      <c r="P29"/>
      <c r="U29" s="5"/>
      <c r="V29" s="5"/>
      <c r="W29" s="5"/>
      <c r="X29" s="5"/>
      <c r="Y29" s="5"/>
    </row>
    <row r="30" spans="1:25" x14ac:dyDescent="0.2">
      <c r="A30" s="8" t="s">
        <v>12</v>
      </c>
      <c r="B30" s="126">
        <v>1.0920000000000001</v>
      </c>
      <c r="C30" s="166">
        <v>364</v>
      </c>
      <c r="D30" s="2"/>
      <c r="G30"/>
      <c r="H30"/>
      <c r="I30"/>
      <c r="J30"/>
      <c r="K30"/>
      <c r="L30"/>
      <c r="M30"/>
      <c r="N30"/>
      <c r="O30"/>
      <c r="P30"/>
      <c r="U30" s="5"/>
      <c r="V30" s="5"/>
      <c r="W30" s="5"/>
      <c r="X30" s="5"/>
      <c r="Y30" s="5"/>
    </row>
    <row r="31" spans="1:25" x14ac:dyDescent="0.2">
      <c r="A31" s="6" t="s">
        <v>5</v>
      </c>
      <c r="B31" s="126">
        <v>1.0609999999999999</v>
      </c>
      <c r="C31" s="166">
        <v>36104</v>
      </c>
      <c r="D31" s="166">
        <v>124</v>
      </c>
      <c r="G31"/>
      <c r="H31"/>
      <c r="I31"/>
      <c r="J31"/>
      <c r="K31"/>
      <c r="L31"/>
      <c r="M31"/>
      <c r="N31"/>
      <c r="O31"/>
      <c r="P31"/>
    </row>
    <row r="32" spans="1:25" x14ac:dyDescent="0.2">
      <c r="A32" s="6" t="s">
        <v>7</v>
      </c>
      <c r="B32" s="126">
        <v>1.05</v>
      </c>
      <c r="C32" s="166">
        <v>50525</v>
      </c>
      <c r="D32" s="166">
        <v>135</v>
      </c>
      <c r="G32"/>
      <c r="H32"/>
      <c r="I32"/>
      <c r="J32"/>
      <c r="K32"/>
      <c r="L32"/>
      <c r="M32"/>
      <c r="N32"/>
      <c r="O32"/>
      <c r="P32"/>
    </row>
    <row r="33" spans="1:16" x14ac:dyDescent="0.2">
      <c r="A33" s="8" t="s">
        <v>10</v>
      </c>
      <c r="B33" s="126">
        <v>1.0609999999999999</v>
      </c>
      <c r="C33" s="166">
        <v>1328</v>
      </c>
      <c r="D33" s="166">
        <v>13</v>
      </c>
      <c r="G33"/>
      <c r="H33"/>
      <c r="I33"/>
      <c r="J33"/>
      <c r="K33"/>
      <c r="L33"/>
      <c r="M33"/>
      <c r="N33"/>
      <c r="O33"/>
      <c r="P33"/>
    </row>
    <row r="34" spans="1:16" x14ac:dyDescent="0.2">
      <c r="A34" s="8" t="s">
        <v>11</v>
      </c>
      <c r="B34" s="126">
        <v>1.034</v>
      </c>
      <c r="C34" s="166">
        <v>1601036</v>
      </c>
      <c r="D34" s="166">
        <v>3091</v>
      </c>
      <c r="G34"/>
      <c r="H34"/>
      <c r="I34"/>
      <c r="J34"/>
      <c r="K34"/>
      <c r="L34"/>
      <c r="M34"/>
      <c r="N34"/>
      <c r="O34"/>
      <c r="P34"/>
    </row>
    <row r="35" spans="1:16" x14ac:dyDescent="0.2">
      <c r="G35"/>
      <c r="H35"/>
      <c r="I35"/>
      <c r="J35"/>
      <c r="K35"/>
      <c r="L35"/>
      <c r="M35"/>
      <c r="N35"/>
      <c r="O35"/>
      <c r="P35"/>
    </row>
    <row r="36" spans="1:16" x14ac:dyDescent="0.2">
      <c r="G36"/>
      <c r="H36"/>
      <c r="I36"/>
      <c r="J36"/>
      <c r="K36"/>
      <c r="L36"/>
      <c r="M36"/>
      <c r="N36"/>
      <c r="O36"/>
      <c r="P36"/>
    </row>
    <row r="37" spans="1:16" x14ac:dyDescent="0.2">
      <c r="G37"/>
      <c r="H37"/>
      <c r="I37"/>
      <c r="J37"/>
      <c r="K37"/>
      <c r="L37"/>
      <c r="M37"/>
      <c r="N37"/>
      <c r="O37"/>
      <c r="P37"/>
    </row>
    <row r="38" spans="1:16" x14ac:dyDescent="0.2">
      <c r="G38"/>
      <c r="H38"/>
      <c r="I38"/>
      <c r="J38"/>
      <c r="K38"/>
      <c r="L38"/>
      <c r="M38"/>
      <c r="N38"/>
      <c r="O38"/>
      <c r="P38"/>
    </row>
    <row r="39" spans="1:16" x14ac:dyDescent="0.2">
      <c r="G39"/>
      <c r="H39"/>
      <c r="I39"/>
      <c r="J39"/>
      <c r="K39"/>
      <c r="L39"/>
      <c r="M39"/>
      <c r="N39"/>
      <c r="O39"/>
      <c r="P39"/>
    </row>
    <row r="40" spans="1:16" x14ac:dyDescent="0.2">
      <c r="G40"/>
      <c r="H40"/>
      <c r="I40"/>
      <c r="J40"/>
      <c r="K40"/>
      <c r="L40"/>
      <c r="M40"/>
      <c r="N40"/>
      <c r="O40"/>
      <c r="P40"/>
    </row>
    <row r="41" spans="1:16" x14ac:dyDescent="0.2">
      <c r="G41"/>
      <c r="H41"/>
      <c r="I41"/>
      <c r="J41"/>
      <c r="K41"/>
      <c r="L41"/>
      <c r="M41"/>
      <c r="N41"/>
      <c r="O41"/>
      <c r="P41"/>
    </row>
    <row r="42" spans="1:16" x14ac:dyDescent="0.2">
      <c r="G42"/>
      <c r="H42"/>
      <c r="I42"/>
      <c r="J42"/>
      <c r="K42"/>
      <c r="L42"/>
      <c r="M42"/>
      <c r="N42"/>
      <c r="O42"/>
      <c r="P42"/>
    </row>
    <row r="43" spans="1:16" x14ac:dyDescent="0.2">
      <c r="G43"/>
      <c r="H43"/>
      <c r="I43"/>
      <c r="J43"/>
      <c r="K43"/>
      <c r="L43"/>
      <c r="M43"/>
      <c r="N43"/>
      <c r="O43"/>
      <c r="P43"/>
    </row>
    <row r="44" spans="1:16" x14ac:dyDescent="0.2">
      <c r="G44"/>
      <c r="H44"/>
      <c r="I44"/>
      <c r="J44"/>
      <c r="K44"/>
      <c r="L44"/>
      <c r="M44"/>
      <c r="N44"/>
      <c r="O44"/>
      <c r="P44"/>
    </row>
    <row r="45" spans="1:16" x14ac:dyDescent="0.2">
      <c r="G45"/>
      <c r="H45"/>
      <c r="I45"/>
      <c r="J45"/>
      <c r="K45"/>
      <c r="L45"/>
      <c r="M45"/>
      <c r="N45"/>
      <c r="O45"/>
      <c r="P45"/>
    </row>
    <row r="46" spans="1:16" x14ac:dyDescent="0.2">
      <c r="G46"/>
      <c r="H46"/>
      <c r="I46"/>
      <c r="J46"/>
      <c r="K46"/>
      <c r="L46"/>
      <c r="M46"/>
      <c r="N46"/>
      <c r="O46"/>
      <c r="P46"/>
    </row>
    <row r="47" spans="1:16" x14ac:dyDescent="0.2">
      <c r="G47"/>
      <c r="H47"/>
      <c r="I47"/>
      <c r="J47"/>
      <c r="K47"/>
      <c r="L47"/>
      <c r="M47"/>
      <c r="N47"/>
      <c r="O47"/>
      <c r="P47"/>
    </row>
    <row r="48" spans="1:16" x14ac:dyDescent="0.2">
      <c r="G48"/>
      <c r="H48"/>
      <c r="I48"/>
      <c r="J48"/>
      <c r="K48"/>
      <c r="L48"/>
      <c r="M48"/>
      <c r="N48"/>
      <c r="O48"/>
      <c r="P48"/>
    </row>
    <row r="49" spans="7:16" x14ac:dyDescent="0.2">
      <c r="G49"/>
      <c r="H49"/>
      <c r="I49"/>
      <c r="J49"/>
      <c r="K49"/>
      <c r="L49"/>
      <c r="M49"/>
      <c r="N49"/>
      <c r="O49"/>
      <c r="P49"/>
    </row>
    <row r="50" spans="7:16" x14ac:dyDescent="0.2">
      <c r="G50"/>
      <c r="H50"/>
      <c r="I50"/>
      <c r="J50"/>
      <c r="K50"/>
      <c r="L50"/>
      <c r="M50"/>
      <c r="N50"/>
      <c r="O50"/>
      <c r="P50"/>
    </row>
    <row r="51" spans="7:16" x14ac:dyDescent="0.2">
      <c r="G51"/>
      <c r="H51"/>
      <c r="I51"/>
      <c r="J51"/>
      <c r="K51"/>
      <c r="L51"/>
      <c r="M51"/>
      <c r="N51"/>
      <c r="O51"/>
      <c r="P51"/>
    </row>
    <row r="52" spans="7:16" x14ac:dyDescent="0.2">
      <c r="G52"/>
      <c r="H52"/>
      <c r="I52"/>
      <c r="J52"/>
      <c r="K52"/>
      <c r="L52"/>
      <c r="M52"/>
      <c r="N52"/>
      <c r="O52"/>
      <c r="P52"/>
    </row>
    <row r="53" spans="7:16" x14ac:dyDescent="0.2">
      <c r="G53"/>
      <c r="H53"/>
      <c r="I53"/>
      <c r="J53"/>
      <c r="K53"/>
      <c r="L53"/>
      <c r="M53"/>
      <c r="N53"/>
      <c r="O53"/>
      <c r="P53"/>
    </row>
    <row r="54" spans="7:16" x14ac:dyDescent="0.2">
      <c r="G54"/>
      <c r="H54"/>
      <c r="I54"/>
      <c r="J54"/>
      <c r="K54"/>
      <c r="L54"/>
      <c r="M54"/>
      <c r="N54"/>
      <c r="O54"/>
      <c r="P54"/>
    </row>
    <row r="55" spans="7:16" x14ac:dyDescent="0.2">
      <c r="G55"/>
      <c r="H55"/>
      <c r="I55"/>
      <c r="J55"/>
      <c r="K55"/>
      <c r="L55"/>
      <c r="M55"/>
      <c r="N55"/>
      <c r="O55"/>
      <c r="P55"/>
    </row>
    <row r="56" spans="7:16" x14ac:dyDescent="0.2">
      <c r="G56"/>
      <c r="H56"/>
      <c r="I56"/>
      <c r="J56"/>
      <c r="K56"/>
      <c r="L56"/>
      <c r="M56"/>
      <c r="N56"/>
      <c r="O56"/>
      <c r="P56"/>
    </row>
    <row r="57" spans="7:16" x14ac:dyDescent="0.2">
      <c r="G57"/>
      <c r="H57"/>
      <c r="I57"/>
      <c r="J57"/>
      <c r="K57"/>
      <c r="L57"/>
      <c r="M57"/>
      <c r="N57"/>
      <c r="O57"/>
      <c r="P57"/>
    </row>
    <row r="58" spans="7:16" x14ac:dyDescent="0.2">
      <c r="G58"/>
      <c r="H58"/>
      <c r="I58"/>
      <c r="J58"/>
      <c r="K58"/>
      <c r="L58"/>
      <c r="M58"/>
      <c r="N58"/>
      <c r="O58"/>
      <c r="P58"/>
    </row>
    <row r="59" spans="7:16" x14ac:dyDescent="0.2">
      <c r="G59"/>
      <c r="H59"/>
      <c r="I59"/>
      <c r="J59"/>
      <c r="K59"/>
      <c r="L59"/>
      <c r="M59"/>
      <c r="N59"/>
      <c r="O59"/>
      <c r="P59"/>
    </row>
    <row r="60" spans="7:16" x14ac:dyDescent="0.2">
      <c r="G60"/>
      <c r="H60"/>
      <c r="I60"/>
      <c r="J60"/>
      <c r="K60"/>
      <c r="L60"/>
      <c r="M60"/>
      <c r="N60"/>
      <c r="O60"/>
      <c r="P60"/>
    </row>
    <row r="61" spans="7:16" x14ac:dyDescent="0.2">
      <c r="G61"/>
      <c r="H61"/>
      <c r="I61"/>
      <c r="J61"/>
      <c r="K61"/>
      <c r="L61"/>
      <c r="M61"/>
      <c r="N61"/>
      <c r="O61"/>
      <c r="P61"/>
    </row>
    <row r="62" spans="7:16" x14ac:dyDescent="0.2">
      <c r="G62"/>
      <c r="H62"/>
      <c r="I62"/>
      <c r="J62"/>
      <c r="K62"/>
      <c r="L62"/>
      <c r="M62"/>
      <c r="N62"/>
      <c r="O62"/>
      <c r="P62"/>
    </row>
    <row r="63" spans="7:16" x14ac:dyDescent="0.2">
      <c r="G63"/>
      <c r="H63"/>
      <c r="I63"/>
      <c r="J63"/>
      <c r="K63"/>
      <c r="L63"/>
      <c r="M63"/>
      <c r="N63"/>
      <c r="O63"/>
      <c r="P63"/>
    </row>
    <row r="64" spans="7:16" x14ac:dyDescent="0.2">
      <c r="G64"/>
      <c r="H64"/>
      <c r="I64"/>
      <c r="J64"/>
      <c r="K64"/>
      <c r="L64"/>
      <c r="M64"/>
      <c r="N64"/>
      <c r="O64"/>
      <c r="P64"/>
    </row>
    <row r="65" spans="7:16" x14ac:dyDescent="0.2">
      <c r="G65"/>
      <c r="H65"/>
      <c r="I65"/>
      <c r="J65"/>
      <c r="K65"/>
      <c r="L65"/>
      <c r="M65"/>
      <c r="N65"/>
      <c r="O65"/>
      <c r="P65"/>
    </row>
    <row r="66" spans="7:16" x14ac:dyDescent="0.2">
      <c r="G66"/>
      <c r="H66"/>
      <c r="I66"/>
      <c r="J66"/>
      <c r="K66"/>
      <c r="L66"/>
      <c r="M66"/>
      <c r="N66"/>
      <c r="O66"/>
      <c r="P66"/>
    </row>
    <row r="67" spans="7:16" x14ac:dyDescent="0.2">
      <c r="G67"/>
      <c r="H67"/>
      <c r="I67"/>
      <c r="J67"/>
      <c r="K67"/>
      <c r="L67"/>
      <c r="M67"/>
      <c r="N67"/>
      <c r="O67"/>
      <c r="P67"/>
    </row>
    <row r="68" spans="7:16" x14ac:dyDescent="0.2">
      <c r="G68"/>
      <c r="H68"/>
      <c r="I68"/>
      <c r="J68"/>
      <c r="K68"/>
      <c r="L68"/>
      <c r="M68"/>
      <c r="N68"/>
      <c r="O68"/>
      <c r="P68"/>
    </row>
    <row r="69" spans="7:16" x14ac:dyDescent="0.2">
      <c r="G69"/>
      <c r="H69"/>
      <c r="I69"/>
      <c r="J69"/>
      <c r="K69"/>
      <c r="L69"/>
      <c r="M69"/>
      <c r="N69"/>
      <c r="O69"/>
      <c r="P69"/>
    </row>
    <row r="70" spans="7:16" x14ac:dyDescent="0.2">
      <c r="G70"/>
      <c r="H70"/>
      <c r="I70"/>
      <c r="J70"/>
      <c r="K70"/>
      <c r="L70"/>
      <c r="M70"/>
      <c r="N70"/>
      <c r="O70"/>
      <c r="P70"/>
    </row>
    <row r="71" spans="7:16" x14ac:dyDescent="0.2">
      <c r="G71"/>
      <c r="H71"/>
      <c r="I71"/>
      <c r="J71"/>
      <c r="K71"/>
      <c r="L71"/>
      <c r="M71"/>
      <c r="N71"/>
      <c r="O71"/>
      <c r="P71"/>
    </row>
    <row r="72" spans="7:16" x14ac:dyDescent="0.2">
      <c r="G72"/>
      <c r="H72"/>
      <c r="I72"/>
      <c r="J72"/>
      <c r="K72"/>
      <c r="L72"/>
      <c r="M72"/>
      <c r="N72"/>
      <c r="O72"/>
      <c r="P72"/>
    </row>
    <row r="73" spans="7:16" x14ac:dyDescent="0.2">
      <c r="G73"/>
      <c r="H73"/>
      <c r="I73"/>
      <c r="J73"/>
      <c r="K73"/>
      <c r="L73"/>
      <c r="M73"/>
      <c r="N73"/>
      <c r="O73"/>
      <c r="P73"/>
    </row>
    <row r="74" spans="7:16" x14ac:dyDescent="0.2">
      <c r="G74"/>
      <c r="H74"/>
      <c r="I74"/>
      <c r="J74"/>
      <c r="K74"/>
      <c r="L74"/>
      <c r="M74"/>
      <c r="N74"/>
      <c r="O74"/>
      <c r="P74"/>
    </row>
    <row r="75" spans="7:16" x14ac:dyDescent="0.2">
      <c r="G75"/>
      <c r="H75"/>
      <c r="I75"/>
      <c r="J75"/>
      <c r="K75"/>
      <c r="L75"/>
      <c r="M75"/>
      <c r="N75"/>
      <c r="O75"/>
      <c r="P75"/>
    </row>
    <row r="76" spans="7:16" x14ac:dyDescent="0.2">
      <c r="G76"/>
      <c r="H76"/>
      <c r="I76"/>
      <c r="J76"/>
      <c r="K76"/>
      <c r="L76"/>
      <c r="M76"/>
      <c r="N76"/>
      <c r="O76"/>
      <c r="P76"/>
    </row>
    <row r="77" spans="7:16" x14ac:dyDescent="0.2">
      <c r="G77"/>
      <c r="H77"/>
      <c r="I77"/>
      <c r="J77"/>
      <c r="K77"/>
      <c r="L77"/>
      <c r="M77"/>
      <c r="N77"/>
      <c r="O77"/>
      <c r="P77"/>
    </row>
    <row r="78" spans="7:16" x14ac:dyDescent="0.2">
      <c r="G78"/>
      <c r="H78"/>
      <c r="I78"/>
      <c r="J78"/>
      <c r="K78"/>
      <c r="L78"/>
      <c r="M78"/>
      <c r="N78"/>
      <c r="O78"/>
      <c r="P78"/>
    </row>
    <row r="79" spans="7:16" x14ac:dyDescent="0.2">
      <c r="G79"/>
      <c r="H79"/>
      <c r="I79"/>
      <c r="J79"/>
      <c r="K79"/>
      <c r="L79"/>
      <c r="M79"/>
      <c r="N79"/>
      <c r="O79"/>
      <c r="P79"/>
    </row>
    <row r="80" spans="7:16" x14ac:dyDescent="0.2">
      <c r="G80"/>
      <c r="H80"/>
      <c r="I80"/>
      <c r="J80"/>
      <c r="K80"/>
      <c r="L80"/>
      <c r="M80"/>
      <c r="N80"/>
      <c r="O80"/>
      <c r="P80"/>
    </row>
    <row r="81" spans="7:16" x14ac:dyDescent="0.2">
      <c r="G81"/>
      <c r="H81"/>
      <c r="I81"/>
      <c r="J81"/>
      <c r="K81"/>
      <c r="L81"/>
      <c r="M81"/>
      <c r="N81"/>
      <c r="O81"/>
      <c r="P81"/>
    </row>
    <row r="82" spans="7:16" x14ac:dyDescent="0.2">
      <c r="G82"/>
      <c r="H82"/>
      <c r="I82"/>
      <c r="J82"/>
      <c r="K82"/>
      <c r="L82"/>
      <c r="M82"/>
      <c r="N82"/>
      <c r="O82"/>
      <c r="P82"/>
    </row>
    <row r="83" spans="7:16" x14ac:dyDescent="0.2">
      <c r="G83"/>
      <c r="H83"/>
      <c r="I83"/>
      <c r="J83"/>
      <c r="K83"/>
      <c r="L83"/>
      <c r="M83"/>
      <c r="N83"/>
      <c r="O83"/>
      <c r="P83"/>
    </row>
    <row r="84" spans="7:16" x14ac:dyDescent="0.2">
      <c r="G84"/>
      <c r="H84"/>
      <c r="I84"/>
      <c r="J84"/>
      <c r="K84"/>
      <c r="L84"/>
      <c r="M84"/>
      <c r="N84"/>
      <c r="O84"/>
      <c r="P84"/>
    </row>
    <row r="85" spans="7:16" x14ac:dyDescent="0.2">
      <c r="G85"/>
      <c r="H85"/>
      <c r="I85"/>
      <c r="J85"/>
      <c r="K85"/>
      <c r="L85"/>
      <c r="M85"/>
      <c r="N85"/>
      <c r="O85"/>
      <c r="P85"/>
    </row>
    <row r="86" spans="7:16" x14ac:dyDescent="0.2">
      <c r="G86"/>
      <c r="H86"/>
      <c r="I86"/>
      <c r="J86"/>
      <c r="K86"/>
      <c r="L86"/>
      <c r="M86"/>
      <c r="N86"/>
      <c r="O86"/>
      <c r="P86"/>
    </row>
    <row r="87" spans="7:16" x14ac:dyDescent="0.2">
      <c r="G87"/>
      <c r="H87"/>
      <c r="I87"/>
      <c r="J87"/>
      <c r="K87"/>
      <c r="L87"/>
      <c r="M87"/>
      <c r="N87"/>
      <c r="O87"/>
      <c r="P87"/>
    </row>
    <row r="88" spans="7:16" x14ac:dyDescent="0.2">
      <c r="G88"/>
      <c r="H88"/>
      <c r="I88"/>
      <c r="J88"/>
      <c r="K88"/>
      <c r="L88"/>
      <c r="M88"/>
      <c r="N88"/>
      <c r="O88"/>
      <c r="P88"/>
    </row>
    <row r="89" spans="7:16" x14ac:dyDescent="0.2">
      <c r="G89"/>
      <c r="H89"/>
      <c r="I89"/>
      <c r="J89"/>
      <c r="K89"/>
      <c r="L89"/>
      <c r="M89"/>
      <c r="N89"/>
      <c r="O89"/>
      <c r="P89"/>
    </row>
    <row r="90" spans="7:16" x14ac:dyDescent="0.2">
      <c r="G90"/>
      <c r="H90"/>
      <c r="I90"/>
      <c r="J90"/>
      <c r="K90"/>
      <c r="L90"/>
      <c r="M90"/>
      <c r="N90"/>
      <c r="O90"/>
      <c r="P90"/>
    </row>
    <row r="91" spans="7:16" x14ac:dyDescent="0.2">
      <c r="G91"/>
      <c r="H91"/>
      <c r="I91"/>
      <c r="J91"/>
      <c r="K91"/>
      <c r="L91"/>
      <c r="M91"/>
      <c r="N91"/>
      <c r="O91"/>
      <c r="P91"/>
    </row>
    <row r="92" spans="7:16" x14ac:dyDescent="0.2">
      <c r="G92"/>
      <c r="H92"/>
      <c r="I92"/>
      <c r="J92"/>
      <c r="K92"/>
      <c r="L92"/>
      <c r="M92"/>
      <c r="N92"/>
      <c r="O92"/>
      <c r="P92"/>
    </row>
  </sheetData>
  <pageMargins left="0.7" right="0.7" top="0.75" bottom="0.75" header="0.3" footer="0.3"/>
  <pageSetup paperSize="17" scale="77" fitToHeight="0" orientation="landscape" r:id="rId1"/>
  <headerFooter>
    <oddHeader>&amp;RUpdated: 2017-06-07
EB-2017-0049
Exhibit H1-4-1
Attachment 1
Page &amp;P of &amp;N</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tabSelected="1" view="pageLayout" topLeftCell="A13"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101</v>
      </c>
      <c r="B1" s="191"/>
      <c r="C1" s="191"/>
      <c r="D1" s="191"/>
      <c r="E1" s="191"/>
      <c r="F1" s="191"/>
      <c r="G1" s="191"/>
      <c r="H1" s="191"/>
      <c r="I1" s="191"/>
      <c r="J1" s="191"/>
      <c r="K1" s="192"/>
    </row>
    <row r="3" spans="1:11" x14ac:dyDescent="0.2">
      <c r="A3" s="13" t="s">
        <v>13</v>
      </c>
      <c r="B3" s="13" t="s">
        <v>1</v>
      </c>
    </row>
    <row r="4" spans="1:11" x14ac:dyDescent="0.2">
      <c r="A4" s="15" t="s">
        <v>62</v>
      </c>
      <c r="B4" s="15">
        <v>1800</v>
      </c>
    </row>
    <row r="5" spans="1:11" x14ac:dyDescent="0.2">
      <c r="A5" s="15" t="s">
        <v>16</v>
      </c>
      <c r="B5" s="15">
        <f>VLOOKUP($B$3,'Data for Bill Impacts'!$A$6:$Y$18,5,0)</f>
        <v>0</v>
      </c>
    </row>
    <row r="6" spans="1:11" x14ac:dyDescent="0.2">
      <c r="A6" s="15" t="s">
        <v>20</v>
      </c>
      <c r="B6" s="15">
        <f>VLOOKUP($B$3,'Data for Bill Impacts'!$A$6:$Y$18,2,0)</f>
        <v>1.0760000000000001</v>
      </c>
    </row>
    <row r="7" spans="1:11" x14ac:dyDescent="0.2">
      <c r="A7" s="15" t="s">
        <v>15</v>
      </c>
      <c r="B7" s="15">
        <f>VLOOKUP($B$3,'Data for Bill Impacts'!$A$6:$Y$18,4,0)</f>
        <v>600</v>
      </c>
    </row>
    <row r="8" spans="1:11" x14ac:dyDescent="0.2">
      <c r="A8" s="15" t="s">
        <v>82</v>
      </c>
      <c r="B8" s="168">
        <f>B4*B6</f>
        <v>1936.8000000000002</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0.16715320292319885</v>
      </c>
      <c r="K12" s="106"/>
    </row>
    <row r="13" spans="1:11" x14ac:dyDescent="0.2">
      <c r="A13" s="107" t="s">
        <v>32</v>
      </c>
      <c r="B13" s="73">
        <f>IF(B4&gt;B7,(B4)-B7,0)</f>
        <v>1200</v>
      </c>
      <c r="C13" s="21">
        <v>0.106</v>
      </c>
      <c r="D13" s="22">
        <f>B13*C13</f>
        <v>127.2</v>
      </c>
      <c r="E13" s="73">
        <f t="shared" ref="E13:F17" si="1">B13</f>
        <v>1200</v>
      </c>
      <c r="F13" s="21">
        <f t="shared" si="1"/>
        <v>0.106</v>
      </c>
      <c r="G13" s="22">
        <f>E13*F13</f>
        <v>127.2</v>
      </c>
      <c r="H13" s="22">
        <f t="shared" ref="H13:H46" si="2">G13-D13</f>
        <v>0</v>
      </c>
      <c r="I13" s="23">
        <f t="shared" si="0"/>
        <v>0</v>
      </c>
      <c r="J13" s="23">
        <f>G13/$G$46</f>
        <v>0.3894118573595402</v>
      </c>
      <c r="K13" s="108"/>
    </row>
    <row r="14" spans="1:11" s="1" customFormat="1" x14ac:dyDescent="0.2">
      <c r="A14" s="46" t="s">
        <v>33</v>
      </c>
      <c r="B14" s="24"/>
      <c r="C14" s="25"/>
      <c r="D14" s="25">
        <f>SUM(D12:D13)</f>
        <v>181.8</v>
      </c>
      <c r="E14" s="76"/>
      <c r="F14" s="25"/>
      <c r="G14" s="25">
        <f>SUM(G12:G13)</f>
        <v>181.8</v>
      </c>
      <c r="H14" s="25">
        <f t="shared" si="2"/>
        <v>0</v>
      </c>
      <c r="I14" s="27">
        <f t="shared" si="0"/>
        <v>0</v>
      </c>
      <c r="J14" s="27">
        <f>G14/$G$46</f>
        <v>0.55656506028273911</v>
      </c>
      <c r="K14" s="108"/>
    </row>
    <row r="15" spans="1:11" s="1" customFormat="1" x14ac:dyDescent="0.2">
      <c r="A15" s="109" t="s">
        <v>34</v>
      </c>
      <c r="B15" s="75">
        <f>B4*0.65</f>
        <v>1170</v>
      </c>
      <c r="C15" s="28">
        <v>7.6999999999999999E-2</v>
      </c>
      <c r="D15" s="22">
        <f>B15*C15</f>
        <v>90.09</v>
      </c>
      <c r="E15" s="73">
        <f t="shared" ref="E15:E17" si="3">B15</f>
        <v>1170</v>
      </c>
      <c r="F15" s="28">
        <f t="shared" si="1"/>
        <v>7.6999999999999999E-2</v>
      </c>
      <c r="G15" s="22">
        <f>E15*F15</f>
        <v>90.09</v>
      </c>
      <c r="H15" s="22">
        <f t="shared" si="2"/>
        <v>0</v>
      </c>
      <c r="I15" s="23">
        <f t="shared" si="0"/>
        <v>0</v>
      </c>
      <c r="J15" s="23"/>
      <c r="K15" s="108">
        <f t="shared" ref="K15:K26" si="4">G15/$G$51</f>
        <v>0.28254560571256265</v>
      </c>
    </row>
    <row r="16" spans="1:11" s="1" customFormat="1" x14ac:dyDescent="0.2">
      <c r="A16" s="109" t="s">
        <v>35</v>
      </c>
      <c r="B16" s="75">
        <f>B4*0.17</f>
        <v>306</v>
      </c>
      <c r="C16" s="28">
        <v>0.113</v>
      </c>
      <c r="D16" s="22">
        <f>B16*C16</f>
        <v>34.578000000000003</v>
      </c>
      <c r="E16" s="73">
        <f t="shared" si="3"/>
        <v>306</v>
      </c>
      <c r="F16" s="28">
        <f t="shared" si="1"/>
        <v>0.113</v>
      </c>
      <c r="G16" s="22">
        <f>E16*F16</f>
        <v>34.578000000000003</v>
      </c>
      <c r="H16" s="22">
        <f t="shared" si="2"/>
        <v>0</v>
      </c>
      <c r="I16" s="23">
        <f t="shared" si="0"/>
        <v>0</v>
      </c>
      <c r="J16" s="23"/>
      <c r="K16" s="108">
        <f t="shared" si="4"/>
        <v>0.10844557613862796</v>
      </c>
    </row>
    <row r="17" spans="1:11" s="1" customFormat="1" x14ac:dyDescent="0.2">
      <c r="A17" s="109" t="s">
        <v>36</v>
      </c>
      <c r="B17" s="75">
        <f>B4*0.18</f>
        <v>324</v>
      </c>
      <c r="C17" s="28">
        <v>0.157</v>
      </c>
      <c r="D17" s="22">
        <f>B17*C17</f>
        <v>50.868000000000002</v>
      </c>
      <c r="E17" s="73">
        <f t="shared" si="3"/>
        <v>324</v>
      </c>
      <c r="F17" s="28">
        <f t="shared" si="1"/>
        <v>0.157</v>
      </c>
      <c r="G17" s="22">
        <f>E17*F17</f>
        <v>50.868000000000002</v>
      </c>
      <c r="H17" s="22">
        <f t="shared" si="2"/>
        <v>0</v>
      </c>
      <c r="I17" s="23">
        <f t="shared" si="0"/>
        <v>0</v>
      </c>
      <c r="J17" s="23"/>
      <c r="K17" s="108">
        <f t="shared" si="4"/>
        <v>0.15953524110763279</v>
      </c>
    </row>
    <row r="18" spans="1:11" s="1" customFormat="1" x14ac:dyDescent="0.2">
      <c r="A18" s="61" t="s">
        <v>37</v>
      </c>
      <c r="B18" s="29"/>
      <c r="C18" s="30"/>
      <c r="D18" s="30">
        <f>SUM(D15:D17)</f>
        <v>175.536</v>
      </c>
      <c r="E18" s="77"/>
      <c r="F18" s="30"/>
      <c r="G18" s="30">
        <f>SUM(G15:G17)</f>
        <v>175.536</v>
      </c>
      <c r="H18" s="31">
        <f t="shared" si="2"/>
        <v>0</v>
      </c>
      <c r="I18" s="32">
        <f t="shared" si="0"/>
        <v>0</v>
      </c>
      <c r="J18" s="33">
        <f t="shared" ref="J18:J26" si="5">G18/$G$46</f>
        <v>0.53738836315616545</v>
      </c>
      <c r="K18" s="62">
        <f t="shared" si="4"/>
        <v>0.55052642295882337</v>
      </c>
    </row>
    <row r="19" spans="1:11" x14ac:dyDescent="0.2">
      <c r="A19" s="107" t="s">
        <v>38</v>
      </c>
      <c r="B19" s="73">
        <v>1</v>
      </c>
      <c r="C19" s="78">
        <f>VLOOKUP($B$3,'Data for Bill Impacts'!$A$6:$Y$18,7,0)</f>
        <v>33.770000000000003</v>
      </c>
      <c r="D19" s="22">
        <f>B19*C19</f>
        <v>33.770000000000003</v>
      </c>
      <c r="E19" s="73">
        <f t="shared" ref="E19:E41" si="6">B19</f>
        <v>1</v>
      </c>
      <c r="F19" s="78">
        <f>VLOOKUP($B$3,'Data for Bill Impacts'!$A$6:$Y$18,17,0)</f>
        <v>37.79</v>
      </c>
      <c r="G19" s="22">
        <f>E19*F19</f>
        <v>37.79</v>
      </c>
      <c r="H19" s="22">
        <f t="shared" si="2"/>
        <v>4.019999999999996</v>
      </c>
      <c r="I19" s="23">
        <f>IF(ISERROR(H19/ABS(D19)),"N/A",(H19/ABS(D19)))</f>
        <v>0.11904056855196908</v>
      </c>
      <c r="J19" s="23">
        <f t="shared" si="5"/>
        <v>0.11569083403786967</v>
      </c>
      <c r="K19" s="108">
        <f t="shared" si="4"/>
        <v>0.11851924120188415</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121">
        <f>VLOOKUP($B$3,'Data for Bill Impacts'!$A$6:$Y$18,13,0)</f>
        <v>0.82</v>
      </c>
      <c r="D21" s="22">
        <f t="shared" si="7"/>
        <v>0.82</v>
      </c>
      <c r="E21" s="73">
        <f t="shared" si="6"/>
        <v>1</v>
      </c>
      <c r="F21" s="121">
        <f>VLOOKUP($B$3,'Data for Bill Impacts'!$A$6:$Y$18,22,0)</f>
        <v>4.0000000000000001E-3</v>
      </c>
      <c r="G21" s="22">
        <f t="shared" si="8"/>
        <v>4.0000000000000001E-3</v>
      </c>
      <c r="H21" s="22">
        <f t="shared" si="2"/>
        <v>-0.81599999999999995</v>
      </c>
      <c r="I21" s="23">
        <f t="shared" si="9"/>
        <v>-0.99512195121951219</v>
      </c>
      <c r="J21" s="23">
        <f t="shared" si="5"/>
        <v>1.224565589180944E-5</v>
      </c>
      <c r="K21" s="108">
        <f t="shared" si="4"/>
        <v>1.2545037438675221E-5</v>
      </c>
    </row>
    <row r="22" spans="1:11" hidden="1" x14ac:dyDescent="0.2">
      <c r="A22" s="107" t="s">
        <v>123</v>
      </c>
      <c r="B22" s="73">
        <f>B4</f>
        <v>1800</v>
      </c>
      <c r="C22" s="125">
        <v>0</v>
      </c>
      <c r="D22" s="22">
        <f>B22*C22</f>
        <v>0</v>
      </c>
      <c r="E22" s="73">
        <f>B22</f>
        <v>1800</v>
      </c>
      <c r="F22" s="78">
        <f>C22</f>
        <v>0</v>
      </c>
      <c r="G22" s="22">
        <f>E22*F22</f>
        <v>0</v>
      </c>
      <c r="H22" s="22">
        <f>G22-D22</f>
        <v>0</v>
      </c>
      <c r="I22" s="23" t="str">
        <f t="shared" si="9"/>
        <v>N/A</v>
      </c>
      <c r="J22" s="23">
        <f t="shared" si="5"/>
        <v>0</v>
      </c>
      <c r="K22" s="108">
        <f t="shared" si="4"/>
        <v>0</v>
      </c>
    </row>
    <row r="23" spans="1:11" x14ac:dyDescent="0.2">
      <c r="A23" s="107" t="s">
        <v>39</v>
      </c>
      <c r="B23" s="73">
        <f>IF($B$9="kWh",$B$4,$B$5)</f>
        <v>1800</v>
      </c>
      <c r="C23" s="125">
        <f>VLOOKUP($B$3,'Data for Bill Impacts'!$A$6:$Y$18,10,0)</f>
        <v>2.3E-2</v>
      </c>
      <c r="D23" s="22">
        <f>B23*C23</f>
        <v>41.4</v>
      </c>
      <c r="E23" s="73">
        <f t="shared" si="6"/>
        <v>1800</v>
      </c>
      <c r="F23" s="125">
        <f>VLOOKUP($B$3,'Data for Bill Impacts'!$A$6:$Y$18,19,0)</f>
        <v>2.18E-2</v>
      </c>
      <c r="G23" s="22">
        <f>E23*F23</f>
        <v>39.24</v>
      </c>
      <c r="H23" s="22">
        <f t="shared" si="2"/>
        <v>-2.1599999999999966</v>
      </c>
      <c r="I23" s="23">
        <f t="shared" si="9"/>
        <v>-5.2173913043478182E-2</v>
      </c>
      <c r="J23" s="23">
        <f t="shared" si="5"/>
        <v>0.12012988429865061</v>
      </c>
      <c r="K23" s="108">
        <f t="shared" si="4"/>
        <v>0.12306681727340392</v>
      </c>
    </row>
    <row r="24" spans="1:11" x14ac:dyDescent="0.2">
      <c r="A24" s="107" t="s">
        <v>124</v>
      </c>
      <c r="B24" s="73">
        <f>IF($B$9="kWh",$B$4,$B$5)</f>
        <v>1800</v>
      </c>
      <c r="C24" s="125">
        <f>VLOOKUP($B$3,'Data for Bill Impacts'!$A$6:$Y$18,14,0)</f>
        <v>-2.0000000000000001E-4</v>
      </c>
      <c r="D24" s="22">
        <f>B24*C24</f>
        <v>-0.36000000000000004</v>
      </c>
      <c r="E24" s="73">
        <f>B24</f>
        <v>1800</v>
      </c>
      <c r="F24" s="125">
        <f>VLOOKUP($B$3,'Data for Bill Impacts'!$A$6:$Y$18,23,0)</f>
        <v>2.0000000000000002E-5</v>
      </c>
      <c r="G24" s="22">
        <f>E24*F24</f>
        <v>3.6000000000000004E-2</v>
      </c>
      <c r="H24" s="22">
        <f>G24-D24</f>
        <v>0.39600000000000002</v>
      </c>
      <c r="I24" s="23">
        <f t="shared" si="9"/>
        <v>1.0999999999999999</v>
      </c>
      <c r="J24" s="23">
        <f t="shared" si="5"/>
        <v>1.1021090302628496E-4</v>
      </c>
      <c r="K24" s="108">
        <f t="shared" si="4"/>
        <v>1.12905336948077E-4</v>
      </c>
    </row>
    <row r="25" spans="1:11" s="1" customFormat="1" x14ac:dyDescent="0.2">
      <c r="A25" s="110" t="s">
        <v>72</v>
      </c>
      <c r="B25" s="74"/>
      <c r="C25" s="35"/>
      <c r="D25" s="35">
        <f>SUM(D19:D24)</f>
        <v>75.63000000000001</v>
      </c>
      <c r="E25" s="73"/>
      <c r="F25" s="35"/>
      <c r="G25" s="35">
        <f>SUM(G19:G24)</f>
        <v>77.069999999999993</v>
      </c>
      <c r="H25" s="35">
        <f t="shared" si="2"/>
        <v>1.4399999999999835</v>
      </c>
      <c r="I25" s="36">
        <f t="shared" si="9"/>
        <v>1.9040063466878001E-2</v>
      </c>
      <c r="J25" s="36">
        <f t="shared" si="5"/>
        <v>0.23594317489543834</v>
      </c>
      <c r="K25" s="111">
        <f t="shared" si="4"/>
        <v>0.24171150884967479</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2.4185170386323645E-3</v>
      </c>
      <c r="K26" s="108">
        <f t="shared" si="4"/>
        <v>2.4776448941383564E-3</v>
      </c>
    </row>
    <row r="27" spans="1:11" s="1" customFormat="1" x14ac:dyDescent="0.2">
      <c r="A27" s="119" t="s">
        <v>75</v>
      </c>
      <c r="B27" s="120">
        <f>B8-B4</f>
        <v>136.80000000000018</v>
      </c>
      <c r="C27" s="176">
        <f>IF(B4&gt;B7,C13,C12)</f>
        <v>0.106</v>
      </c>
      <c r="D27" s="22">
        <f>B27*C27</f>
        <v>14.500800000000019</v>
      </c>
      <c r="E27" s="73">
        <f>B27</f>
        <v>136.80000000000018</v>
      </c>
      <c r="F27" s="176">
        <f>C27</f>
        <v>0.106</v>
      </c>
      <c r="G27" s="22">
        <f>E27*F27</f>
        <v>14.500800000000019</v>
      </c>
      <c r="H27" s="22">
        <f t="shared" si="2"/>
        <v>0</v>
      </c>
      <c r="I27" s="23">
        <f t="shared" si="9"/>
        <v>0</v>
      </c>
      <c r="J27" s="23">
        <f t="shared" ref="J27:J46" si="10">G27/$G$46</f>
        <v>4.4392951738987642E-2</v>
      </c>
      <c r="K27" s="108">
        <f t="shared" ref="K27:K41" si="11">G27/$G$51</f>
        <v>4.5478269722685469E-2</v>
      </c>
    </row>
    <row r="28" spans="1:11" s="1" customFormat="1" x14ac:dyDescent="0.2">
      <c r="A28" s="119" t="s">
        <v>74</v>
      </c>
      <c r="B28" s="120">
        <f>B8-B4</f>
        <v>136.80000000000018</v>
      </c>
      <c r="C28" s="176">
        <f>0.65*C15+0.17*C16+0.18*C17</f>
        <v>9.7519999999999996E-2</v>
      </c>
      <c r="D28" s="22">
        <f>B28*C28</f>
        <v>13.340736000000017</v>
      </c>
      <c r="E28" s="73">
        <f>B28</f>
        <v>136.80000000000018</v>
      </c>
      <c r="F28" s="176">
        <f>C28</f>
        <v>9.7519999999999996E-2</v>
      </c>
      <c r="G28" s="22">
        <f>E28*F28</f>
        <v>13.340736000000017</v>
      </c>
      <c r="H28" s="22">
        <f t="shared" si="2"/>
        <v>0</v>
      </c>
      <c r="I28" s="23">
        <f t="shared" si="9"/>
        <v>0</v>
      </c>
      <c r="J28" s="23">
        <f t="shared" si="10"/>
        <v>4.0841515599868629E-2</v>
      </c>
      <c r="K28" s="108">
        <f t="shared" si="11"/>
        <v>4.1840008144870634E-2</v>
      </c>
    </row>
    <row r="29" spans="1:11" s="1" customFormat="1" x14ac:dyDescent="0.2">
      <c r="A29" s="110" t="s">
        <v>78</v>
      </c>
      <c r="B29" s="74"/>
      <c r="C29" s="35"/>
      <c r="D29" s="35">
        <f>SUM(D25,D26:D27)</f>
        <v>90.920800000000042</v>
      </c>
      <c r="E29" s="73"/>
      <c r="F29" s="35"/>
      <c r="G29" s="35">
        <f>SUM(G25,G26:G27)</f>
        <v>92.360800000000012</v>
      </c>
      <c r="H29" s="35">
        <f t="shared" si="2"/>
        <v>1.4399999999999693</v>
      </c>
      <c r="I29" s="36">
        <f t="shared" si="9"/>
        <v>1.5837960070742542E-2</v>
      </c>
      <c r="J29" s="36">
        <f t="shared" si="10"/>
        <v>0.28275464367305836</v>
      </c>
      <c r="K29" s="111">
        <f t="shared" si="11"/>
        <v>0.2896674234664986</v>
      </c>
    </row>
    <row r="30" spans="1:11" s="1" customFormat="1" x14ac:dyDescent="0.2">
      <c r="A30" s="110" t="s">
        <v>77</v>
      </c>
      <c r="B30" s="74"/>
      <c r="C30" s="35"/>
      <c r="D30" s="35">
        <f>SUM(D25,D26,D28)</f>
        <v>89.760736000000037</v>
      </c>
      <c r="E30" s="73"/>
      <c r="F30" s="35"/>
      <c r="G30" s="35">
        <f>SUM(G25,G26,G28)</f>
        <v>91.20073600000002</v>
      </c>
      <c r="H30" s="35">
        <f t="shared" si="2"/>
        <v>1.4399999999999835</v>
      </c>
      <c r="I30" s="36">
        <f t="shared" si="9"/>
        <v>1.6042649204658737E-2</v>
      </c>
      <c r="J30" s="36">
        <f t="shared" si="10"/>
        <v>0.2792032075339394</v>
      </c>
      <c r="K30" s="111">
        <f t="shared" si="11"/>
        <v>0.28602916188868382</v>
      </c>
    </row>
    <row r="31" spans="1:11" x14ac:dyDescent="0.2">
      <c r="A31" s="107" t="s">
        <v>40</v>
      </c>
      <c r="B31" s="73">
        <f>B8</f>
        <v>1936.8000000000002</v>
      </c>
      <c r="C31" s="78">
        <f>VLOOKUP($B$3,'Data for Bill Impacts'!$A$6:$Y$18,15,0)</f>
        <v>6.4000000000000003E-3</v>
      </c>
      <c r="D31" s="22">
        <f>B31*C31</f>
        <v>12.395520000000001</v>
      </c>
      <c r="E31" s="73">
        <f t="shared" si="6"/>
        <v>1936.8000000000002</v>
      </c>
      <c r="F31" s="125">
        <f>VLOOKUP($B$3,'Data for Bill Impacts'!$A$6:$Y$18,24,0)</f>
        <v>7.2069999999999999E-3</v>
      </c>
      <c r="G31" s="22">
        <f>E31*F31</f>
        <v>13.9585176</v>
      </c>
      <c r="H31" s="22">
        <f t="shared" si="2"/>
        <v>1.5629975999999992</v>
      </c>
      <c r="I31" s="23">
        <f t="shared" si="9"/>
        <v>0.12609374999999992</v>
      </c>
      <c r="J31" s="23">
        <f t="shared" si="10"/>
        <v>4.2732800822341439E-2</v>
      </c>
      <c r="K31" s="108">
        <f t="shared" si="11"/>
        <v>4.3777531470101751E-2</v>
      </c>
    </row>
    <row r="32" spans="1:11" x14ac:dyDescent="0.2">
      <c r="A32" s="107" t="s">
        <v>41</v>
      </c>
      <c r="B32" s="73">
        <f>B8</f>
        <v>1936.8000000000002</v>
      </c>
      <c r="C32" s="78">
        <f>VLOOKUP($B$3,'Data for Bill Impacts'!$A$6:$Y$18,16,0)</f>
        <v>4.7000000000000002E-3</v>
      </c>
      <c r="D32" s="22">
        <f>B32*C32</f>
        <v>9.1029600000000013</v>
      </c>
      <c r="E32" s="73">
        <f t="shared" si="6"/>
        <v>1936.8000000000002</v>
      </c>
      <c r="F32" s="125">
        <f>VLOOKUP($B$3,'Data for Bill Impacts'!$A$6:$Y$18,25,0)</f>
        <v>6.0319999999999992E-3</v>
      </c>
      <c r="G32" s="22">
        <f>E32*F32</f>
        <v>11.6827776</v>
      </c>
      <c r="H32" s="22">
        <f t="shared" si="2"/>
        <v>2.5798175999999984</v>
      </c>
      <c r="I32" s="23">
        <f t="shared" si="9"/>
        <v>0.2834042553191487</v>
      </c>
      <c r="J32" s="23">
        <f t="shared" si="10"/>
        <v>3.5765818587534831E-2</v>
      </c>
      <c r="K32" s="108">
        <f t="shared" si="11"/>
        <v>3.6640220594929059E-2</v>
      </c>
    </row>
    <row r="33" spans="1:11" s="1" customFormat="1" x14ac:dyDescent="0.2">
      <c r="A33" s="110" t="s">
        <v>76</v>
      </c>
      <c r="B33" s="74"/>
      <c r="C33" s="35"/>
      <c r="D33" s="35">
        <f>SUM(D31:D32)</f>
        <v>21.498480000000001</v>
      </c>
      <c r="E33" s="73"/>
      <c r="F33" s="35"/>
      <c r="G33" s="35">
        <f>SUM(G31:G32)</f>
        <v>25.641295200000002</v>
      </c>
      <c r="H33" s="35">
        <f t="shared" si="2"/>
        <v>4.1428152000000011</v>
      </c>
      <c r="I33" s="36">
        <f t="shared" si="9"/>
        <v>0.19270270270270276</v>
      </c>
      <c r="J33" s="36">
        <f t="shared" si="10"/>
        <v>7.8498619409876277E-2</v>
      </c>
      <c r="K33" s="111">
        <f t="shared" si="11"/>
        <v>8.0417752065030809E-2</v>
      </c>
    </row>
    <row r="34" spans="1:11" s="1" customFormat="1" x14ac:dyDescent="0.2">
      <c r="A34" s="110" t="s">
        <v>91</v>
      </c>
      <c r="B34" s="74"/>
      <c r="C34" s="35"/>
      <c r="D34" s="35">
        <f>D29+D33</f>
        <v>112.41928000000004</v>
      </c>
      <c r="E34" s="73"/>
      <c r="F34" s="35"/>
      <c r="G34" s="35">
        <f>G29+G33</f>
        <v>118.00209520000001</v>
      </c>
      <c r="H34" s="35">
        <f t="shared" si="2"/>
        <v>5.5828151999999704</v>
      </c>
      <c r="I34" s="36">
        <f t="shared" si="9"/>
        <v>4.9660656072516816E-2</v>
      </c>
      <c r="J34" s="36">
        <f t="shared" si="10"/>
        <v>0.36125326308293465</v>
      </c>
      <c r="K34" s="111">
        <f t="shared" si="11"/>
        <v>0.37008517553152942</v>
      </c>
    </row>
    <row r="35" spans="1:11" s="1" customFormat="1" x14ac:dyDescent="0.2">
      <c r="A35" s="110" t="s">
        <v>92</v>
      </c>
      <c r="B35" s="74"/>
      <c r="C35" s="35"/>
      <c r="D35" s="35">
        <f>D30+D33</f>
        <v>111.25921600000004</v>
      </c>
      <c r="E35" s="73"/>
      <c r="F35" s="35"/>
      <c r="G35" s="35">
        <f>G30+G33</f>
        <v>116.84203120000002</v>
      </c>
      <c r="H35" s="35">
        <f t="shared" si="2"/>
        <v>5.5828151999999847</v>
      </c>
      <c r="I35" s="36">
        <f t="shared" si="9"/>
        <v>5.0178451733831946E-2</v>
      </c>
      <c r="J35" s="36">
        <f t="shared" si="10"/>
        <v>0.35770182694381564</v>
      </c>
      <c r="K35" s="111">
        <f t="shared" si="11"/>
        <v>0.36644691395371465</v>
      </c>
    </row>
    <row r="36" spans="1:11" x14ac:dyDescent="0.2">
      <c r="A36" s="107" t="s">
        <v>42</v>
      </c>
      <c r="B36" s="73">
        <f>B8</f>
        <v>1936.8000000000002</v>
      </c>
      <c r="C36" s="34">
        <v>3.5999999999999999E-3</v>
      </c>
      <c r="D36" s="22">
        <f>B36*C36</f>
        <v>6.9724800000000009</v>
      </c>
      <c r="E36" s="73">
        <f t="shared" si="6"/>
        <v>1936.8000000000002</v>
      </c>
      <c r="F36" s="34">
        <v>3.5999999999999999E-3</v>
      </c>
      <c r="G36" s="22">
        <f>E36*F36</f>
        <v>6.9724800000000009</v>
      </c>
      <c r="H36" s="22">
        <f t="shared" si="2"/>
        <v>0</v>
      </c>
      <c r="I36" s="23">
        <f t="shared" si="9"/>
        <v>0</v>
      </c>
      <c r="J36" s="23">
        <f t="shared" si="10"/>
        <v>2.1345647698130871E-2</v>
      </c>
      <c r="K36" s="108">
        <f t="shared" si="11"/>
        <v>2.1867505660103554E-2</v>
      </c>
    </row>
    <row r="37" spans="1:11" x14ac:dyDescent="0.2">
      <c r="A37" s="107" t="s">
        <v>43</v>
      </c>
      <c r="B37" s="73">
        <f>B8</f>
        <v>1936.8000000000002</v>
      </c>
      <c r="C37" s="34">
        <v>2.0999999999999999E-3</v>
      </c>
      <c r="D37" s="22">
        <f>B37*C37</f>
        <v>4.0672800000000002</v>
      </c>
      <c r="E37" s="73">
        <f t="shared" si="6"/>
        <v>1936.8000000000002</v>
      </c>
      <c r="F37" s="34">
        <v>2.0999999999999999E-3</v>
      </c>
      <c r="G37" s="22">
        <f>E37*F37</f>
        <v>4.0672800000000002</v>
      </c>
      <c r="H37" s="22">
        <f>G37-D37</f>
        <v>0</v>
      </c>
      <c r="I37" s="23">
        <f t="shared" si="9"/>
        <v>0</v>
      </c>
      <c r="J37" s="23">
        <f t="shared" si="10"/>
        <v>1.2451627823909675E-2</v>
      </c>
      <c r="K37" s="108">
        <f t="shared" si="11"/>
        <v>1.275604496839374E-2</v>
      </c>
    </row>
    <row r="38" spans="1:11" x14ac:dyDescent="0.2">
      <c r="A38" s="107" t="s">
        <v>96</v>
      </c>
      <c r="B38" s="73">
        <f>B8</f>
        <v>1936.8000000000002</v>
      </c>
      <c r="C38" s="34">
        <v>0</v>
      </c>
      <c r="D38" s="22">
        <f>B38*C38</f>
        <v>0</v>
      </c>
      <c r="E38" s="73">
        <f t="shared" si="6"/>
        <v>1936.8000000000002</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7.6535349323808999E-4</v>
      </c>
      <c r="K39" s="108">
        <f t="shared" si="11"/>
        <v>7.8406483991720133E-4</v>
      </c>
    </row>
    <row r="40" spans="1:11" s="1" customFormat="1" x14ac:dyDescent="0.2">
      <c r="A40" s="110" t="s">
        <v>45</v>
      </c>
      <c r="B40" s="74"/>
      <c r="C40" s="35"/>
      <c r="D40" s="35">
        <f>SUM(D36:D39)</f>
        <v>11.289760000000001</v>
      </c>
      <c r="E40" s="73"/>
      <c r="F40" s="35"/>
      <c r="G40" s="35">
        <f>SUM(G36:G39)</f>
        <v>11.289760000000001</v>
      </c>
      <c r="H40" s="35">
        <f t="shared" si="2"/>
        <v>0</v>
      </c>
      <c r="I40" s="36">
        <f t="shared" si="9"/>
        <v>0</v>
      </c>
      <c r="J40" s="36">
        <f t="shared" si="10"/>
        <v>3.4562629015278637E-2</v>
      </c>
      <c r="K40" s="111">
        <f t="shared" si="11"/>
        <v>3.5407615468414491E-2</v>
      </c>
    </row>
    <row r="41" spans="1:11" s="1" customFormat="1" ht="13.5" thickBot="1" x14ac:dyDescent="0.25">
      <c r="A41" s="112" t="s">
        <v>46</v>
      </c>
      <c r="B41" s="113">
        <f>B4</f>
        <v>1800</v>
      </c>
      <c r="C41" s="114">
        <v>0</v>
      </c>
      <c r="D41" s="115">
        <f>B41*C41</f>
        <v>0</v>
      </c>
      <c r="E41" s="116">
        <f t="shared" si="6"/>
        <v>1800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305.50904000000003</v>
      </c>
      <c r="E42" s="38"/>
      <c r="F42" s="39"/>
      <c r="G42" s="39">
        <f>SUM(G14,G25,G26,G27,G33,G40,G41)</f>
        <v>311.09185520000005</v>
      </c>
      <c r="H42" s="39">
        <f t="shared" si="2"/>
        <v>5.5828152000000273</v>
      </c>
      <c r="I42" s="40">
        <f t="shared" si="9"/>
        <v>1.8273813436093501E-2</v>
      </c>
      <c r="J42" s="40">
        <f t="shared" si="10"/>
        <v>0.95238095238095244</v>
      </c>
      <c r="K42" s="41"/>
    </row>
    <row r="43" spans="1:11" x14ac:dyDescent="0.2">
      <c r="A43" s="153" t="s">
        <v>106</v>
      </c>
      <c r="B43" s="43"/>
      <c r="C43" s="26">
        <v>0.13</v>
      </c>
      <c r="D43" s="26">
        <f>D42*C43</f>
        <v>39.716175200000002</v>
      </c>
      <c r="E43" s="26"/>
      <c r="F43" s="26">
        <f>C43</f>
        <v>0.13</v>
      </c>
      <c r="G43" s="26">
        <f>G42*F43</f>
        <v>40.441941176000007</v>
      </c>
      <c r="H43" s="26">
        <f t="shared" si="2"/>
        <v>0.72576597600000525</v>
      </c>
      <c r="I43" s="44">
        <f t="shared" si="9"/>
        <v>1.8273813436093543E-2</v>
      </c>
      <c r="J43" s="44">
        <f t="shared" si="10"/>
        <v>0.12380952380952381</v>
      </c>
      <c r="K43" s="45"/>
    </row>
    <row r="44" spans="1:11" s="1" customFormat="1" x14ac:dyDescent="0.2">
      <c r="A44" s="46" t="s">
        <v>107</v>
      </c>
      <c r="B44" s="24"/>
      <c r="C44" s="25"/>
      <c r="D44" s="25">
        <f>SUM(D42:D43)</f>
        <v>345.22521520000004</v>
      </c>
      <c r="E44" s="25"/>
      <c r="F44" s="25"/>
      <c r="G44" s="25">
        <f>SUM(G42:G43)</f>
        <v>351.53379637600005</v>
      </c>
      <c r="H44" s="25">
        <f t="shared" si="2"/>
        <v>6.3085811760000183</v>
      </c>
      <c r="I44" s="27">
        <f t="shared" si="9"/>
        <v>1.8273813436093463E-2</v>
      </c>
      <c r="J44" s="27">
        <f t="shared" si="10"/>
        <v>1.0761904761904761</v>
      </c>
      <c r="K44" s="47"/>
    </row>
    <row r="45" spans="1:11" x14ac:dyDescent="0.2">
      <c r="A45" s="42" t="s">
        <v>108</v>
      </c>
      <c r="B45" s="43"/>
      <c r="C45" s="26">
        <v>-0.08</v>
      </c>
      <c r="D45" s="26">
        <f>D42*C45</f>
        <v>-24.440723200000004</v>
      </c>
      <c r="E45" s="26"/>
      <c r="F45" s="26">
        <f>C45</f>
        <v>-0.08</v>
      </c>
      <c r="G45" s="26">
        <f>G42*F45</f>
        <v>-24.887348416000005</v>
      </c>
      <c r="H45" s="26">
        <f t="shared" si="2"/>
        <v>-0.44662521600000105</v>
      </c>
      <c r="I45" s="44">
        <f t="shared" si="9"/>
        <v>-1.8273813436093453E-2</v>
      </c>
      <c r="J45" s="44">
        <f t="shared" si="10"/>
        <v>-7.6190476190476197E-2</v>
      </c>
      <c r="K45" s="45"/>
    </row>
    <row r="46" spans="1:11" s="1" customFormat="1" ht="13.5" thickBot="1" x14ac:dyDescent="0.25">
      <c r="A46" s="48" t="s">
        <v>109</v>
      </c>
      <c r="B46" s="49"/>
      <c r="C46" s="50"/>
      <c r="D46" s="50">
        <f>SUM(D44:D45)</f>
        <v>320.78449200000006</v>
      </c>
      <c r="E46" s="50"/>
      <c r="F46" s="50"/>
      <c r="G46" s="50">
        <f>SUM(G44:G45)</f>
        <v>326.64644796000005</v>
      </c>
      <c r="H46" s="50">
        <f t="shared" si="2"/>
        <v>5.8619559599999889</v>
      </c>
      <c r="I46" s="51">
        <f t="shared" si="9"/>
        <v>1.8273813436093377E-2</v>
      </c>
      <c r="J46" s="51">
        <f t="shared" si="10"/>
        <v>1</v>
      </c>
      <c r="K46" s="52"/>
    </row>
    <row r="47" spans="1:11" x14ac:dyDescent="0.2">
      <c r="A47" s="53" t="s">
        <v>110</v>
      </c>
      <c r="B47" s="54"/>
      <c r="C47" s="55"/>
      <c r="D47" s="55">
        <f>SUM(D18,D25,D26,D28,D33,D40,D41)</f>
        <v>298.08497599999998</v>
      </c>
      <c r="E47" s="55"/>
      <c r="F47" s="55"/>
      <c r="G47" s="55">
        <f>SUM(G18,G25,G26,G28,G33,G40,G41)</f>
        <v>303.66779120000001</v>
      </c>
      <c r="H47" s="55">
        <f>G47-D47</f>
        <v>5.5828152000000273</v>
      </c>
      <c r="I47" s="56">
        <f t="shared" si="9"/>
        <v>1.8728938556098272E-2</v>
      </c>
      <c r="J47" s="56"/>
      <c r="K47" s="57">
        <f>G47/$G$51</f>
        <v>0.95238095238095244</v>
      </c>
    </row>
    <row r="48" spans="1:11" x14ac:dyDescent="0.2">
      <c r="A48" s="58" t="s">
        <v>106</v>
      </c>
      <c r="B48" s="59"/>
      <c r="C48" s="31">
        <v>0.13</v>
      </c>
      <c r="D48" s="31">
        <f>D47*C48</f>
        <v>38.751046879999997</v>
      </c>
      <c r="E48" s="31"/>
      <c r="F48" s="31">
        <f>C48</f>
        <v>0.13</v>
      </c>
      <c r="G48" s="31">
        <f>G47*F48</f>
        <v>39.476812856000002</v>
      </c>
      <c r="H48" s="31">
        <f>G48-D48</f>
        <v>0.72576597600000525</v>
      </c>
      <c r="I48" s="32">
        <f t="shared" si="9"/>
        <v>1.8728938556098314E-2</v>
      </c>
      <c r="J48" s="32"/>
      <c r="K48" s="60">
        <f>G48/$G$51</f>
        <v>0.12380952380952383</v>
      </c>
    </row>
    <row r="49" spans="1:11" x14ac:dyDescent="0.2">
      <c r="A49" s="61" t="s">
        <v>111</v>
      </c>
      <c r="B49" s="29"/>
      <c r="C49" s="30"/>
      <c r="D49" s="30">
        <f>SUM(D47:D48)</f>
        <v>336.83602287999997</v>
      </c>
      <c r="E49" s="30"/>
      <c r="F49" s="30"/>
      <c r="G49" s="30">
        <f>SUM(G47:G48)</f>
        <v>343.14460405599999</v>
      </c>
      <c r="H49" s="30">
        <f>G49-D49</f>
        <v>6.3085811760000183</v>
      </c>
      <c r="I49" s="33">
        <f t="shared" si="9"/>
        <v>1.8728938556098234E-2</v>
      </c>
      <c r="J49" s="33"/>
      <c r="K49" s="62">
        <f>G49/$G$51</f>
        <v>1.0761904761904761</v>
      </c>
    </row>
    <row r="50" spans="1:11" x14ac:dyDescent="0.2">
      <c r="A50" s="58" t="s">
        <v>108</v>
      </c>
      <c r="B50" s="59"/>
      <c r="C50" s="31">
        <v>-0.08</v>
      </c>
      <c r="D50" s="31">
        <f>D47*C50</f>
        <v>-23.846798079999999</v>
      </c>
      <c r="E50" s="31"/>
      <c r="F50" s="31">
        <f>C50</f>
        <v>-0.08</v>
      </c>
      <c r="G50" s="31">
        <f>G47*F50</f>
        <v>-24.293423296</v>
      </c>
      <c r="H50" s="31">
        <f>G50-D50</f>
        <v>-0.44662521600000105</v>
      </c>
      <c r="I50" s="32">
        <f t="shared" si="9"/>
        <v>-1.8728938556098224E-2</v>
      </c>
      <c r="J50" s="32"/>
      <c r="K50" s="60">
        <f>G50/$G$51</f>
        <v>-7.6190476190476197E-2</v>
      </c>
    </row>
    <row r="51" spans="1:11" ht="13.5" thickBot="1" x14ac:dyDescent="0.25">
      <c r="A51" s="63" t="s">
        <v>121</v>
      </c>
      <c r="B51" s="64"/>
      <c r="C51" s="65"/>
      <c r="D51" s="65">
        <f>SUM(D49:D50)</f>
        <v>312.98922479999999</v>
      </c>
      <c r="E51" s="65"/>
      <c r="F51" s="65"/>
      <c r="G51" s="65">
        <f>SUM(G49:G50)</f>
        <v>318.85118075999998</v>
      </c>
      <c r="H51" s="65">
        <f>G51-D51</f>
        <v>5.8619559599999889</v>
      </c>
      <c r="I51" s="66">
        <f t="shared" si="9"/>
        <v>1.8728938556098144E-2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98</v>
      </c>
      <c r="B1" s="191"/>
      <c r="C1" s="191"/>
      <c r="D1" s="191"/>
      <c r="E1" s="191"/>
      <c r="F1" s="191"/>
      <c r="G1" s="191"/>
      <c r="H1" s="191"/>
      <c r="I1" s="191"/>
      <c r="J1" s="191"/>
      <c r="K1" s="192"/>
    </row>
    <row r="3" spans="1:11" x14ac:dyDescent="0.2">
      <c r="A3" s="13" t="s">
        <v>13</v>
      </c>
      <c r="B3" s="13" t="s">
        <v>2</v>
      </c>
    </row>
    <row r="4" spans="1:11" x14ac:dyDescent="0.2">
      <c r="A4" s="15" t="s">
        <v>62</v>
      </c>
      <c r="B4" s="15">
        <v>450</v>
      </c>
    </row>
    <row r="5" spans="1:11" x14ac:dyDescent="0.2">
      <c r="A5" s="15" t="s">
        <v>16</v>
      </c>
      <c r="B5" s="15">
        <f>VLOOKUP($B$3,'Data for Bill Impacts'!$A$6:$Y$18,5,0)</f>
        <v>0</v>
      </c>
    </row>
    <row r="6" spans="1:11" x14ac:dyDescent="0.2">
      <c r="A6" s="15" t="s">
        <v>20</v>
      </c>
      <c r="B6" s="15">
        <f>VLOOKUP($B$3,'Data for Bill Impacts'!$A$6:$Y$18,2,0)</f>
        <v>1.105</v>
      </c>
    </row>
    <row r="7" spans="1:11" x14ac:dyDescent="0.2">
      <c r="A7" s="15" t="s">
        <v>15</v>
      </c>
      <c r="B7" s="15">
        <f>VLOOKUP($B$3,'Data for Bill Impacts'!$A$6:$Y$18,4,0)</f>
        <v>600</v>
      </c>
    </row>
    <row r="8" spans="1:11" x14ac:dyDescent="0.2">
      <c r="A8" s="15" t="s">
        <v>82</v>
      </c>
      <c r="B8" s="15">
        <f>B4*B6</f>
        <v>497.25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450</v>
      </c>
      <c r="C12" s="103">
        <v>9.0999999999999998E-2</v>
      </c>
      <c r="D12" s="104">
        <f>B12*C12</f>
        <v>40.949999999999996</v>
      </c>
      <c r="E12" s="102">
        <f>B12</f>
        <v>450</v>
      </c>
      <c r="F12" s="103">
        <f>C12</f>
        <v>9.0999999999999998E-2</v>
      </c>
      <c r="G12" s="104">
        <f>E12*F12</f>
        <v>40.949999999999996</v>
      </c>
      <c r="H12" s="104">
        <f>G12-D12</f>
        <v>0</v>
      </c>
      <c r="I12" s="105">
        <f t="shared" ref="I12:I18" si="0">IF(ISERROR(H12/ABS(D12)),"N/A",(H12/ABS(D12)))</f>
        <v>0</v>
      </c>
      <c r="J12" s="105">
        <f>G12/$G$46</f>
        <v>0.40442488187048314</v>
      </c>
      <c r="K12" s="106"/>
    </row>
    <row r="13" spans="1:11" x14ac:dyDescent="0.2">
      <c r="A13" s="107" t="s">
        <v>32</v>
      </c>
      <c r="B13" s="73">
        <f>IF(B4&gt;B7,(B4)-B7,0)</f>
        <v>0</v>
      </c>
      <c r="C13" s="21">
        <v>0.106</v>
      </c>
      <c r="D13" s="22">
        <f>B13*C13</f>
        <v>0</v>
      </c>
      <c r="E13" s="73">
        <f t="shared" ref="E13:F17" si="1">B13</f>
        <v>0</v>
      </c>
      <c r="F13" s="21">
        <f t="shared" si="1"/>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40.949999999999996</v>
      </c>
      <c r="E14" s="76"/>
      <c r="F14" s="25"/>
      <c r="G14" s="25">
        <f>SUM(G12:G13)</f>
        <v>40.949999999999996</v>
      </c>
      <c r="H14" s="25">
        <f t="shared" si="2"/>
        <v>0</v>
      </c>
      <c r="I14" s="27">
        <f t="shared" si="0"/>
        <v>0</v>
      </c>
      <c r="J14" s="27">
        <f>G14/$G$46</f>
        <v>0.40442488187048314</v>
      </c>
      <c r="K14" s="108"/>
    </row>
    <row r="15" spans="1:11" s="1" customFormat="1" x14ac:dyDescent="0.2">
      <c r="A15" s="109" t="s">
        <v>34</v>
      </c>
      <c r="B15" s="75">
        <f>B4*0.65</f>
        <v>292.5</v>
      </c>
      <c r="C15" s="28">
        <v>7.6999999999999999E-2</v>
      </c>
      <c r="D15" s="22">
        <f>B15*C15</f>
        <v>22.522500000000001</v>
      </c>
      <c r="E15" s="73">
        <f t="shared" ref="E15:E17" si="3">B15</f>
        <v>292.5</v>
      </c>
      <c r="F15" s="28">
        <f t="shared" si="1"/>
        <v>7.6999999999999999E-2</v>
      </c>
      <c r="G15" s="22">
        <f>E15*F15</f>
        <v>22.522500000000001</v>
      </c>
      <c r="H15" s="22">
        <f t="shared" si="2"/>
        <v>0</v>
      </c>
      <c r="I15" s="23">
        <f t="shared" si="0"/>
        <v>0</v>
      </c>
      <c r="J15" s="23"/>
      <c r="K15" s="108">
        <f t="shared" ref="K15:K26" si="4">G15/$G$51</f>
        <v>0.21519873780311077</v>
      </c>
    </row>
    <row r="16" spans="1:11" s="1" customFormat="1" x14ac:dyDescent="0.2">
      <c r="A16" s="109" t="s">
        <v>35</v>
      </c>
      <c r="B16" s="75">
        <f>B4*0.17</f>
        <v>76.5</v>
      </c>
      <c r="C16" s="28">
        <v>0.113</v>
      </c>
      <c r="D16" s="22">
        <f>B16*C16</f>
        <v>8.6445000000000007</v>
      </c>
      <c r="E16" s="73">
        <f t="shared" si="3"/>
        <v>76.5</v>
      </c>
      <c r="F16" s="28">
        <f t="shared" si="1"/>
        <v>0.113</v>
      </c>
      <c r="G16" s="22">
        <f>E16*F16</f>
        <v>8.6445000000000007</v>
      </c>
      <c r="H16" s="22">
        <f t="shared" si="2"/>
        <v>0</v>
      </c>
      <c r="I16" s="23">
        <f t="shared" si="0"/>
        <v>0</v>
      </c>
      <c r="J16" s="23"/>
      <c r="K16" s="108">
        <f t="shared" si="4"/>
        <v>8.2596758305649512E-2</v>
      </c>
    </row>
    <row r="17" spans="1:11" s="1" customFormat="1" x14ac:dyDescent="0.2">
      <c r="A17" s="109" t="s">
        <v>36</v>
      </c>
      <c r="B17" s="75">
        <f>B4*0.18</f>
        <v>81</v>
      </c>
      <c r="C17" s="28">
        <v>0.157</v>
      </c>
      <c r="D17" s="22">
        <f>B17*C17</f>
        <v>12.717000000000001</v>
      </c>
      <c r="E17" s="73">
        <f t="shared" si="3"/>
        <v>81</v>
      </c>
      <c r="F17" s="28">
        <f t="shared" si="1"/>
        <v>0.157</v>
      </c>
      <c r="G17" s="22">
        <f>E17*F17</f>
        <v>12.717000000000001</v>
      </c>
      <c r="H17" s="22">
        <f t="shared" si="2"/>
        <v>0</v>
      </c>
      <c r="I17" s="23">
        <f t="shared" si="0"/>
        <v>0</v>
      </c>
      <c r="J17" s="23"/>
      <c r="K17" s="108">
        <f t="shared" si="4"/>
        <v>0.12150881778852968</v>
      </c>
    </row>
    <row r="18" spans="1:11" s="1" customFormat="1" x14ac:dyDescent="0.2">
      <c r="A18" s="61" t="s">
        <v>37</v>
      </c>
      <c r="B18" s="29"/>
      <c r="C18" s="30"/>
      <c r="D18" s="30">
        <f>SUM(D15:D17)</f>
        <v>43.884</v>
      </c>
      <c r="E18" s="77"/>
      <c r="F18" s="30"/>
      <c r="G18" s="30">
        <f>SUM(G15:G17)</f>
        <v>43.884</v>
      </c>
      <c r="H18" s="31">
        <f t="shared" si="2"/>
        <v>0</v>
      </c>
      <c r="I18" s="32">
        <f t="shared" si="0"/>
        <v>0</v>
      </c>
      <c r="J18" s="33">
        <f t="shared" ref="J18:J26" si="5">G18/$G$46</f>
        <v>0.43340125802208262</v>
      </c>
      <c r="K18" s="62">
        <f t="shared" si="4"/>
        <v>0.41930431389728995</v>
      </c>
    </row>
    <row r="19" spans="1:11" x14ac:dyDescent="0.2">
      <c r="A19" s="107" t="s">
        <v>116</v>
      </c>
      <c r="B19" s="73">
        <v>1</v>
      </c>
      <c r="C19" s="78">
        <f>VLOOKUP($B$3,'Data for Bill Impacts'!$A$6:$Y$18,7,0)</f>
        <v>19.829999999999998</v>
      </c>
      <c r="D19" s="22">
        <f>B19*C19</f>
        <v>19.829999999999998</v>
      </c>
      <c r="E19" s="73">
        <f t="shared" ref="E19:E41" si="6">B19</f>
        <v>1</v>
      </c>
      <c r="F19" s="121">
        <f>VLOOKUP($B$3,'Data for Bill Impacts'!$A$6:$Y$18,17,0)</f>
        <v>25.019678307903931</v>
      </c>
      <c r="G19" s="22">
        <f>E19*F19</f>
        <v>25.019678307903931</v>
      </c>
      <c r="H19" s="22">
        <f t="shared" si="2"/>
        <v>5.1896783079039324</v>
      </c>
      <c r="I19" s="23">
        <f>IF(ISERROR(H19/ABS(D19)),"N/A",(H19/ABS(D19)))</f>
        <v>0.26170843711063707</v>
      </c>
      <c r="J19" s="23">
        <f t="shared" si="5"/>
        <v>0.24709598154118528</v>
      </c>
      <c r="K19" s="108">
        <f t="shared" si="4"/>
        <v>0.23905886078813612</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1.36</v>
      </c>
      <c r="D21" s="22">
        <f t="shared" si="7"/>
        <v>1.36</v>
      </c>
      <c r="E21" s="73">
        <f t="shared" si="6"/>
        <v>1</v>
      </c>
      <c r="F21" s="121">
        <f>VLOOKUP($B$3,'Data for Bill Impacts'!$A$6:$Y$18,22,0)</f>
        <v>-2.1000000000000001E-2</v>
      </c>
      <c r="G21" s="22">
        <f t="shared" si="8"/>
        <v>-2.1000000000000001E-2</v>
      </c>
      <c r="H21" s="22">
        <f t="shared" si="2"/>
        <v>-1.381</v>
      </c>
      <c r="I21" s="23">
        <f t="shared" si="9"/>
        <v>-1.0154411764705882</v>
      </c>
      <c r="J21" s="23">
        <f t="shared" si="5"/>
        <v>-2.073973753181965E-4</v>
      </c>
      <c r="K21" s="108">
        <f t="shared" si="4"/>
        <v>-2.0065150377912425E-4</v>
      </c>
    </row>
    <row r="22" spans="1:11" hidden="1" x14ac:dyDescent="0.2">
      <c r="A22" s="107" t="s">
        <v>123</v>
      </c>
      <c r="B22" s="73">
        <f>B4</f>
        <v>450</v>
      </c>
      <c r="C22" s="78">
        <v>0</v>
      </c>
      <c r="D22" s="22">
        <f>B22*C22</f>
        <v>0</v>
      </c>
      <c r="E22" s="73">
        <f>B22</f>
        <v>450</v>
      </c>
      <c r="F22" s="78">
        <f>C22</f>
        <v>0</v>
      </c>
      <c r="G22" s="22">
        <f>E22*F22</f>
        <v>0</v>
      </c>
      <c r="H22" s="22">
        <f>G22-D22</f>
        <v>0</v>
      </c>
      <c r="I22" s="23" t="str">
        <f t="shared" si="9"/>
        <v>N/A</v>
      </c>
      <c r="J22" s="23">
        <f t="shared" si="5"/>
        <v>0</v>
      </c>
      <c r="K22" s="108">
        <f t="shared" si="4"/>
        <v>0</v>
      </c>
    </row>
    <row r="23" spans="1:11" x14ac:dyDescent="0.2">
      <c r="A23" s="107" t="s">
        <v>39</v>
      </c>
      <c r="B23" s="73">
        <f>IF($B$9="kWh",$B$4,$B$5)</f>
        <v>450</v>
      </c>
      <c r="C23" s="78">
        <f>VLOOKUP($B$3,'Data for Bill Impacts'!$A$6:$Y$18,10,0)</f>
        <v>3.7400000000000003E-2</v>
      </c>
      <c r="D23" s="22">
        <f>B23*C23</f>
        <v>16.830000000000002</v>
      </c>
      <c r="E23" s="73">
        <f t="shared" si="6"/>
        <v>450</v>
      </c>
      <c r="F23" s="125">
        <f>VLOOKUP($B$3,'Data for Bill Impacts'!$A$6:$Y$18,19,0)</f>
        <v>3.5900000000000001E-2</v>
      </c>
      <c r="G23" s="22">
        <f>E23*F23</f>
        <v>16.155000000000001</v>
      </c>
      <c r="H23" s="22">
        <f t="shared" si="2"/>
        <v>-0.67500000000000071</v>
      </c>
      <c r="I23" s="23">
        <f t="shared" si="9"/>
        <v>-4.0106951871657789E-2</v>
      </c>
      <c r="J23" s="23">
        <f t="shared" si="5"/>
        <v>0.15954783801264119</v>
      </c>
      <c r="K23" s="108">
        <f t="shared" si="4"/>
        <v>0.15435833540722632</v>
      </c>
    </row>
    <row r="24" spans="1:11" x14ac:dyDescent="0.2">
      <c r="A24" s="107" t="s">
        <v>124</v>
      </c>
      <c r="B24" s="73">
        <f>IF($B$9="kWh",$B$4,$B$5)</f>
        <v>450</v>
      </c>
      <c r="C24" s="125">
        <f>VLOOKUP($B$3,'Data for Bill Impacts'!$A$6:$Y$18,14,0)</f>
        <v>0</v>
      </c>
      <c r="D24" s="22">
        <f>B24*C24</f>
        <v>0</v>
      </c>
      <c r="E24" s="73">
        <f>B24</f>
        <v>450</v>
      </c>
      <c r="F24" s="125">
        <f>VLOOKUP($B$3,'Data for Bill Impacts'!$A$6:$Y$18,23,0)</f>
        <v>1.0000000000000003E-5</v>
      </c>
      <c r="G24" s="22">
        <f>E24*F24</f>
        <v>4.5000000000000014E-3</v>
      </c>
      <c r="H24" s="22">
        <f>G24-D24</f>
        <v>4.5000000000000014E-3</v>
      </c>
      <c r="I24" s="23" t="str">
        <f t="shared" si="9"/>
        <v>N/A</v>
      </c>
      <c r="J24" s="23">
        <f t="shared" si="5"/>
        <v>4.4442294711042123E-5</v>
      </c>
      <c r="K24" s="108">
        <f t="shared" si="4"/>
        <v>4.2996750809812352E-5</v>
      </c>
    </row>
    <row r="25" spans="1:11" s="1" customFormat="1" x14ac:dyDescent="0.2">
      <c r="A25" s="110" t="s">
        <v>72</v>
      </c>
      <c r="B25" s="74"/>
      <c r="C25" s="35"/>
      <c r="D25" s="35">
        <f>SUM(D19:D24)</f>
        <v>38.019999999999996</v>
      </c>
      <c r="E25" s="73"/>
      <c r="F25" s="35"/>
      <c r="G25" s="35">
        <f>SUM(G19:G24)</f>
        <v>41.158178307903931</v>
      </c>
      <c r="H25" s="35">
        <f t="shared" si="2"/>
        <v>3.1381783079039351</v>
      </c>
      <c r="I25" s="36">
        <f t="shared" si="9"/>
        <v>8.2540197472486462E-2</v>
      </c>
      <c r="J25" s="36">
        <f t="shared" si="5"/>
        <v>0.40648086447321929</v>
      </c>
      <c r="K25" s="111">
        <f t="shared" si="4"/>
        <v>0.39325954144239311</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7.8020917381607258E-3</v>
      </c>
      <c r="K26" s="108">
        <f t="shared" si="4"/>
        <v>7.5483184755003891E-3</v>
      </c>
    </row>
    <row r="27" spans="1:11" s="1" customFormat="1" x14ac:dyDescent="0.2">
      <c r="A27" s="119" t="s">
        <v>75</v>
      </c>
      <c r="B27" s="120">
        <f>B8-B4</f>
        <v>47.25</v>
      </c>
      <c r="C27" s="176">
        <f>IF(B4&gt;B7,C13,C12)</f>
        <v>9.0999999999999998E-2</v>
      </c>
      <c r="D27" s="22">
        <f>B27*C27</f>
        <v>4.2997499999999995</v>
      </c>
      <c r="E27" s="73">
        <f>B27</f>
        <v>47.25</v>
      </c>
      <c r="F27" s="176">
        <f>C27</f>
        <v>9.0999999999999998E-2</v>
      </c>
      <c r="G27" s="22">
        <f>E27*F27</f>
        <v>4.2997499999999995</v>
      </c>
      <c r="H27" s="22">
        <f t="shared" si="2"/>
        <v>0</v>
      </c>
      <c r="I27" s="23">
        <f t="shared" si="9"/>
        <v>0</v>
      </c>
      <c r="J27" s="23">
        <f t="shared" ref="J27:J46" si="10">G27/$G$46</f>
        <v>4.2464612596400726E-2</v>
      </c>
      <c r="K27" s="108">
        <f t="shared" ref="K27:K41" si="11">G27/$G$51</f>
        <v>4.1083395398775688E-2</v>
      </c>
    </row>
    <row r="28" spans="1:11" s="1" customFormat="1" x14ac:dyDescent="0.2">
      <c r="A28" s="119" t="s">
        <v>74</v>
      </c>
      <c r="B28" s="120">
        <f>B8-B4</f>
        <v>47.25</v>
      </c>
      <c r="C28" s="176">
        <f>0.65*C15+0.17*C16+0.18*C17</f>
        <v>9.7519999999999996E-2</v>
      </c>
      <c r="D28" s="22">
        <f>B28*C28</f>
        <v>4.6078199999999994</v>
      </c>
      <c r="E28" s="73">
        <f>B28</f>
        <v>47.25</v>
      </c>
      <c r="F28" s="176">
        <f>C28</f>
        <v>9.7519999999999996E-2</v>
      </c>
      <c r="G28" s="22">
        <f>E28*F28</f>
        <v>4.6078199999999994</v>
      </c>
      <c r="H28" s="22">
        <f t="shared" si="2"/>
        <v>0</v>
      </c>
      <c r="I28" s="23">
        <f t="shared" si="9"/>
        <v>0</v>
      </c>
      <c r="J28" s="23">
        <f t="shared" si="10"/>
        <v>4.5507132092318672E-2</v>
      </c>
      <c r="K28" s="108">
        <f t="shared" si="11"/>
        <v>4.4026952959215437E-2</v>
      </c>
    </row>
    <row r="29" spans="1:11" s="1" customFormat="1" x14ac:dyDescent="0.2">
      <c r="A29" s="110" t="s">
        <v>78</v>
      </c>
      <c r="B29" s="74"/>
      <c r="C29" s="35"/>
      <c r="D29" s="35">
        <f>SUM(D25,D26:D27)</f>
        <v>43.109749999999991</v>
      </c>
      <c r="E29" s="73"/>
      <c r="F29" s="35"/>
      <c r="G29" s="35">
        <f>SUM(G25,G26:G27)</f>
        <v>46.247928307903933</v>
      </c>
      <c r="H29" s="35">
        <f t="shared" si="2"/>
        <v>3.1381783079039423</v>
      </c>
      <c r="I29" s="36">
        <f t="shared" si="9"/>
        <v>7.2795094100613966E-2</v>
      </c>
      <c r="J29" s="36">
        <f t="shared" si="10"/>
        <v>0.45674756880778078</v>
      </c>
      <c r="K29" s="111">
        <f t="shared" si="11"/>
        <v>0.44189125531666923</v>
      </c>
    </row>
    <row r="30" spans="1:11" s="1" customFormat="1" x14ac:dyDescent="0.2">
      <c r="A30" s="110" t="s">
        <v>77</v>
      </c>
      <c r="B30" s="74"/>
      <c r="C30" s="35"/>
      <c r="D30" s="35">
        <f>SUM(D25,D26,D28)</f>
        <v>43.417819999999992</v>
      </c>
      <c r="E30" s="73"/>
      <c r="F30" s="35"/>
      <c r="G30" s="35">
        <f>SUM(G25,G26,G28)</f>
        <v>46.555998307903927</v>
      </c>
      <c r="H30" s="35">
        <f t="shared" si="2"/>
        <v>3.1381783079039351</v>
      </c>
      <c r="I30" s="36">
        <f t="shared" si="9"/>
        <v>7.2278578424801981E-2</v>
      </c>
      <c r="J30" s="36">
        <f t="shared" si="10"/>
        <v>0.45979008830369866</v>
      </c>
      <c r="K30" s="111">
        <f t="shared" si="11"/>
        <v>0.44483481287710891</v>
      </c>
    </row>
    <row r="31" spans="1:11" x14ac:dyDescent="0.2">
      <c r="A31" s="107" t="s">
        <v>40</v>
      </c>
      <c r="B31" s="73">
        <f>B8</f>
        <v>497.25</v>
      </c>
      <c r="C31" s="78">
        <f>VLOOKUP($B$3,'Data for Bill Impacts'!$A$6:$Y$18,15,0)</f>
        <v>6.1999999999999998E-3</v>
      </c>
      <c r="D31" s="22">
        <f>B31*C31</f>
        <v>3.0829499999999999</v>
      </c>
      <c r="E31" s="73">
        <f t="shared" si="6"/>
        <v>497.25</v>
      </c>
      <c r="F31" s="125">
        <f>VLOOKUP($B$3,'Data for Bill Impacts'!$A$6:$Y$18,24,0)</f>
        <v>6.7400000000000003E-3</v>
      </c>
      <c r="G31" s="22">
        <f>E31*F31</f>
        <v>3.3514650000000001</v>
      </c>
      <c r="H31" s="22">
        <f t="shared" si="2"/>
        <v>0.26851500000000028</v>
      </c>
      <c r="I31" s="23">
        <f t="shared" si="9"/>
        <v>8.7096774193548485E-2</v>
      </c>
      <c r="J31" s="23">
        <f t="shared" si="10"/>
        <v>3.3099287831942832E-2</v>
      </c>
      <c r="K31" s="108">
        <f t="shared" si="11"/>
        <v>3.2022690100623939E-2</v>
      </c>
    </row>
    <row r="32" spans="1:11" x14ac:dyDescent="0.2">
      <c r="A32" s="107" t="s">
        <v>41</v>
      </c>
      <c r="B32" s="73">
        <f>B8</f>
        <v>497.25</v>
      </c>
      <c r="C32" s="78">
        <f>VLOOKUP($B$3,'Data for Bill Impacts'!$A$6:$Y$18,16,0)</f>
        <v>4.4000000000000003E-3</v>
      </c>
      <c r="D32" s="22">
        <f>B32*C32</f>
        <v>2.1879</v>
      </c>
      <c r="E32" s="73">
        <f t="shared" si="6"/>
        <v>497.25</v>
      </c>
      <c r="F32" s="125">
        <f>VLOOKUP($B$3,'Data for Bill Impacts'!$A$6:$Y$18,25,0)</f>
        <v>5.6299999999999996E-3</v>
      </c>
      <c r="G32" s="22">
        <f>E32*F32</f>
        <v>2.7995174999999999</v>
      </c>
      <c r="H32" s="22">
        <f t="shared" si="2"/>
        <v>0.61161749999999993</v>
      </c>
      <c r="I32" s="23">
        <f t="shared" si="9"/>
        <v>0.27954545454545454</v>
      </c>
      <c r="J32" s="23">
        <f t="shared" si="10"/>
        <v>2.7648218174159959E-2</v>
      </c>
      <c r="K32" s="108">
        <f t="shared" si="11"/>
        <v>2.6748923630046401E-2</v>
      </c>
    </row>
    <row r="33" spans="1:11" s="1" customFormat="1" x14ac:dyDescent="0.2">
      <c r="A33" s="110" t="s">
        <v>76</v>
      </c>
      <c r="B33" s="74"/>
      <c r="C33" s="35"/>
      <c r="D33" s="35">
        <f>SUM(D31:D32)</f>
        <v>5.2708499999999994</v>
      </c>
      <c r="E33" s="73"/>
      <c r="F33" s="35"/>
      <c r="G33" s="35">
        <f>SUM(G31:G32)</f>
        <v>6.1509824999999996</v>
      </c>
      <c r="H33" s="35">
        <f t="shared" si="2"/>
        <v>0.88013250000000021</v>
      </c>
      <c r="I33" s="36">
        <f t="shared" si="9"/>
        <v>0.16698113207547174</v>
      </c>
      <c r="J33" s="36">
        <f t="shared" si="10"/>
        <v>6.0747506006102785E-2</v>
      </c>
      <c r="K33" s="111">
        <f t="shared" si="11"/>
        <v>5.8771613730670337E-2</v>
      </c>
    </row>
    <row r="34" spans="1:11" s="1" customFormat="1" x14ac:dyDescent="0.2">
      <c r="A34" s="110" t="s">
        <v>91</v>
      </c>
      <c r="B34" s="74"/>
      <c r="C34" s="35"/>
      <c r="D34" s="35">
        <f>D29+D33</f>
        <v>48.380599999999987</v>
      </c>
      <c r="E34" s="73"/>
      <c r="F34" s="35"/>
      <c r="G34" s="35">
        <f>G29+G33</f>
        <v>52.398910807903931</v>
      </c>
      <c r="H34" s="35">
        <f t="shared" si="2"/>
        <v>4.0183108079039442</v>
      </c>
      <c r="I34" s="36">
        <f t="shared" si="9"/>
        <v>8.3056241714735773E-2</v>
      </c>
      <c r="J34" s="36">
        <f t="shared" si="10"/>
        <v>0.51749507481388357</v>
      </c>
      <c r="K34" s="111">
        <f t="shared" si="11"/>
        <v>0.50066286904733959</v>
      </c>
    </row>
    <row r="35" spans="1:11" s="1" customFormat="1" x14ac:dyDescent="0.2">
      <c r="A35" s="110" t="s">
        <v>92</v>
      </c>
      <c r="B35" s="74"/>
      <c r="C35" s="35"/>
      <c r="D35" s="35">
        <f>D30+D33</f>
        <v>48.688669999999988</v>
      </c>
      <c r="E35" s="73"/>
      <c r="F35" s="35"/>
      <c r="G35" s="35">
        <f>G30+G33</f>
        <v>52.706980807903925</v>
      </c>
      <c r="H35" s="35">
        <f t="shared" si="2"/>
        <v>4.0183108079039371</v>
      </c>
      <c r="I35" s="36">
        <f t="shared" si="9"/>
        <v>8.2530716240635418E-2</v>
      </c>
      <c r="J35" s="36">
        <f t="shared" si="10"/>
        <v>0.5205375943098014</v>
      </c>
      <c r="K35" s="111">
        <f t="shared" si="11"/>
        <v>0.50360642660777921</v>
      </c>
    </row>
    <row r="36" spans="1:11" x14ac:dyDescent="0.2">
      <c r="A36" s="107" t="s">
        <v>42</v>
      </c>
      <c r="B36" s="73">
        <f>B8</f>
        <v>497.25</v>
      </c>
      <c r="C36" s="34">
        <v>3.5999999999999999E-3</v>
      </c>
      <c r="D36" s="22">
        <f>B36*C36</f>
        <v>1.7901</v>
      </c>
      <c r="E36" s="73">
        <f t="shared" si="6"/>
        <v>497.25</v>
      </c>
      <c r="F36" s="34">
        <v>3.5999999999999999E-3</v>
      </c>
      <c r="G36" s="22">
        <f>E36*F36</f>
        <v>1.7901</v>
      </c>
      <c r="H36" s="22">
        <f t="shared" si="2"/>
        <v>0</v>
      </c>
      <c r="I36" s="23">
        <f t="shared" si="9"/>
        <v>0</v>
      </c>
      <c r="J36" s="23">
        <f t="shared" si="10"/>
        <v>1.7679144836052551E-2</v>
      </c>
      <c r="K36" s="108">
        <f t="shared" si="11"/>
        <v>1.7104107472143349E-2</v>
      </c>
    </row>
    <row r="37" spans="1:11" x14ac:dyDescent="0.2">
      <c r="A37" s="107" t="s">
        <v>43</v>
      </c>
      <c r="B37" s="73">
        <f>B8</f>
        <v>497.25</v>
      </c>
      <c r="C37" s="34">
        <v>2.0999999999999999E-3</v>
      </c>
      <c r="D37" s="22">
        <f>B37*C37</f>
        <v>1.044225</v>
      </c>
      <c r="E37" s="73">
        <f t="shared" si="6"/>
        <v>497.25</v>
      </c>
      <c r="F37" s="34">
        <v>2.0999999999999999E-3</v>
      </c>
      <c r="G37" s="22">
        <f>E37*F37</f>
        <v>1.044225</v>
      </c>
      <c r="H37" s="22">
        <f>G37-D37</f>
        <v>0</v>
      </c>
      <c r="I37" s="23">
        <f t="shared" si="9"/>
        <v>0</v>
      </c>
      <c r="J37" s="23">
        <f t="shared" si="10"/>
        <v>1.031283448769732E-2</v>
      </c>
      <c r="K37" s="108">
        <f t="shared" si="11"/>
        <v>9.9773960254169528E-3</v>
      </c>
    </row>
    <row r="38" spans="1:11" x14ac:dyDescent="0.2">
      <c r="A38" s="107" t="s">
        <v>96</v>
      </c>
      <c r="B38" s="73">
        <f>B8</f>
        <v>497.25</v>
      </c>
      <c r="C38" s="34">
        <v>0</v>
      </c>
      <c r="D38" s="22">
        <f>B38*C38</f>
        <v>0</v>
      </c>
      <c r="E38" s="73">
        <f t="shared" si="6"/>
        <v>497.25</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2.4690163728356726E-3</v>
      </c>
      <c r="K39" s="108">
        <f t="shared" si="11"/>
        <v>2.3887083783229075E-3</v>
      </c>
    </row>
    <row r="40" spans="1:11" s="1" customFormat="1" x14ac:dyDescent="0.2">
      <c r="A40" s="110" t="s">
        <v>45</v>
      </c>
      <c r="B40" s="74"/>
      <c r="C40" s="35"/>
      <c r="D40" s="35">
        <f>SUM(D36:D39)</f>
        <v>3.0843249999999998</v>
      </c>
      <c r="E40" s="73"/>
      <c r="F40" s="35"/>
      <c r="G40" s="35">
        <f>SUM(G36:G39)</f>
        <v>3.0843249999999998</v>
      </c>
      <c r="H40" s="35">
        <f t="shared" si="2"/>
        <v>0</v>
      </c>
      <c r="I40" s="36">
        <f t="shared" si="9"/>
        <v>0</v>
      </c>
      <c r="J40" s="36">
        <f t="shared" si="10"/>
        <v>3.046099569658554E-2</v>
      </c>
      <c r="K40" s="111">
        <f t="shared" si="11"/>
        <v>2.9470211875883206E-2</v>
      </c>
    </row>
    <row r="41" spans="1:11" s="1" customFormat="1" ht="13.5" thickBot="1" x14ac:dyDescent="0.25">
      <c r="A41" s="112" t="s">
        <v>46</v>
      </c>
      <c r="B41" s="113">
        <f>B4</f>
        <v>450</v>
      </c>
      <c r="C41" s="114">
        <v>0</v>
      </c>
      <c r="D41" s="115">
        <f>B41*C41</f>
        <v>0</v>
      </c>
      <c r="E41" s="116">
        <f t="shared" si="6"/>
        <v>450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92.414925000000011</v>
      </c>
      <c r="E42" s="38"/>
      <c r="F42" s="39"/>
      <c r="G42" s="39">
        <f>SUM(G14,G25,G26,G27,G33,G40,G41)</f>
        <v>96.433235807903941</v>
      </c>
      <c r="H42" s="39">
        <f t="shared" si="2"/>
        <v>4.01831080790393</v>
      </c>
      <c r="I42" s="40">
        <f t="shared" si="9"/>
        <v>4.3481188865369197E-2</v>
      </c>
      <c r="J42" s="40">
        <f t="shared" si="10"/>
        <v>0.95238095238095233</v>
      </c>
      <c r="K42" s="41"/>
    </row>
    <row r="43" spans="1:11" x14ac:dyDescent="0.2">
      <c r="A43" s="153" t="s">
        <v>106</v>
      </c>
      <c r="B43" s="43"/>
      <c r="C43" s="26">
        <v>0.13</v>
      </c>
      <c r="D43" s="26">
        <f>D42*C43</f>
        <v>12.013940250000001</v>
      </c>
      <c r="E43" s="26"/>
      <c r="F43" s="26">
        <f>C43</f>
        <v>0.13</v>
      </c>
      <c r="G43" s="26">
        <f>G42*F43</f>
        <v>12.536320655027513</v>
      </c>
      <c r="H43" s="26">
        <f t="shared" si="2"/>
        <v>0.52238040502751204</v>
      </c>
      <c r="I43" s="44">
        <f t="shared" si="9"/>
        <v>4.3481188865369294E-2</v>
      </c>
      <c r="J43" s="44">
        <f t="shared" si="10"/>
        <v>0.12380952380952381</v>
      </c>
      <c r="K43" s="45"/>
    </row>
    <row r="44" spans="1:11" s="1" customFormat="1" x14ac:dyDescent="0.2">
      <c r="A44" s="46" t="s">
        <v>107</v>
      </c>
      <c r="B44" s="24"/>
      <c r="C44" s="25"/>
      <c r="D44" s="25">
        <f>SUM(D42:D43)</f>
        <v>104.42886525000002</v>
      </c>
      <c r="E44" s="25"/>
      <c r="F44" s="25"/>
      <c r="G44" s="25">
        <f>SUM(G42:G43)</f>
        <v>108.96955646293145</v>
      </c>
      <c r="H44" s="25">
        <f t="shared" si="2"/>
        <v>4.540691212931435</v>
      </c>
      <c r="I44" s="27">
        <f t="shared" si="9"/>
        <v>4.3481188865369141E-2</v>
      </c>
      <c r="J44" s="27">
        <f t="shared" si="10"/>
        <v>1.0761904761904761</v>
      </c>
      <c r="K44" s="47"/>
    </row>
    <row r="45" spans="1:11" x14ac:dyDescent="0.2">
      <c r="A45" s="42" t="s">
        <v>108</v>
      </c>
      <c r="B45" s="43"/>
      <c r="C45" s="26">
        <v>-0.08</v>
      </c>
      <c r="D45" s="26">
        <f>D42*C45</f>
        <v>-7.3931940000000012</v>
      </c>
      <c r="E45" s="26"/>
      <c r="F45" s="26">
        <f>C45</f>
        <v>-0.08</v>
      </c>
      <c r="G45" s="26">
        <f>G42*F45</f>
        <v>-7.7146588646323151</v>
      </c>
      <c r="H45" s="26">
        <f t="shared" si="2"/>
        <v>-0.32146486463231394</v>
      </c>
      <c r="I45" s="44">
        <f t="shared" si="9"/>
        <v>-4.3481188865369134E-2</v>
      </c>
      <c r="J45" s="44">
        <f t="shared" si="10"/>
        <v>-7.6190476190476183E-2</v>
      </c>
      <c r="K45" s="45"/>
    </row>
    <row r="46" spans="1:11" s="1" customFormat="1" ht="13.5" thickBot="1" x14ac:dyDescent="0.25">
      <c r="A46" s="48" t="s">
        <v>109</v>
      </c>
      <c r="B46" s="49"/>
      <c r="C46" s="50"/>
      <c r="D46" s="50">
        <f>SUM(D44:D45)</f>
        <v>97.035671250000007</v>
      </c>
      <c r="E46" s="50"/>
      <c r="F46" s="50"/>
      <c r="G46" s="50">
        <f>SUM(G44:G45)</f>
        <v>101.25489759829914</v>
      </c>
      <c r="H46" s="50">
        <f t="shared" si="2"/>
        <v>4.2192263482991308</v>
      </c>
      <c r="I46" s="51">
        <f t="shared" si="9"/>
        <v>4.3481188865369245E-2</v>
      </c>
      <c r="J46" s="51">
        <f t="shared" si="10"/>
        <v>1</v>
      </c>
      <c r="K46" s="52"/>
    </row>
    <row r="47" spans="1:11" x14ac:dyDescent="0.2">
      <c r="A47" s="53" t="s">
        <v>110</v>
      </c>
      <c r="B47" s="54"/>
      <c r="C47" s="55"/>
      <c r="D47" s="55">
        <f>SUM(D18,D25,D26,D28,D33,D40,D41)</f>
        <v>95.656994999999995</v>
      </c>
      <c r="E47" s="55"/>
      <c r="F47" s="55"/>
      <c r="G47" s="55">
        <f>SUM(G18,G25,G26,G28,G33,G40,G41)</f>
        <v>99.675305807903925</v>
      </c>
      <c r="H47" s="55">
        <f>G47-D47</f>
        <v>4.01831080790393</v>
      </c>
      <c r="I47" s="56">
        <f t="shared" si="9"/>
        <v>4.2007495718467118E-2</v>
      </c>
      <c r="J47" s="56"/>
      <c r="K47" s="57">
        <f>G47/$G$51</f>
        <v>0.95238095238095233</v>
      </c>
    </row>
    <row r="48" spans="1:11" x14ac:dyDescent="0.2">
      <c r="A48" s="154" t="s">
        <v>106</v>
      </c>
      <c r="B48" s="59"/>
      <c r="C48" s="31">
        <v>0.13</v>
      </c>
      <c r="D48" s="31">
        <f>D47*C48</f>
        <v>12.43540935</v>
      </c>
      <c r="E48" s="31"/>
      <c r="F48" s="31">
        <f>C48</f>
        <v>0.13</v>
      </c>
      <c r="G48" s="31">
        <f>G47*F48</f>
        <v>12.957789755027511</v>
      </c>
      <c r="H48" s="31">
        <f>G48-D48</f>
        <v>0.52238040502751026</v>
      </c>
      <c r="I48" s="32">
        <f t="shared" si="9"/>
        <v>4.2007495718467062E-2</v>
      </c>
      <c r="J48" s="32"/>
      <c r="K48" s="60">
        <f>G48/$G$51</f>
        <v>0.12380952380952381</v>
      </c>
    </row>
    <row r="49" spans="1:11" x14ac:dyDescent="0.2">
      <c r="A49" s="61" t="s">
        <v>111</v>
      </c>
      <c r="B49" s="29"/>
      <c r="C49" s="30"/>
      <c r="D49" s="30">
        <f>SUM(D47:D48)</f>
        <v>108.09240435</v>
      </c>
      <c r="E49" s="30"/>
      <c r="F49" s="30"/>
      <c r="G49" s="30">
        <f>SUM(G47:G48)</f>
        <v>112.63309556293143</v>
      </c>
      <c r="H49" s="30">
        <f>G49-D49</f>
        <v>4.540691212931435</v>
      </c>
      <c r="I49" s="33">
        <f t="shared" si="9"/>
        <v>4.2007495718467062E-2</v>
      </c>
      <c r="J49" s="33"/>
      <c r="K49" s="62">
        <f>G49/$G$51</f>
        <v>1.0761904761904761</v>
      </c>
    </row>
    <row r="50" spans="1:11" x14ac:dyDescent="0.2">
      <c r="A50" s="58" t="s">
        <v>108</v>
      </c>
      <c r="B50" s="59"/>
      <c r="C50" s="31">
        <v>-0.08</v>
      </c>
      <c r="D50" s="31">
        <f>D47*C50</f>
        <v>-7.6525596</v>
      </c>
      <c r="E50" s="31"/>
      <c r="F50" s="31">
        <f>C50</f>
        <v>-0.08</v>
      </c>
      <c r="G50" s="31">
        <f>G47*F50</f>
        <v>-7.974024464632314</v>
      </c>
      <c r="H50" s="31">
        <f>G50-D50</f>
        <v>-0.32146486463231394</v>
      </c>
      <c r="I50" s="32">
        <f t="shared" si="9"/>
        <v>-4.2007495718467056E-2</v>
      </c>
      <c r="J50" s="32"/>
      <c r="K50" s="60">
        <f>G50/$G$51</f>
        <v>-7.6190476190476183E-2</v>
      </c>
    </row>
    <row r="51" spans="1:11" ht="13.5" thickBot="1" x14ac:dyDescent="0.25">
      <c r="A51" s="63" t="s">
        <v>121</v>
      </c>
      <c r="B51" s="64"/>
      <c r="C51" s="65"/>
      <c r="D51" s="65">
        <f>SUM(D49:D50)</f>
        <v>100.43984474999999</v>
      </c>
      <c r="E51" s="65"/>
      <c r="F51" s="65"/>
      <c r="G51" s="65">
        <f>SUM(G49:G50)</f>
        <v>104.65907109829912</v>
      </c>
      <c r="H51" s="65">
        <f>G51-D51</f>
        <v>4.2192263482991308</v>
      </c>
      <c r="I51" s="66">
        <f t="shared" si="9"/>
        <v>4.200749571846716E-2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1" tint="0.499984740745262"/>
    <pageSetUpPr fitToPage="1"/>
  </sheetPr>
  <dimension ref="A1:K68"/>
  <sheetViews>
    <sheetView tabSelected="1" view="pageLayout" topLeftCell="C1"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100</v>
      </c>
      <c r="B1" s="191"/>
      <c r="C1" s="191"/>
      <c r="D1" s="191"/>
      <c r="E1" s="191"/>
      <c r="F1" s="191"/>
      <c r="G1" s="191"/>
      <c r="H1" s="191"/>
      <c r="I1" s="191"/>
      <c r="J1" s="191"/>
      <c r="K1" s="192"/>
    </row>
    <row r="3" spans="1:11" x14ac:dyDescent="0.2">
      <c r="A3" s="13" t="s">
        <v>13</v>
      </c>
      <c r="B3" s="13" t="s">
        <v>2</v>
      </c>
    </row>
    <row r="4" spans="1:11" x14ac:dyDescent="0.2">
      <c r="A4" s="15" t="s">
        <v>62</v>
      </c>
      <c r="B4" s="15">
        <v>750</v>
      </c>
    </row>
    <row r="5" spans="1:11" x14ac:dyDescent="0.2">
      <c r="A5" s="15" t="s">
        <v>16</v>
      </c>
      <c r="B5" s="15">
        <f>VLOOKUP($B$3,'Data for Bill Impacts'!$A$6:$Y$18,5,0)</f>
        <v>0</v>
      </c>
    </row>
    <row r="6" spans="1:11" x14ac:dyDescent="0.2">
      <c r="A6" s="15" t="s">
        <v>20</v>
      </c>
      <c r="B6" s="15">
        <f>VLOOKUP($B$3,'Data for Bill Impacts'!$A$6:$Y$18,2,0)</f>
        <v>1.105</v>
      </c>
    </row>
    <row r="7" spans="1:11" x14ac:dyDescent="0.2">
      <c r="A7" s="15" t="s">
        <v>15</v>
      </c>
      <c r="B7" s="15">
        <f>VLOOKUP($B$3,'Data for Bill Impacts'!$A$6:$Y$18,4,0)</f>
        <v>600</v>
      </c>
    </row>
    <row r="8" spans="1:11" x14ac:dyDescent="0.2">
      <c r="A8" s="15" t="s">
        <v>82</v>
      </c>
      <c r="B8" s="15">
        <f>B4*B6</f>
        <v>828.75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0.35423745118120942</v>
      </c>
      <c r="K12" s="106"/>
    </row>
    <row r="13" spans="1:11" x14ac:dyDescent="0.2">
      <c r="A13" s="107" t="s">
        <v>32</v>
      </c>
      <c r="B13" s="73">
        <f>IF(B4&gt;B7,(B4)-B7,0)</f>
        <v>150</v>
      </c>
      <c r="C13" s="21">
        <v>0.106</v>
      </c>
      <c r="D13" s="22">
        <f>B13*C13</f>
        <v>15.9</v>
      </c>
      <c r="E13" s="73">
        <f t="shared" ref="E13:F17" si="1">B13</f>
        <v>150</v>
      </c>
      <c r="F13" s="21">
        <f t="shared" si="1"/>
        <v>0.106</v>
      </c>
      <c r="G13" s="22">
        <f>E13*F13</f>
        <v>15.9</v>
      </c>
      <c r="H13" s="22">
        <f t="shared" ref="H13:H46" si="2">G13-D13</f>
        <v>0</v>
      </c>
      <c r="I13" s="23">
        <f t="shared" si="0"/>
        <v>0</v>
      </c>
      <c r="J13" s="23">
        <f>G13/$G$46</f>
        <v>0.10315705995936318</v>
      </c>
      <c r="K13" s="108"/>
    </row>
    <row r="14" spans="1:11" s="1" customFormat="1" x14ac:dyDescent="0.2">
      <c r="A14" s="46" t="s">
        <v>33</v>
      </c>
      <c r="B14" s="24"/>
      <c r="C14" s="25"/>
      <c r="D14" s="25">
        <f>SUM(D12:D13)</f>
        <v>70.5</v>
      </c>
      <c r="E14" s="76"/>
      <c r="F14" s="25"/>
      <c r="G14" s="25">
        <f>SUM(G12:G13)</f>
        <v>70.5</v>
      </c>
      <c r="H14" s="25">
        <f t="shared" si="2"/>
        <v>0</v>
      </c>
      <c r="I14" s="27">
        <f t="shared" si="0"/>
        <v>0</v>
      </c>
      <c r="J14" s="27">
        <f>G14/$G$46</f>
        <v>0.45739451114057256</v>
      </c>
      <c r="K14" s="108"/>
    </row>
    <row r="15" spans="1:11" s="1" customFormat="1" x14ac:dyDescent="0.2">
      <c r="A15" s="109" t="s">
        <v>34</v>
      </c>
      <c r="B15" s="75">
        <f>B4*0.65</f>
        <v>487.5</v>
      </c>
      <c r="C15" s="28">
        <v>7.6999999999999999E-2</v>
      </c>
      <c r="D15" s="22">
        <f>B15*C15</f>
        <v>37.537500000000001</v>
      </c>
      <c r="E15" s="73">
        <f t="shared" ref="E15:E17" si="3">B15</f>
        <v>487.5</v>
      </c>
      <c r="F15" s="28">
        <f t="shared" si="1"/>
        <v>7.6999999999999999E-2</v>
      </c>
      <c r="G15" s="22">
        <f>E15*F15</f>
        <v>37.537500000000001</v>
      </c>
      <c r="H15" s="22">
        <f t="shared" si="2"/>
        <v>0</v>
      </c>
      <c r="I15" s="23">
        <f t="shared" si="0"/>
        <v>0</v>
      </c>
      <c r="J15" s="23"/>
      <c r="K15" s="108">
        <f t="shared" ref="K15:K26" si="4">G15/$G$51</f>
        <v>0.24030965465958326</v>
      </c>
    </row>
    <row r="16" spans="1:11" s="1" customFormat="1" x14ac:dyDescent="0.2">
      <c r="A16" s="109" t="s">
        <v>35</v>
      </c>
      <c r="B16" s="75">
        <f>B4*0.17</f>
        <v>127.50000000000001</v>
      </c>
      <c r="C16" s="28">
        <v>0.113</v>
      </c>
      <c r="D16" s="22">
        <f>B16*C16</f>
        <v>14.407500000000002</v>
      </c>
      <c r="E16" s="73">
        <f t="shared" si="3"/>
        <v>127.50000000000001</v>
      </c>
      <c r="F16" s="28">
        <f t="shared" si="1"/>
        <v>0.113</v>
      </c>
      <c r="G16" s="22">
        <f>E16*F16</f>
        <v>14.407500000000002</v>
      </c>
      <c r="H16" s="22">
        <f t="shared" si="2"/>
        <v>0</v>
      </c>
      <c r="I16" s="23">
        <f t="shared" si="0"/>
        <v>0</v>
      </c>
      <c r="J16" s="23"/>
      <c r="K16" s="108">
        <f t="shared" si="4"/>
        <v>9.2234734585626268E-2</v>
      </c>
    </row>
    <row r="17" spans="1:11" s="1" customFormat="1" x14ac:dyDescent="0.2">
      <c r="A17" s="109" t="s">
        <v>36</v>
      </c>
      <c r="B17" s="75">
        <f>B4*0.18</f>
        <v>135</v>
      </c>
      <c r="C17" s="28">
        <v>0.157</v>
      </c>
      <c r="D17" s="22">
        <f>B17*C17</f>
        <v>21.195</v>
      </c>
      <c r="E17" s="73">
        <f t="shared" si="3"/>
        <v>135</v>
      </c>
      <c r="F17" s="28">
        <f t="shared" si="1"/>
        <v>0.157</v>
      </c>
      <c r="G17" s="22">
        <f>E17*F17</f>
        <v>21.195</v>
      </c>
      <c r="H17" s="22">
        <f t="shared" si="2"/>
        <v>0</v>
      </c>
      <c r="I17" s="23">
        <f t="shared" si="0"/>
        <v>0</v>
      </c>
      <c r="J17" s="23"/>
      <c r="K17" s="108">
        <f t="shared" si="4"/>
        <v>0.13568732948411233</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6" si="5">G18/$G$46</f>
        <v>0.47452247581307072</v>
      </c>
      <c r="K18" s="62">
        <f t="shared" si="4"/>
        <v>0.46823171872932196</v>
      </c>
    </row>
    <row r="19" spans="1:11" x14ac:dyDescent="0.2">
      <c r="A19" s="107" t="s">
        <v>116</v>
      </c>
      <c r="B19" s="73">
        <v>1</v>
      </c>
      <c r="C19" s="78">
        <f>VLOOKUP($B$3,'Data for Bill Impacts'!$A$6:$Y$18,7,0)</f>
        <v>19.829999999999998</v>
      </c>
      <c r="D19" s="22">
        <f>B19*C19</f>
        <v>19.829999999999998</v>
      </c>
      <c r="E19" s="73">
        <f t="shared" ref="E19:E41" si="6">B19</f>
        <v>1</v>
      </c>
      <c r="F19" s="121">
        <f>VLOOKUP($B$3,'Data for Bill Impacts'!$A$6:$Y$18,17,0)</f>
        <v>25.019678307903931</v>
      </c>
      <c r="G19" s="22">
        <f>E19*F19</f>
        <v>25.019678307903931</v>
      </c>
      <c r="H19" s="22">
        <f t="shared" si="2"/>
        <v>5.1896783079039324</v>
      </c>
      <c r="I19" s="23">
        <f>IF(ISERROR(H19/ABS(D19)),"N/A",(H19/ABS(D19)))</f>
        <v>0.26170843711063707</v>
      </c>
      <c r="J19" s="23">
        <f t="shared" si="5"/>
        <v>0.16232430536933484</v>
      </c>
      <c r="K19" s="108">
        <f t="shared" si="4"/>
        <v>0.16017236773536489</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1.36</v>
      </c>
      <c r="D21" s="22">
        <f t="shared" si="7"/>
        <v>1.36</v>
      </c>
      <c r="E21" s="73">
        <f t="shared" si="6"/>
        <v>1</v>
      </c>
      <c r="F21" s="121">
        <f>VLOOKUP($B$3,'Data for Bill Impacts'!$A$6:$Y$18,22,0)</f>
        <v>-2.1000000000000001E-2</v>
      </c>
      <c r="G21" s="22">
        <f t="shared" si="8"/>
        <v>-2.1000000000000001E-2</v>
      </c>
      <c r="H21" s="22">
        <f t="shared" si="2"/>
        <v>-1.381</v>
      </c>
      <c r="I21" s="23">
        <f t="shared" si="9"/>
        <v>-1.0154411764705882</v>
      </c>
      <c r="J21" s="23">
        <f t="shared" si="5"/>
        <v>-1.3624517353123439E-4</v>
      </c>
      <c r="K21" s="108">
        <f t="shared" si="4"/>
        <v>-1.344389676417249E-4</v>
      </c>
    </row>
    <row r="22" spans="1:11" hidden="1" x14ac:dyDescent="0.2">
      <c r="A22" s="107" t="s">
        <v>123</v>
      </c>
      <c r="B22" s="73">
        <f>B4</f>
        <v>750</v>
      </c>
      <c r="C22" s="78">
        <v>0</v>
      </c>
      <c r="D22" s="22">
        <f>B22*C22</f>
        <v>0</v>
      </c>
      <c r="E22" s="73">
        <f>B22</f>
        <v>750</v>
      </c>
      <c r="F22" s="78">
        <f>C22</f>
        <v>0</v>
      </c>
      <c r="G22" s="22">
        <f>E22*F22</f>
        <v>0</v>
      </c>
      <c r="H22" s="22">
        <f>G22-D22</f>
        <v>0</v>
      </c>
      <c r="I22" s="23" t="str">
        <f t="shared" si="9"/>
        <v>N/A</v>
      </c>
      <c r="J22" s="23">
        <f t="shared" si="5"/>
        <v>0</v>
      </c>
      <c r="K22" s="108">
        <f t="shared" si="4"/>
        <v>0</v>
      </c>
    </row>
    <row r="23" spans="1:11" x14ac:dyDescent="0.2">
      <c r="A23" s="107" t="s">
        <v>39</v>
      </c>
      <c r="B23" s="73">
        <f>IF($B$9="kWh",$B$4,$B$5)</f>
        <v>750</v>
      </c>
      <c r="C23" s="78">
        <f>VLOOKUP($B$3,'Data for Bill Impacts'!$A$6:$Y$18,10,0)</f>
        <v>3.7400000000000003E-2</v>
      </c>
      <c r="D23" s="22">
        <f>B23*C23</f>
        <v>28.05</v>
      </c>
      <c r="E23" s="73">
        <f t="shared" si="6"/>
        <v>750</v>
      </c>
      <c r="F23" s="125">
        <f>VLOOKUP($B$3,'Data for Bill Impacts'!$A$6:$Y$18,19,0)</f>
        <v>3.5900000000000001E-2</v>
      </c>
      <c r="G23" s="22">
        <f>E23*F23</f>
        <v>26.925000000000001</v>
      </c>
      <c r="H23" s="22">
        <f t="shared" si="2"/>
        <v>-1.125</v>
      </c>
      <c r="I23" s="23">
        <f t="shared" si="9"/>
        <v>-4.0106951871657755E-2</v>
      </c>
      <c r="J23" s="23">
        <f t="shared" si="5"/>
        <v>0.17468577606326124</v>
      </c>
      <c r="K23" s="108">
        <f t="shared" si="4"/>
        <v>0.17236996208349728</v>
      </c>
    </row>
    <row r="24" spans="1:11" x14ac:dyDescent="0.2">
      <c r="A24" s="107" t="s">
        <v>124</v>
      </c>
      <c r="B24" s="73">
        <f>IF($B$9="kWh",$B$4,$B$5)</f>
        <v>750</v>
      </c>
      <c r="C24" s="125">
        <f>VLOOKUP($B$3,'Data for Bill Impacts'!$A$6:$Y$18,14,0)</f>
        <v>0</v>
      </c>
      <c r="D24" s="22">
        <f>B24*C24</f>
        <v>0</v>
      </c>
      <c r="E24" s="73">
        <f>B24</f>
        <v>750</v>
      </c>
      <c r="F24" s="125">
        <f>VLOOKUP($B$3,'Data for Bill Impacts'!$A$6:$Y$18,23,0)</f>
        <v>1.0000000000000003E-5</v>
      </c>
      <c r="G24" s="22">
        <f>E24*F24</f>
        <v>7.5000000000000015E-3</v>
      </c>
      <c r="H24" s="22">
        <f>G24-D24</f>
        <v>7.5000000000000015E-3</v>
      </c>
      <c r="I24" s="23" t="str">
        <f t="shared" si="9"/>
        <v>N/A</v>
      </c>
      <c r="J24" s="23">
        <f t="shared" si="5"/>
        <v>4.865899054686943E-5</v>
      </c>
      <c r="K24" s="108">
        <f t="shared" si="4"/>
        <v>4.8013917014901753E-5</v>
      </c>
    </row>
    <row r="25" spans="1:11" s="1" customFormat="1" x14ac:dyDescent="0.2">
      <c r="A25" s="110" t="s">
        <v>72</v>
      </c>
      <c r="B25" s="74"/>
      <c r="C25" s="35"/>
      <c r="D25" s="35">
        <f>SUM(D19:D24)</f>
        <v>49.239999999999995</v>
      </c>
      <c r="E25" s="73"/>
      <c r="F25" s="35"/>
      <c r="G25" s="35">
        <f>SUM(G19:G24)</f>
        <v>51.931178307903927</v>
      </c>
      <c r="H25" s="35">
        <f t="shared" si="2"/>
        <v>2.6911783079039324</v>
      </c>
      <c r="I25" s="36">
        <f t="shared" si="9"/>
        <v>5.4654311695855662E-2</v>
      </c>
      <c r="J25" s="36">
        <f t="shared" si="5"/>
        <v>0.33692249524961171</v>
      </c>
      <c r="K25" s="111">
        <f t="shared" si="4"/>
        <v>0.33245590476823533</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5.1254136709369125E-3</v>
      </c>
      <c r="K26" s="108">
        <f t="shared" si="4"/>
        <v>5.057465925569651E-3</v>
      </c>
    </row>
    <row r="27" spans="1:11" s="1" customFormat="1" x14ac:dyDescent="0.2">
      <c r="A27" s="119" t="s">
        <v>75</v>
      </c>
      <c r="B27" s="120">
        <f>B8-B4</f>
        <v>78.75</v>
      </c>
      <c r="C27" s="176">
        <f>IF(B4&gt;B7,C13,C12)</f>
        <v>0.106</v>
      </c>
      <c r="D27" s="22">
        <f>B27*C27</f>
        <v>8.3475000000000001</v>
      </c>
      <c r="E27" s="73">
        <f>B27</f>
        <v>78.75</v>
      </c>
      <c r="F27" s="176">
        <f>C27</f>
        <v>0.106</v>
      </c>
      <c r="G27" s="22">
        <f>E27*F27</f>
        <v>8.3475000000000001</v>
      </c>
      <c r="H27" s="22">
        <f t="shared" si="2"/>
        <v>0</v>
      </c>
      <c r="I27" s="23">
        <f t="shared" si="9"/>
        <v>0</v>
      </c>
      <c r="J27" s="23">
        <f t="shared" ref="J27:J46" si="10">G27/$G$46</f>
        <v>5.4157456478665669E-2</v>
      </c>
      <c r="K27" s="108">
        <f t="shared" ref="K27:K41" si="11">G27/$G$51</f>
        <v>5.3439489637585644E-2</v>
      </c>
    </row>
    <row r="28" spans="1:11" s="1" customFormat="1" x14ac:dyDescent="0.2">
      <c r="A28" s="119" t="s">
        <v>74</v>
      </c>
      <c r="B28" s="120">
        <f>B8-B4</f>
        <v>78.75</v>
      </c>
      <c r="C28" s="176">
        <f>0.65*C15+0.17*C16+0.18*C17</f>
        <v>9.7519999999999996E-2</v>
      </c>
      <c r="D28" s="22">
        <f>B28*C28</f>
        <v>7.6796999999999995</v>
      </c>
      <c r="E28" s="73">
        <f>B28</f>
        <v>78.75</v>
      </c>
      <c r="F28" s="176">
        <f>C28</f>
        <v>9.7519999999999996E-2</v>
      </c>
      <c r="G28" s="22">
        <f>E28*F28</f>
        <v>7.6796999999999995</v>
      </c>
      <c r="H28" s="22">
        <f t="shared" si="2"/>
        <v>0</v>
      </c>
      <c r="I28" s="23">
        <f t="shared" si="9"/>
        <v>0</v>
      </c>
      <c r="J28" s="23">
        <f t="shared" si="10"/>
        <v>4.9824859960372413E-2</v>
      </c>
      <c r="K28" s="108">
        <f t="shared" si="11"/>
        <v>4.9164330466578789E-2</v>
      </c>
    </row>
    <row r="29" spans="1:11" s="1" customFormat="1" x14ac:dyDescent="0.2">
      <c r="A29" s="110" t="s">
        <v>78</v>
      </c>
      <c r="B29" s="74"/>
      <c r="C29" s="35"/>
      <c r="D29" s="35">
        <f>SUM(D25,D26:D27)</f>
        <v>58.377499999999998</v>
      </c>
      <c r="E29" s="73"/>
      <c r="F29" s="35"/>
      <c r="G29" s="35">
        <f>SUM(G25,G26:G27)</f>
        <v>61.068678307903923</v>
      </c>
      <c r="H29" s="35">
        <f t="shared" si="2"/>
        <v>2.6911783079039253</v>
      </c>
      <c r="I29" s="36">
        <f t="shared" si="9"/>
        <v>4.6099581309647135E-2</v>
      </c>
      <c r="J29" s="36">
        <f t="shared" si="10"/>
        <v>0.39620536539921425</v>
      </c>
      <c r="K29" s="111">
        <f t="shared" si="11"/>
        <v>0.39095286033139059</v>
      </c>
    </row>
    <row r="30" spans="1:11" s="1" customFormat="1" x14ac:dyDescent="0.2">
      <c r="A30" s="110" t="s">
        <v>77</v>
      </c>
      <c r="B30" s="74"/>
      <c r="C30" s="35"/>
      <c r="D30" s="35">
        <f>SUM(D25,D26,D28)</f>
        <v>57.709699999999991</v>
      </c>
      <c r="E30" s="73"/>
      <c r="F30" s="35"/>
      <c r="G30" s="35">
        <f>SUM(G25,G26,G28)</f>
        <v>60.400878307903923</v>
      </c>
      <c r="H30" s="35">
        <f t="shared" si="2"/>
        <v>2.6911783079039324</v>
      </c>
      <c r="I30" s="36">
        <f t="shared" si="9"/>
        <v>4.663303236551105E-2</v>
      </c>
      <c r="J30" s="36">
        <f t="shared" si="10"/>
        <v>0.39187276888092099</v>
      </c>
      <c r="K30" s="111">
        <f t="shared" si="11"/>
        <v>0.38667770116038375</v>
      </c>
    </row>
    <row r="31" spans="1:11" x14ac:dyDescent="0.2">
      <c r="A31" s="107" t="s">
        <v>40</v>
      </c>
      <c r="B31" s="73">
        <f>B8</f>
        <v>828.75</v>
      </c>
      <c r="C31" s="78">
        <f>VLOOKUP($B$3,'Data for Bill Impacts'!$A$6:$Y$18,15,0)</f>
        <v>6.1999999999999998E-3</v>
      </c>
      <c r="D31" s="22">
        <f>B31*C31</f>
        <v>5.1382500000000002</v>
      </c>
      <c r="E31" s="73">
        <f t="shared" si="6"/>
        <v>828.75</v>
      </c>
      <c r="F31" s="125">
        <f>VLOOKUP($B$3,'Data for Bill Impacts'!$A$6:$Y$18,24,0)</f>
        <v>6.7400000000000003E-3</v>
      </c>
      <c r="G31" s="22">
        <f>E31*F31</f>
        <v>5.5857749999999999</v>
      </c>
      <c r="H31" s="22">
        <f t="shared" si="2"/>
        <v>0.44752499999999973</v>
      </c>
      <c r="I31" s="23">
        <f t="shared" si="9"/>
        <v>8.7096774193548332E-2</v>
      </c>
      <c r="J31" s="23">
        <f t="shared" si="10"/>
        <v>3.623975638959194E-2</v>
      </c>
      <c r="K31" s="108">
        <f t="shared" si="11"/>
        <v>3.5759324975188377E-2</v>
      </c>
    </row>
    <row r="32" spans="1:11" x14ac:dyDescent="0.2">
      <c r="A32" s="107" t="s">
        <v>41</v>
      </c>
      <c r="B32" s="73">
        <f>B8</f>
        <v>828.75</v>
      </c>
      <c r="C32" s="78">
        <f>VLOOKUP($B$3,'Data for Bill Impacts'!$A$6:$Y$18,16,0)</f>
        <v>4.4000000000000003E-3</v>
      </c>
      <c r="D32" s="22">
        <f>B32*C32</f>
        <v>3.6465000000000001</v>
      </c>
      <c r="E32" s="73">
        <f t="shared" si="6"/>
        <v>828.75</v>
      </c>
      <c r="F32" s="125">
        <f>VLOOKUP($B$3,'Data for Bill Impacts'!$A$6:$Y$18,25,0)</f>
        <v>5.6299999999999996E-3</v>
      </c>
      <c r="G32" s="22">
        <f>E32*F32</f>
        <v>4.6658624999999994</v>
      </c>
      <c r="H32" s="22">
        <f t="shared" si="2"/>
        <v>1.0193624999999993</v>
      </c>
      <c r="I32" s="23">
        <f t="shared" si="9"/>
        <v>0.27954545454545432</v>
      </c>
      <c r="J32" s="23">
        <f t="shared" si="10"/>
        <v>3.0271487904065666E-2</v>
      </c>
      <c r="K32" s="108">
        <f t="shared" si="11"/>
        <v>2.9870177983725595E-2</v>
      </c>
    </row>
    <row r="33" spans="1:11" s="1" customFormat="1" x14ac:dyDescent="0.2">
      <c r="A33" s="110" t="s">
        <v>76</v>
      </c>
      <c r="B33" s="74"/>
      <c r="C33" s="35"/>
      <c r="D33" s="35">
        <f>SUM(D31:D32)</f>
        <v>8.7847500000000007</v>
      </c>
      <c r="E33" s="73"/>
      <c r="F33" s="35"/>
      <c r="G33" s="35">
        <f>SUM(G31:G32)</f>
        <v>10.251637499999999</v>
      </c>
      <c r="H33" s="35">
        <f t="shared" si="2"/>
        <v>1.4668874999999986</v>
      </c>
      <c r="I33" s="36">
        <f t="shared" si="9"/>
        <v>0.16698113207547152</v>
      </c>
      <c r="J33" s="36">
        <f t="shared" si="10"/>
        <v>6.6511244293657609E-2</v>
      </c>
      <c r="K33" s="111">
        <f t="shared" si="11"/>
        <v>6.5629502958913968E-2</v>
      </c>
    </row>
    <row r="34" spans="1:11" s="1" customFormat="1" x14ac:dyDescent="0.2">
      <c r="A34" s="110" t="s">
        <v>91</v>
      </c>
      <c r="B34" s="74"/>
      <c r="C34" s="35"/>
      <c r="D34" s="35">
        <f>D29+D33</f>
        <v>67.16225</v>
      </c>
      <c r="E34" s="73"/>
      <c r="F34" s="35"/>
      <c r="G34" s="35">
        <f>G29+G33</f>
        <v>71.320315807903924</v>
      </c>
      <c r="H34" s="35">
        <f t="shared" si="2"/>
        <v>4.1580658079039239</v>
      </c>
      <c r="I34" s="36">
        <f t="shared" si="9"/>
        <v>6.1910758021119359E-2</v>
      </c>
      <c r="J34" s="36">
        <f t="shared" si="10"/>
        <v>0.46271660969287187</v>
      </c>
      <c r="K34" s="111">
        <f t="shared" si="11"/>
        <v>0.45658236329030455</v>
      </c>
    </row>
    <row r="35" spans="1:11" s="1" customFormat="1" x14ac:dyDescent="0.2">
      <c r="A35" s="110" t="s">
        <v>92</v>
      </c>
      <c r="B35" s="74"/>
      <c r="C35" s="35"/>
      <c r="D35" s="35">
        <f>D30+D33</f>
        <v>66.494449999999986</v>
      </c>
      <c r="E35" s="73"/>
      <c r="F35" s="35"/>
      <c r="G35" s="35">
        <f>G30+G33</f>
        <v>70.652515807903924</v>
      </c>
      <c r="H35" s="35">
        <f t="shared" si="2"/>
        <v>4.1580658079039381</v>
      </c>
      <c r="I35" s="36">
        <f t="shared" si="9"/>
        <v>6.2532524261858527E-2</v>
      </c>
      <c r="J35" s="36">
        <f t="shared" si="10"/>
        <v>0.45838401317457861</v>
      </c>
      <c r="K35" s="111">
        <f t="shared" si="11"/>
        <v>0.4523072041192977</v>
      </c>
    </row>
    <row r="36" spans="1:11" x14ac:dyDescent="0.2">
      <c r="A36" s="107" t="s">
        <v>42</v>
      </c>
      <c r="B36" s="73">
        <f>B8</f>
        <v>828.75</v>
      </c>
      <c r="C36" s="34">
        <v>3.5999999999999999E-3</v>
      </c>
      <c r="D36" s="22">
        <f>B36*C36</f>
        <v>2.9834999999999998</v>
      </c>
      <c r="E36" s="73">
        <f t="shared" si="6"/>
        <v>828.75</v>
      </c>
      <c r="F36" s="34">
        <v>3.5999999999999999E-3</v>
      </c>
      <c r="G36" s="22">
        <f>E36*F36</f>
        <v>2.9834999999999998</v>
      </c>
      <c r="H36" s="22">
        <f t="shared" si="2"/>
        <v>0</v>
      </c>
      <c r="I36" s="23">
        <f t="shared" si="9"/>
        <v>0</v>
      </c>
      <c r="J36" s="23">
        <f t="shared" si="10"/>
        <v>1.9356546439544656E-2</v>
      </c>
      <c r="K36" s="108">
        <f t="shared" si="11"/>
        <v>1.9099936188527913E-2</v>
      </c>
    </row>
    <row r="37" spans="1:11" x14ac:dyDescent="0.2">
      <c r="A37" s="107" t="s">
        <v>43</v>
      </c>
      <c r="B37" s="73">
        <f>B8</f>
        <v>828.75</v>
      </c>
      <c r="C37" s="34">
        <v>2.0999999999999999E-3</v>
      </c>
      <c r="D37" s="22">
        <f>B37*C37</f>
        <v>1.7403749999999998</v>
      </c>
      <c r="E37" s="73">
        <f t="shared" si="6"/>
        <v>828.75</v>
      </c>
      <c r="F37" s="34">
        <v>2.0999999999999999E-3</v>
      </c>
      <c r="G37" s="22">
        <f>E37*F37</f>
        <v>1.7403749999999998</v>
      </c>
      <c r="H37" s="22">
        <f>G37-D37</f>
        <v>0</v>
      </c>
      <c r="I37" s="23">
        <f t="shared" si="9"/>
        <v>0</v>
      </c>
      <c r="J37" s="23">
        <f t="shared" si="10"/>
        <v>1.1291318756401048E-2</v>
      </c>
      <c r="K37" s="108">
        <f t="shared" si="11"/>
        <v>1.1141629443307949E-2</v>
      </c>
    </row>
    <row r="38" spans="1:11" x14ac:dyDescent="0.2">
      <c r="A38" s="107" t="s">
        <v>96</v>
      </c>
      <c r="B38" s="73">
        <f>B8</f>
        <v>828.75</v>
      </c>
      <c r="C38" s="34">
        <v>0</v>
      </c>
      <c r="D38" s="22">
        <f>B38*C38</f>
        <v>0</v>
      </c>
      <c r="E38" s="73">
        <f t="shared" si="6"/>
        <v>828.75</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1.6219663515623141E-3</v>
      </c>
      <c r="K39" s="108">
        <f t="shared" si="11"/>
        <v>1.6004639004967248E-3</v>
      </c>
    </row>
    <row r="40" spans="1:11" s="1" customFormat="1" x14ac:dyDescent="0.2">
      <c r="A40" s="110" t="s">
        <v>45</v>
      </c>
      <c r="B40" s="74"/>
      <c r="C40" s="35"/>
      <c r="D40" s="35">
        <f>SUM(D36:D39)</f>
        <v>4.9738749999999996</v>
      </c>
      <c r="E40" s="73"/>
      <c r="F40" s="35"/>
      <c r="G40" s="35">
        <f>SUM(G36:G39)</f>
        <v>4.9738749999999996</v>
      </c>
      <c r="H40" s="35">
        <f t="shared" si="2"/>
        <v>0</v>
      </c>
      <c r="I40" s="36">
        <f t="shared" si="9"/>
        <v>0</v>
      </c>
      <c r="J40" s="36">
        <f t="shared" si="10"/>
        <v>3.2269831547508017E-2</v>
      </c>
      <c r="K40" s="111">
        <f t="shared" si="11"/>
        <v>3.1842029532332589E-2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142.63612499999999</v>
      </c>
      <c r="E42" s="38"/>
      <c r="F42" s="39"/>
      <c r="G42" s="39">
        <f>SUM(G14,G25,G26,G27,G33,G40,G41)</f>
        <v>146.79419080790393</v>
      </c>
      <c r="H42" s="39">
        <f t="shared" si="2"/>
        <v>4.1580658079039381</v>
      </c>
      <c r="I42" s="40">
        <f t="shared" si="9"/>
        <v>2.9151561765323745E-2</v>
      </c>
      <c r="J42" s="40">
        <f t="shared" si="10"/>
        <v>0.95238095238095255</v>
      </c>
      <c r="K42" s="41"/>
    </row>
    <row r="43" spans="1:11" x14ac:dyDescent="0.2">
      <c r="A43" s="153" t="s">
        <v>106</v>
      </c>
      <c r="B43" s="43"/>
      <c r="C43" s="26">
        <v>0.13</v>
      </c>
      <c r="D43" s="26">
        <f>D42*C43</f>
        <v>18.542696249999999</v>
      </c>
      <c r="E43" s="26"/>
      <c r="F43" s="26">
        <f>C43</f>
        <v>0.13</v>
      </c>
      <c r="G43" s="26">
        <f>G42*F43</f>
        <v>19.083244805027512</v>
      </c>
      <c r="H43" s="26">
        <f t="shared" si="2"/>
        <v>0.54054855502751309</v>
      </c>
      <c r="I43" s="44">
        <f t="shared" si="9"/>
        <v>2.9151561765323807E-2</v>
      </c>
      <c r="J43" s="44">
        <f t="shared" si="10"/>
        <v>0.12380952380952383</v>
      </c>
      <c r="K43" s="45"/>
    </row>
    <row r="44" spans="1:11" s="1" customFormat="1" x14ac:dyDescent="0.2">
      <c r="A44" s="46" t="s">
        <v>107</v>
      </c>
      <c r="B44" s="24"/>
      <c r="C44" s="25"/>
      <c r="D44" s="25">
        <f>SUM(D42:D43)</f>
        <v>161.17882125</v>
      </c>
      <c r="E44" s="25"/>
      <c r="F44" s="25"/>
      <c r="G44" s="25">
        <f>SUM(G42:G43)</f>
        <v>165.87743561293144</v>
      </c>
      <c r="H44" s="25">
        <f t="shared" si="2"/>
        <v>4.698614362931437</v>
      </c>
      <c r="I44" s="27">
        <f t="shared" si="9"/>
        <v>2.9151561765323662E-2</v>
      </c>
      <c r="J44" s="27">
        <f t="shared" si="10"/>
        <v>1.0761904761904764</v>
      </c>
      <c r="K44" s="47"/>
    </row>
    <row r="45" spans="1:11" x14ac:dyDescent="0.2">
      <c r="A45" s="42" t="s">
        <v>108</v>
      </c>
      <c r="B45" s="43"/>
      <c r="C45" s="26">
        <v>-0.08</v>
      </c>
      <c r="D45" s="26">
        <f>D42*C45</f>
        <v>-11.41089</v>
      </c>
      <c r="E45" s="26"/>
      <c r="F45" s="26">
        <f>C45</f>
        <v>-0.08</v>
      </c>
      <c r="G45" s="26">
        <f>G42*F45</f>
        <v>-11.743535264632314</v>
      </c>
      <c r="H45" s="26">
        <f t="shared" si="2"/>
        <v>-0.3326452646323137</v>
      </c>
      <c r="I45" s="44">
        <f t="shared" si="9"/>
        <v>-2.9151561765323623E-2</v>
      </c>
      <c r="J45" s="44">
        <f t="shared" si="10"/>
        <v>-7.6190476190476197E-2</v>
      </c>
      <c r="K45" s="45"/>
    </row>
    <row r="46" spans="1:11" s="1" customFormat="1" ht="13.5" thickBot="1" x14ac:dyDescent="0.25">
      <c r="A46" s="48" t="s">
        <v>109</v>
      </c>
      <c r="B46" s="49"/>
      <c r="C46" s="50"/>
      <c r="D46" s="50">
        <f>SUM(D44:D45)</f>
        <v>149.76793125</v>
      </c>
      <c r="E46" s="50"/>
      <c r="F46" s="50"/>
      <c r="G46" s="50">
        <f>SUM(G44:G45)</f>
        <v>154.13390034829911</v>
      </c>
      <c r="H46" s="50">
        <f t="shared" si="2"/>
        <v>4.3659690982991037</v>
      </c>
      <c r="I46" s="51">
        <f t="shared" si="9"/>
        <v>2.9151561765323533E-2</v>
      </c>
      <c r="J46" s="51">
        <f t="shared" si="10"/>
        <v>1</v>
      </c>
      <c r="K46" s="52"/>
    </row>
    <row r="47" spans="1:11" x14ac:dyDescent="0.2">
      <c r="A47" s="53" t="s">
        <v>110</v>
      </c>
      <c r="B47" s="54"/>
      <c r="C47" s="55"/>
      <c r="D47" s="55">
        <f>SUM(D18,D25,D26,D28,D33,D40,D41)</f>
        <v>144.60832500000001</v>
      </c>
      <c r="E47" s="55"/>
      <c r="F47" s="55"/>
      <c r="G47" s="55">
        <f>SUM(G18,G25,G26,G28,G33,G40,G41)</f>
        <v>148.76639080790395</v>
      </c>
      <c r="H47" s="55">
        <f>G47-D47</f>
        <v>4.1580658079039381</v>
      </c>
      <c r="I47" s="56">
        <f t="shared" si="9"/>
        <v>2.8753986382899725E-2</v>
      </c>
      <c r="J47" s="56"/>
      <c r="K47" s="57">
        <f>G47/$G$51</f>
        <v>0.95238095238095233</v>
      </c>
    </row>
    <row r="48" spans="1:11" x14ac:dyDescent="0.2">
      <c r="A48" s="58" t="s">
        <v>106</v>
      </c>
      <c r="B48" s="59"/>
      <c r="C48" s="31">
        <v>0.13</v>
      </c>
      <c r="D48" s="31">
        <f>D47*C48</f>
        <v>18.799082250000001</v>
      </c>
      <c r="E48" s="31"/>
      <c r="F48" s="31">
        <f>C48</f>
        <v>0.13</v>
      </c>
      <c r="G48" s="31">
        <f>G47*F48</f>
        <v>19.339630805027515</v>
      </c>
      <c r="H48" s="31">
        <f>G48-D48</f>
        <v>0.54054855502751309</v>
      </c>
      <c r="I48" s="32">
        <f t="shared" si="9"/>
        <v>2.8753986382899784E-2</v>
      </c>
      <c r="J48" s="32"/>
      <c r="K48" s="60">
        <f>G48/$G$51</f>
        <v>0.12380952380952381</v>
      </c>
    </row>
    <row r="49" spans="1:11" x14ac:dyDescent="0.2">
      <c r="A49" s="61" t="s">
        <v>111</v>
      </c>
      <c r="B49" s="29"/>
      <c r="C49" s="30"/>
      <c r="D49" s="30">
        <f>SUM(D47:D48)</f>
        <v>163.40740725000001</v>
      </c>
      <c r="E49" s="30"/>
      <c r="F49" s="30"/>
      <c r="G49" s="30">
        <f>SUM(G47:G48)</f>
        <v>168.10602161293147</v>
      </c>
      <c r="H49" s="30">
        <f>G49-D49</f>
        <v>4.6986143629314654</v>
      </c>
      <c r="I49" s="33">
        <f t="shared" si="9"/>
        <v>2.8753986382899818E-2</v>
      </c>
      <c r="J49" s="33"/>
      <c r="K49" s="62">
        <f>G49/$G$51</f>
        <v>1.0761904761904761</v>
      </c>
    </row>
    <row r="50" spans="1:11" x14ac:dyDescent="0.2">
      <c r="A50" s="58" t="s">
        <v>108</v>
      </c>
      <c r="B50" s="59"/>
      <c r="C50" s="31">
        <v>-0.08</v>
      </c>
      <c r="D50" s="31">
        <f>D47*C50</f>
        <v>-11.568666</v>
      </c>
      <c r="E50" s="31"/>
      <c r="F50" s="31">
        <f>C50</f>
        <v>-0.08</v>
      </c>
      <c r="G50" s="31">
        <f>G47*F50</f>
        <v>-11.901311264632316</v>
      </c>
      <c r="H50" s="31">
        <f>G50-D50</f>
        <v>-0.33264526463231547</v>
      </c>
      <c r="I50" s="32">
        <f t="shared" si="9"/>
        <v>-2.8753986382899763E-2</v>
      </c>
      <c r="J50" s="32"/>
      <c r="K50" s="60">
        <f>G50/$G$51</f>
        <v>-7.6190476190476183E-2</v>
      </c>
    </row>
    <row r="51" spans="1:11" ht="13.5" thickBot="1" x14ac:dyDescent="0.25">
      <c r="A51" s="63" t="s">
        <v>121</v>
      </c>
      <c r="B51" s="64"/>
      <c r="C51" s="65"/>
      <c r="D51" s="65">
        <f>SUM(D49:D50)</f>
        <v>151.83874125</v>
      </c>
      <c r="E51" s="65"/>
      <c r="F51" s="65"/>
      <c r="G51" s="65">
        <f>SUM(G49:G50)</f>
        <v>156.20471034829916</v>
      </c>
      <c r="H51" s="65">
        <f>G51-D51</f>
        <v>4.3659690982991606</v>
      </c>
      <c r="I51" s="66">
        <f t="shared" si="9"/>
        <v>2.8753986382899895E-2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120</v>
      </c>
      <c r="B1" s="191"/>
      <c r="C1" s="191"/>
      <c r="D1" s="191"/>
      <c r="E1" s="191"/>
      <c r="F1" s="191"/>
      <c r="G1" s="191"/>
      <c r="H1" s="191"/>
      <c r="I1" s="191"/>
      <c r="J1" s="191"/>
      <c r="K1" s="192"/>
    </row>
    <row r="3" spans="1:11" x14ac:dyDescent="0.2">
      <c r="A3" s="13" t="s">
        <v>13</v>
      </c>
      <c r="B3" s="13" t="s">
        <v>2</v>
      </c>
    </row>
    <row r="4" spans="1:11" x14ac:dyDescent="0.2">
      <c r="A4" s="15" t="s">
        <v>62</v>
      </c>
      <c r="B4" s="15">
        <f>VLOOKUP(B3,'Data for Bill Impacts'!A22:D34,3,FALSE)</f>
        <v>1152</v>
      </c>
    </row>
    <row r="5" spans="1:11" x14ac:dyDescent="0.2">
      <c r="A5" s="15" t="s">
        <v>16</v>
      </c>
      <c r="B5" s="15">
        <f>VLOOKUP($B$3,'Data for Bill Impacts'!$A$6:$Y$18,5,0)</f>
        <v>0</v>
      </c>
    </row>
    <row r="6" spans="1:11" x14ac:dyDescent="0.2">
      <c r="A6" s="15" t="s">
        <v>20</v>
      </c>
      <c r="B6" s="15">
        <f>VLOOKUP($B$3,'Data for Bill Impacts'!$A$6:$Y$18,2,0)</f>
        <v>1.105</v>
      </c>
    </row>
    <row r="7" spans="1:11" x14ac:dyDescent="0.2">
      <c r="A7" s="15" t="s">
        <v>15</v>
      </c>
      <c r="B7" s="15">
        <f>VLOOKUP($B$3,'Data for Bill Impacts'!$A$6:$Y$18,4,0)</f>
        <v>600</v>
      </c>
    </row>
    <row r="8" spans="1:11" x14ac:dyDescent="0.2">
      <c r="A8" s="15" t="s">
        <v>82</v>
      </c>
      <c r="B8" s="15">
        <f>B4*B6</f>
        <v>1272.96</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0.24035889779600261</v>
      </c>
      <c r="K12" s="106"/>
    </row>
    <row r="13" spans="1:11" x14ac:dyDescent="0.2">
      <c r="A13" s="107" t="s">
        <v>32</v>
      </c>
      <c r="B13" s="73">
        <f>IF(B4&gt;B7,(B4)-B7,0)</f>
        <v>552</v>
      </c>
      <c r="C13" s="21">
        <v>0.106</v>
      </c>
      <c r="D13" s="22">
        <f>B13*C13</f>
        <v>58.512</v>
      </c>
      <c r="E13" s="73">
        <f t="shared" ref="E13:F17" si="1">B13</f>
        <v>552</v>
      </c>
      <c r="F13" s="21">
        <f t="shared" si="1"/>
        <v>0.106</v>
      </c>
      <c r="G13" s="22">
        <f>E13*F13</f>
        <v>58.512</v>
      </c>
      <c r="H13" s="22">
        <f t="shared" ref="H13:H46" si="2">G13-D13</f>
        <v>0</v>
      </c>
      <c r="I13" s="23">
        <f t="shared" si="0"/>
        <v>0</v>
      </c>
      <c r="J13" s="23">
        <f>G13/$G$46</f>
        <v>0.25758021662710079</v>
      </c>
      <c r="K13" s="108"/>
    </row>
    <row r="14" spans="1:11" s="1" customFormat="1" x14ac:dyDescent="0.2">
      <c r="A14" s="46" t="s">
        <v>33</v>
      </c>
      <c r="B14" s="24"/>
      <c r="C14" s="25"/>
      <c r="D14" s="25">
        <f>SUM(D12:D13)</f>
        <v>113.11199999999999</v>
      </c>
      <c r="E14" s="76"/>
      <c r="F14" s="25"/>
      <c r="G14" s="25">
        <f>SUM(G12:G13)</f>
        <v>113.11199999999999</v>
      </c>
      <c r="H14" s="25">
        <f t="shared" si="2"/>
        <v>0</v>
      </c>
      <c r="I14" s="27">
        <f t="shared" si="0"/>
        <v>0</v>
      </c>
      <c r="J14" s="27">
        <f>G14/$G$46</f>
        <v>0.4979391144231034</v>
      </c>
      <c r="K14" s="108"/>
    </row>
    <row r="15" spans="1:11" s="1" customFormat="1" x14ac:dyDescent="0.2">
      <c r="A15" s="109" t="s">
        <v>34</v>
      </c>
      <c r="B15" s="75">
        <f>B4*0.65</f>
        <v>748.80000000000007</v>
      </c>
      <c r="C15" s="28">
        <v>7.6999999999999999E-2</v>
      </c>
      <c r="D15" s="22">
        <f>B15*C15</f>
        <v>57.657600000000002</v>
      </c>
      <c r="E15" s="73">
        <f t="shared" ref="E15:E17" si="3">B15</f>
        <v>748.80000000000007</v>
      </c>
      <c r="F15" s="28">
        <f t="shared" si="1"/>
        <v>7.6999999999999999E-2</v>
      </c>
      <c r="G15" s="22">
        <f>E15*F15</f>
        <v>57.657600000000002</v>
      </c>
      <c r="H15" s="22">
        <f t="shared" si="2"/>
        <v>0</v>
      </c>
      <c r="I15" s="23">
        <f t="shared" si="0"/>
        <v>0</v>
      </c>
      <c r="J15" s="23"/>
      <c r="K15" s="108">
        <f t="shared" ref="K15:K26" si="4">G15/$G$51</f>
        <v>0.25594219559484438</v>
      </c>
    </row>
    <row r="16" spans="1:11" s="1" customFormat="1" x14ac:dyDescent="0.2">
      <c r="A16" s="109" t="s">
        <v>35</v>
      </c>
      <c r="B16" s="75">
        <f>B4*0.17</f>
        <v>195.84</v>
      </c>
      <c r="C16" s="28">
        <v>0.113</v>
      </c>
      <c r="D16" s="22">
        <f>B16*C16</f>
        <v>22.129920000000002</v>
      </c>
      <c r="E16" s="73">
        <f t="shared" si="3"/>
        <v>195.84</v>
      </c>
      <c r="F16" s="28">
        <f t="shared" si="1"/>
        <v>0.113</v>
      </c>
      <c r="G16" s="22">
        <f>E16*F16</f>
        <v>22.129920000000002</v>
      </c>
      <c r="H16" s="22">
        <f t="shared" si="2"/>
        <v>0</v>
      </c>
      <c r="I16" s="23">
        <f t="shared" si="0"/>
        <v>0</v>
      </c>
      <c r="J16" s="23"/>
      <c r="K16" s="108">
        <f t="shared" si="4"/>
        <v>9.8234756790748459E-2</v>
      </c>
    </row>
    <row r="17" spans="1:11" s="1" customFormat="1" x14ac:dyDescent="0.2">
      <c r="A17" s="109" t="s">
        <v>36</v>
      </c>
      <c r="B17" s="75">
        <f>B4*0.18</f>
        <v>207.35999999999999</v>
      </c>
      <c r="C17" s="28">
        <v>0.157</v>
      </c>
      <c r="D17" s="22">
        <f>B17*C17</f>
        <v>32.555520000000001</v>
      </c>
      <c r="E17" s="73">
        <f t="shared" si="3"/>
        <v>207.35999999999999</v>
      </c>
      <c r="F17" s="28">
        <f t="shared" si="1"/>
        <v>0.157</v>
      </c>
      <c r="G17" s="22">
        <f>E17*F17</f>
        <v>32.555520000000001</v>
      </c>
      <c r="H17" s="22">
        <f t="shared" si="2"/>
        <v>0</v>
      </c>
      <c r="I17" s="23">
        <f t="shared" si="0"/>
        <v>0</v>
      </c>
      <c r="J17" s="23"/>
      <c r="K17" s="108">
        <f t="shared" si="4"/>
        <v>0.14451401493527075</v>
      </c>
    </row>
    <row r="18" spans="1:11" s="1" customFormat="1" x14ac:dyDescent="0.2">
      <c r="A18" s="61" t="s">
        <v>37</v>
      </c>
      <c r="B18" s="29"/>
      <c r="C18" s="30"/>
      <c r="D18" s="30">
        <f>SUM(D15:D17)</f>
        <v>112.34304</v>
      </c>
      <c r="E18" s="77"/>
      <c r="F18" s="30"/>
      <c r="G18" s="30">
        <f>SUM(G15:G17)</f>
        <v>112.34304</v>
      </c>
      <c r="H18" s="31">
        <f t="shared" si="2"/>
        <v>0</v>
      </c>
      <c r="I18" s="32">
        <f t="shared" si="0"/>
        <v>0</v>
      </c>
      <c r="J18" s="33">
        <f t="shared" ref="J18:J26" si="5">G18/$G$46</f>
        <v>0.49455401592403353</v>
      </c>
      <c r="K18" s="62">
        <f t="shared" si="4"/>
        <v>0.49869096732086354</v>
      </c>
    </row>
    <row r="19" spans="1:11" x14ac:dyDescent="0.2">
      <c r="A19" s="107" t="s">
        <v>116</v>
      </c>
      <c r="B19" s="73">
        <v>1</v>
      </c>
      <c r="C19" s="78">
        <f>VLOOKUP($B$3,'Data for Bill Impacts'!$A$6:$Y$18,7,0)</f>
        <v>19.829999999999998</v>
      </c>
      <c r="D19" s="22">
        <f>B19*C19</f>
        <v>19.829999999999998</v>
      </c>
      <c r="E19" s="73">
        <f t="shared" ref="E19:E41" si="6">B19</f>
        <v>1</v>
      </c>
      <c r="F19" s="121">
        <f>VLOOKUP($B$3,'Data for Bill Impacts'!$A$6:$Y$18,17,0)</f>
        <v>25.019678307903931</v>
      </c>
      <c r="G19" s="22">
        <f>E19*F19</f>
        <v>25.019678307903931</v>
      </c>
      <c r="H19" s="22">
        <f t="shared" si="2"/>
        <v>5.1896783079039324</v>
      </c>
      <c r="I19" s="23">
        <f>IF(ISERROR(H19/ABS(D19)),"N/A",(H19/ABS(D19)))</f>
        <v>0.26170843711063707</v>
      </c>
      <c r="J19" s="23">
        <f t="shared" si="5"/>
        <v>0.11014106778934696</v>
      </c>
      <c r="K19" s="108">
        <f t="shared" si="4"/>
        <v>0.1110623993923027</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1.36</v>
      </c>
      <c r="D21" s="22">
        <f t="shared" si="7"/>
        <v>1.36</v>
      </c>
      <c r="E21" s="73">
        <f t="shared" si="6"/>
        <v>1</v>
      </c>
      <c r="F21" s="121">
        <f>VLOOKUP($B$3,'Data for Bill Impacts'!$A$6:$Y$18,22,0)</f>
        <v>-2.1000000000000001E-2</v>
      </c>
      <c r="G21" s="22">
        <f t="shared" si="8"/>
        <v>-2.1000000000000001E-2</v>
      </c>
      <c r="H21" s="22">
        <f t="shared" si="2"/>
        <v>-1.381</v>
      </c>
      <c r="I21" s="23">
        <f t="shared" si="9"/>
        <v>-1.0154411764705882</v>
      </c>
      <c r="J21" s="23">
        <f t="shared" si="5"/>
        <v>-9.2445729921539471E-5</v>
      </c>
      <c r="K21" s="108">
        <f t="shared" si="4"/>
        <v>-9.3219039770849486E-5</v>
      </c>
    </row>
    <row r="22" spans="1:11" hidden="1" x14ac:dyDescent="0.2">
      <c r="A22" s="107" t="s">
        <v>123</v>
      </c>
      <c r="B22" s="73">
        <f>B4</f>
        <v>1152</v>
      </c>
      <c r="C22" s="78">
        <v>0</v>
      </c>
      <c r="D22" s="22">
        <f>B22*C22</f>
        <v>0</v>
      </c>
      <c r="E22" s="73">
        <f>B22</f>
        <v>1152</v>
      </c>
      <c r="F22" s="78">
        <f>C22</f>
        <v>0</v>
      </c>
      <c r="G22" s="22">
        <f>E22*F22</f>
        <v>0</v>
      </c>
      <c r="H22" s="22">
        <f>G22-D22</f>
        <v>0</v>
      </c>
      <c r="I22" s="23" t="str">
        <f t="shared" si="9"/>
        <v>N/A</v>
      </c>
      <c r="J22" s="23">
        <f t="shared" si="5"/>
        <v>0</v>
      </c>
      <c r="K22" s="108">
        <f t="shared" si="4"/>
        <v>0</v>
      </c>
    </row>
    <row r="23" spans="1:11" x14ac:dyDescent="0.2">
      <c r="A23" s="107" t="s">
        <v>39</v>
      </c>
      <c r="B23" s="73">
        <f>IF($B$9="kWh",$B$4,$B$5)</f>
        <v>1152</v>
      </c>
      <c r="C23" s="78">
        <f>VLOOKUP($B$3,'Data for Bill Impacts'!$A$6:$Y$18,10,0)</f>
        <v>3.7400000000000003E-2</v>
      </c>
      <c r="D23" s="22">
        <f>B23*C23</f>
        <v>43.084800000000001</v>
      </c>
      <c r="E23" s="73">
        <f t="shared" si="6"/>
        <v>1152</v>
      </c>
      <c r="F23" s="125">
        <f>VLOOKUP($B$3,'Data for Bill Impacts'!$A$6:$Y$18,19,0)</f>
        <v>3.5900000000000001E-2</v>
      </c>
      <c r="G23" s="22">
        <f>E23*F23</f>
        <v>41.3568</v>
      </c>
      <c r="H23" s="22">
        <f t="shared" si="2"/>
        <v>-1.7280000000000015</v>
      </c>
      <c r="I23" s="23">
        <f t="shared" si="9"/>
        <v>-4.0106951871657789E-2</v>
      </c>
      <c r="J23" s="23">
        <f t="shared" si="5"/>
        <v>0.18205997920091063</v>
      </c>
      <c r="K23" s="108">
        <f t="shared" si="4"/>
        <v>0.18358291352357467</v>
      </c>
    </row>
    <row r="24" spans="1:11" x14ac:dyDescent="0.2">
      <c r="A24" s="107" t="s">
        <v>124</v>
      </c>
      <c r="B24" s="73">
        <f>IF($B$9="kWh",$B$4,$B$5)</f>
        <v>1152</v>
      </c>
      <c r="C24" s="125">
        <f>VLOOKUP($B$3,'Data for Bill Impacts'!$A$6:$Y$18,14,0)</f>
        <v>0</v>
      </c>
      <c r="D24" s="22">
        <f>B24*C24</f>
        <v>0</v>
      </c>
      <c r="E24" s="73">
        <f>B24</f>
        <v>1152</v>
      </c>
      <c r="F24" s="125">
        <f>VLOOKUP($B$3,'Data for Bill Impacts'!$A$6:$Y$18,23,0)</f>
        <v>1.0000000000000003E-5</v>
      </c>
      <c r="G24" s="22">
        <f>E24*F24</f>
        <v>1.1520000000000002E-2</v>
      </c>
      <c r="H24" s="22">
        <f>G24-D24</f>
        <v>1.1520000000000002E-2</v>
      </c>
      <c r="I24" s="23" t="str">
        <f t="shared" si="9"/>
        <v>N/A</v>
      </c>
      <c r="J24" s="23">
        <f t="shared" si="5"/>
        <v>5.0713086128387375E-5</v>
      </c>
      <c r="K24" s="108">
        <f t="shared" si="4"/>
        <v>5.1137301817151731E-5</v>
      </c>
    </row>
    <row r="25" spans="1:11" s="1" customFormat="1" x14ac:dyDescent="0.2">
      <c r="A25" s="110" t="s">
        <v>72</v>
      </c>
      <c r="B25" s="74"/>
      <c r="C25" s="35"/>
      <c r="D25" s="35">
        <f>SUM(D19:D24)</f>
        <v>64.274799999999999</v>
      </c>
      <c r="E25" s="73"/>
      <c r="F25" s="35"/>
      <c r="G25" s="35">
        <f>SUM(G19:G24)</f>
        <v>66.366998307903927</v>
      </c>
      <c r="H25" s="35">
        <f t="shared" si="2"/>
        <v>2.0921983079039279</v>
      </c>
      <c r="I25" s="36">
        <f t="shared" si="9"/>
        <v>3.2550833420001743E-2</v>
      </c>
      <c r="J25" s="36">
        <f t="shared" si="5"/>
        <v>0.29215931434646442</v>
      </c>
      <c r="K25" s="111">
        <f t="shared" si="4"/>
        <v>0.29460323117792364</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3.4777203160960084E-3</v>
      </c>
      <c r="K26" s="108">
        <f t="shared" si="4"/>
        <v>3.5068114961414806E-3</v>
      </c>
    </row>
    <row r="27" spans="1:11" s="1" customFormat="1" x14ac:dyDescent="0.2">
      <c r="A27" s="119" t="s">
        <v>75</v>
      </c>
      <c r="B27" s="120">
        <f>B8-B4</f>
        <v>120.96000000000004</v>
      </c>
      <c r="C27" s="176">
        <f>IF(B4&gt;B7,C13,C12)</f>
        <v>0.106</v>
      </c>
      <c r="D27" s="22">
        <f>B27*C27</f>
        <v>12.821760000000003</v>
      </c>
      <c r="E27" s="73">
        <f>B27</f>
        <v>120.96000000000004</v>
      </c>
      <c r="F27" s="176">
        <f>C27</f>
        <v>0.106</v>
      </c>
      <c r="G27" s="22">
        <f>E27*F27</f>
        <v>12.821760000000003</v>
      </c>
      <c r="H27" s="22">
        <f t="shared" si="2"/>
        <v>0</v>
      </c>
      <c r="I27" s="23">
        <f t="shared" si="9"/>
        <v>0</v>
      </c>
      <c r="J27" s="23">
        <f t="shared" ref="J27:J46" si="10">G27/$G$46</f>
        <v>5.6443664860895144E-2</v>
      </c>
      <c r="K27" s="108">
        <f t="shared" ref="K27:K41" si="11">G27/$G$51</f>
        <v>5.6915816922489877E-2</v>
      </c>
    </row>
    <row r="28" spans="1:11" s="1" customFormat="1" x14ac:dyDescent="0.2">
      <c r="A28" s="119" t="s">
        <v>74</v>
      </c>
      <c r="B28" s="120">
        <f>B8-B4</f>
        <v>120.96000000000004</v>
      </c>
      <c r="C28" s="176">
        <f>0.65*C15+0.17*C16+0.18*C17</f>
        <v>9.7519999999999996E-2</v>
      </c>
      <c r="D28" s="22">
        <f>B28*C28</f>
        <v>11.796019200000003</v>
      </c>
      <c r="E28" s="73">
        <f>B28</f>
        <v>120.96000000000004</v>
      </c>
      <c r="F28" s="176">
        <f>C28</f>
        <v>9.7519999999999996E-2</v>
      </c>
      <c r="G28" s="22">
        <f>E28*F28</f>
        <v>11.796019200000003</v>
      </c>
      <c r="H28" s="22">
        <f t="shared" si="2"/>
        <v>0</v>
      </c>
      <c r="I28" s="23">
        <f t="shared" si="9"/>
        <v>0</v>
      </c>
      <c r="J28" s="23">
        <f t="shared" si="10"/>
        <v>5.1928171672023536E-2</v>
      </c>
      <c r="K28" s="108">
        <f t="shared" si="11"/>
        <v>5.2362551568690685E-2</v>
      </c>
    </row>
    <row r="29" spans="1:11" s="1" customFormat="1" x14ac:dyDescent="0.2">
      <c r="A29" s="110" t="s">
        <v>78</v>
      </c>
      <c r="B29" s="74"/>
      <c r="C29" s="35"/>
      <c r="D29" s="35">
        <f>SUM(D25,D26:D27)</f>
        <v>77.886560000000003</v>
      </c>
      <c r="E29" s="73"/>
      <c r="F29" s="35"/>
      <c r="G29" s="35">
        <f>SUM(G25,G26:G27)</f>
        <v>79.978758307903931</v>
      </c>
      <c r="H29" s="35">
        <f t="shared" si="2"/>
        <v>2.0921983079039279</v>
      </c>
      <c r="I29" s="36">
        <f t="shared" si="9"/>
        <v>2.686212239831786E-2</v>
      </c>
      <c r="J29" s="36">
        <f t="shared" si="10"/>
        <v>0.35208069952345555</v>
      </c>
      <c r="K29" s="111">
        <f t="shared" si="11"/>
        <v>0.35502585959655503</v>
      </c>
    </row>
    <row r="30" spans="1:11" s="1" customFormat="1" x14ac:dyDescent="0.2">
      <c r="A30" s="110" t="s">
        <v>77</v>
      </c>
      <c r="B30" s="74"/>
      <c r="C30" s="35"/>
      <c r="D30" s="35">
        <f>SUM(D25,D26,D28)</f>
        <v>76.860819200000009</v>
      </c>
      <c r="E30" s="73"/>
      <c r="F30" s="35"/>
      <c r="G30" s="35">
        <f>SUM(G25,G26,G28)</f>
        <v>78.953017507903937</v>
      </c>
      <c r="H30" s="35">
        <f t="shared" si="2"/>
        <v>2.0921983079039279</v>
      </c>
      <c r="I30" s="36">
        <f t="shared" si="9"/>
        <v>2.7220609013544415E-2</v>
      </c>
      <c r="J30" s="36">
        <f t="shared" si="10"/>
        <v>0.34756520633458399</v>
      </c>
      <c r="K30" s="111">
        <f t="shared" si="11"/>
        <v>0.35047259424275584</v>
      </c>
    </row>
    <row r="31" spans="1:11" x14ac:dyDescent="0.2">
      <c r="A31" s="107" t="s">
        <v>40</v>
      </c>
      <c r="B31" s="73">
        <f>B8</f>
        <v>1272.96</v>
      </c>
      <c r="C31" s="78">
        <f>VLOOKUP($B$3,'Data for Bill Impacts'!$A$6:$Y$18,15,0)</f>
        <v>6.1999999999999998E-3</v>
      </c>
      <c r="D31" s="22">
        <f>B31*C31</f>
        <v>7.8923519999999998</v>
      </c>
      <c r="E31" s="73">
        <f t="shared" si="6"/>
        <v>1272.96</v>
      </c>
      <c r="F31" s="125">
        <f>VLOOKUP($B$3,'Data for Bill Impacts'!$A$6:$Y$18,24,0)</f>
        <v>6.7400000000000003E-3</v>
      </c>
      <c r="G31" s="22">
        <f>E31*F31</f>
        <v>8.5797504</v>
      </c>
      <c r="H31" s="22">
        <f t="shared" si="2"/>
        <v>0.68739840000000019</v>
      </c>
      <c r="I31" s="23">
        <f t="shared" si="9"/>
        <v>8.7096774193548415E-2</v>
      </c>
      <c r="J31" s="23">
        <f t="shared" si="10"/>
        <v>3.7769585155839058E-2</v>
      </c>
      <c r="K31" s="108">
        <f t="shared" si="11"/>
        <v>3.8085528274360084E-2</v>
      </c>
    </row>
    <row r="32" spans="1:11" x14ac:dyDescent="0.2">
      <c r="A32" s="107" t="s">
        <v>41</v>
      </c>
      <c r="B32" s="73">
        <f>B8</f>
        <v>1272.96</v>
      </c>
      <c r="C32" s="78">
        <f>VLOOKUP($B$3,'Data for Bill Impacts'!$A$6:$Y$18,16,0)</f>
        <v>4.4000000000000003E-3</v>
      </c>
      <c r="D32" s="22">
        <f>B32*C32</f>
        <v>5.6010240000000007</v>
      </c>
      <c r="E32" s="73">
        <f t="shared" si="6"/>
        <v>1272.96</v>
      </c>
      <c r="F32" s="125">
        <f>VLOOKUP($B$3,'Data for Bill Impacts'!$A$6:$Y$18,25,0)</f>
        <v>5.6299999999999996E-3</v>
      </c>
      <c r="G32" s="22">
        <f>E32*F32</f>
        <v>7.1667647999999993</v>
      </c>
      <c r="H32" s="22">
        <f t="shared" si="2"/>
        <v>1.5657407999999986</v>
      </c>
      <c r="I32" s="23">
        <f t="shared" si="9"/>
        <v>0.27954545454545426</v>
      </c>
      <c r="J32" s="23">
        <f t="shared" si="10"/>
        <v>3.1549371576761701E-2</v>
      </c>
      <c r="K32" s="108">
        <f t="shared" si="11"/>
        <v>3.1813282519977337E-2</v>
      </c>
    </row>
    <row r="33" spans="1:11" s="1" customFormat="1" x14ac:dyDescent="0.2">
      <c r="A33" s="110" t="s">
        <v>76</v>
      </c>
      <c r="B33" s="74"/>
      <c r="C33" s="35"/>
      <c r="D33" s="35">
        <f>SUM(D31:D32)</f>
        <v>13.493376000000001</v>
      </c>
      <c r="E33" s="73"/>
      <c r="F33" s="35"/>
      <c r="G33" s="35">
        <f>SUM(G31:G32)</f>
        <v>15.746515199999999</v>
      </c>
      <c r="H33" s="35">
        <f t="shared" si="2"/>
        <v>2.2531391999999979</v>
      </c>
      <c r="I33" s="36">
        <f t="shared" si="9"/>
        <v>0.16698113207547152</v>
      </c>
      <c r="J33" s="36">
        <f t="shared" si="10"/>
        <v>6.9318956732600759E-2</v>
      </c>
      <c r="K33" s="111">
        <f t="shared" si="11"/>
        <v>6.9898810794337421E-2</v>
      </c>
    </row>
    <row r="34" spans="1:11" s="1" customFormat="1" x14ac:dyDescent="0.2">
      <c r="A34" s="110" t="s">
        <v>91</v>
      </c>
      <c r="B34" s="74"/>
      <c r="C34" s="35"/>
      <c r="D34" s="35">
        <f>D29+D33</f>
        <v>91.379936000000001</v>
      </c>
      <c r="E34" s="73"/>
      <c r="F34" s="35"/>
      <c r="G34" s="35">
        <f>G29+G33</f>
        <v>95.725273507903935</v>
      </c>
      <c r="H34" s="35">
        <f t="shared" si="2"/>
        <v>4.3453375079039347</v>
      </c>
      <c r="I34" s="36">
        <f t="shared" si="9"/>
        <v>4.7552424504914675E-2</v>
      </c>
      <c r="J34" s="36">
        <f t="shared" si="10"/>
        <v>0.42139965625605635</v>
      </c>
      <c r="K34" s="111">
        <f t="shared" si="11"/>
        <v>0.42492467039089243</v>
      </c>
    </row>
    <row r="35" spans="1:11" s="1" customFormat="1" x14ac:dyDescent="0.2">
      <c r="A35" s="110" t="s">
        <v>92</v>
      </c>
      <c r="B35" s="74"/>
      <c r="C35" s="35"/>
      <c r="D35" s="35">
        <f>D30+D33</f>
        <v>90.354195200000007</v>
      </c>
      <c r="E35" s="73"/>
      <c r="F35" s="35"/>
      <c r="G35" s="35">
        <f>G30+G33</f>
        <v>94.699532707903941</v>
      </c>
      <c r="H35" s="35">
        <f t="shared" si="2"/>
        <v>4.3453375079039347</v>
      </c>
      <c r="I35" s="36">
        <f t="shared" si="9"/>
        <v>4.8092260666873103E-2</v>
      </c>
      <c r="J35" s="36">
        <f t="shared" si="10"/>
        <v>0.41688416306718479</v>
      </c>
      <c r="K35" s="111">
        <f t="shared" si="11"/>
        <v>0.4203714050370933</v>
      </c>
    </row>
    <row r="36" spans="1:11" x14ac:dyDescent="0.2">
      <c r="A36" s="107" t="s">
        <v>42</v>
      </c>
      <c r="B36" s="73">
        <f>B8</f>
        <v>1272.96</v>
      </c>
      <c r="C36" s="34">
        <v>3.5999999999999999E-3</v>
      </c>
      <c r="D36" s="22">
        <f>B36*C36</f>
        <v>4.5826560000000001</v>
      </c>
      <c r="E36" s="73">
        <f t="shared" si="6"/>
        <v>1272.96</v>
      </c>
      <c r="F36" s="34">
        <v>3.5999999999999999E-3</v>
      </c>
      <c r="G36" s="22">
        <f>E36*F36</f>
        <v>4.5826560000000001</v>
      </c>
      <c r="H36" s="22">
        <f t="shared" si="2"/>
        <v>0</v>
      </c>
      <c r="I36" s="23">
        <f t="shared" si="9"/>
        <v>0</v>
      </c>
      <c r="J36" s="23">
        <f t="shared" si="10"/>
        <v>2.0173665661872491E-2</v>
      </c>
      <c r="K36" s="108">
        <f t="shared" si="11"/>
        <v>2.0342418662862953E-2</v>
      </c>
    </row>
    <row r="37" spans="1:11" x14ac:dyDescent="0.2">
      <c r="A37" s="107" t="s">
        <v>43</v>
      </c>
      <c r="B37" s="73">
        <f>B8</f>
        <v>1272.96</v>
      </c>
      <c r="C37" s="34">
        <v>2.0999999999999999E-3</v>
      </c>
      <c r="D37" s="22">
        <f>B37*C37</f>
        <v>2.673216</v>
      </c>
      <c r="E37" s="73">
        <f t="shared" si="6"/>
        <v>1272.96</v>
      </c>
      <c r="F37" s="34">
        <v>2.0999999999999999E-3</v>
      </c>
      <c r="G37" s="22">
        <f>E37*F37</f>
        <v>2.673216</v>
      </c>
      <c r="H37" s="22">
        <f>G37-D37</f>
        <v>0</v>
      </c>
      <c r="I37" s="23">
        <f t="shared" si="9"/>
        <v>0</v>
      </c>
      <c r="J37" s="23">
        <f t="shared" si="10"/>
        <v>1.1767971636092287E-2</v>
      </c>
      <c r="K37" s="108">
        <f t="shared" si="11"/>
        <v>1.1866410886670056E-2</v>
      </c>
    </row>
    <row r="38" spans="1:11" x14ac:dyDescent="0.2">
      <c r="A38" s="107" t="s">
        <v>96</v>
      </c>
      <c r="B38" s="73">
        <f>B8</f>
        <v>1272.96</v>
      </c>
      <c r="C38" s="34">
        <v>0</v>
      </c>
      <c r="D38" s="22">
        <f>B38*C38</f>
        <v>0</v>
      </c>
      <c r="E38" s="73">
        <f t="shared" si="6"/>
        <v>1272.96</v>
      </c>
      <c r="F38" s="34">
        <v>0</v>
      </c>
      <c r="G38" s="22">
        <f>E38*F38</f>
        <v>0</v>
      </c>
      <c r="H38" s="22">
        <f>G38-D38</f>
        <v>0</v>
      </c>
      <c r="I38" s="23" t="str">
        <f t="shared" si="9"/>
        <v>N/A</v>
      </c>
      <c r="J38" s="23">
        <f t="shared" si="10"/>
        <v>0</v>
      </c>
      <c r="K38" s="108">
        <f t="shared" si="11"/>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1.1005444038278507E-3</v>
      </c>
      <c r="K39" s="108">
        <f t="shared" si="11"/>
        <v>1.1097504734624939E-3</v>
      </c>
    </row>
    <row r="40" spans="1:11" s="1" customFormat="1" x14ac:dyDescent="0.2">
      <c r="A40" s="110" t="s">
        <v>45</v>
      </c>
      <c r="B40" s="74"/>
      <c r="C40" s="35"/>
      <c r="D40" s="35">
        <f>SUM(D36:D39)</f>
        <v>7.5058720000000001</v>
      </c>
      <c r="E40" s="73"/>
      <c r="F40" s="35"/>
      <c r="G40" s="35">
        <f>SUM(G36:G39)</f>
        <v>7.5058720000000001</v>
      </c>
      <c r="H40" s="35">
        <f t="shared" si="2"/>
        <v>0</v>
      </c>
      <c r="I40" s="36">
        <f t="shared" si="9"/>
        <v>0</v>
      </c>
      <c r="J40" s="36">
        <f t="shared" si="10"/>
        <v>3.3042181701792628E-2</v>
      </c>
      <c r="K40" s="111">
        <f t="shared" si="11"/>
        <v>3.3318580022995502E-2</v>
      </c>
    </row>
    <row r="41" spans="1:11" s="1" customFormat="1" ht="13.5" thickBot="1" x14ac:dyDescent="0.25">
      <c r="A41" s="112" t="s">
        <v>46</v>
      </c>
      <c r="B41" s="113">
        <f>B4</f>
        <v>1152</v>
      </c>
      <c r="C41" s="114">
        <v>0</v>
      </c>
      <c r="D41" s="115">
        <f>B41*C41</f>
        <v>0</v>
      </c>
      <c r="E41" s="116">
        <f t="shared" si="6"/>
        <v>1152</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211.99780800000002</v>
      </c>
      <c r="E42" s="38"/>
      <c r="F42" s="39"/>
      <c r="G42" s="39">
        <f>SUM(G14,G25,G26,G27,G33,G40,G41)</f>
        <v>216.34314550790393</v>
      </c>
      <c r="H42" s="39">
        <f t="shared" si="2"/>
        <v>4.3453375079039063</v>
      </c>
      <c r="I42" s="40">
        <f t="shared" si="9"/>
        <v>2.0497086969427088E-2</v>
      </c>
      <c r="J42" s="40">
        <f t="shared" si="10"/>
        <v>0.95238095238095233</v>
      </c>
      <c r="K42" s="41"/>
    </row>
    <row r="43" spans="1:11" x14ac:dyDescent="0.2">
      <c r="A43" s="153" t="s">
        <v>106</v>
      </c>
      <c r="B43" s="43"/>
      <c r="C43" s="26">
        <v>0.13</v>
      </c>
      <c r="D43" s="26">
        <f>D42*C43</f>
        <v>27.559715040000004</v>
      </c>
      <c r="E43" s="26"/>
      <c r="F43" s="26">
        <f>C43</f>
        <v>0.13</v>
      </c>
      <c r="G43" s="26">
        <f>G42*F43</f>
        <v>28.124608916027512</v>
      </c>
      <c r="H43" s="26">
        <f t="shared" si="2"/>
        <v>0.56489387602750796</v>
      </c>
      <c r="I43" s="44">
        <f t="shared" si="9"/>
        <v>2.0497086969427092E-2</v>
      </c>
      <c r="J43" s="44">
        <f t="shared" si="10"/>
        <v>0.12380952380952381</v>
      </c>
      <c r="K43" s="45"/>
    </row>
    <row r="44" spans="1:11" s="1" customFormat="1" x14ac:dyDescent="0.2">
      <c r="A44" s="46" t="s">
        <v>107</v>
      </c>
      <c r="B44" s="24"/>
      <c r="C44" s="25"/>
      <c r="D44" s="25">
        <f>SUM(D42:D43)</f>
        <v>239.55752304000004</v>
      </c>
      <c r="E44" s="25"/>
      <c r="F44" s="25"/>
      <c r="G44" s="25">
        <f>SUM(G42:G43)</f>
        <v>244.46775442393144</v>
      </c>
      <c r="H44" s="25">
        <f t="shared" si="2"/>
        <v>4.9102313839314036</v>
      </c>
      <c r="I44" s="27">
        <f t="shared" si="9"/>
        <v>2.0497086969427043E-2</v>
      </c>
      <c r="J44" s="27">
        <f t="shared" si="10"/>
        <v>1.0761904761904761</v>
      </c>
      <c r="K44" s="47"/>
    </row>
    <row r="45" spans="1:11" x14ac:dyDescent="0.2">
      <c r="A45" s="42" t="s">
        <v>108</v>
      </c>
      <c r="B45" s="43"/>
      <c r="C45" s="26">
        <v>-0.08</v>
      </c>
      <c r="D45" s="26">
        <f>D42*C45</f>
        <v>-16.959824640000001</v>
      </c>
      <c r="E45" s="26"/>
      <c r="F45" s="26">
        <f>C45</f>
        <v>-0.08</v>
      </c>
      <c r="G45" s="26">
        <f>G42*F45</f>
        <v>-17.307451640632316</v>
      </c>
      <c r="H45" s="26">
        <f t="shared" si="2"/>
        <v>-0.34762700063231478</v>
      </c>
      <c r="I45" s="44">
        <f t="shared" si="9"/>
        <v>-2.0497086969427224E-2</v>
      </c>
      <c r="J45" s="44">
        <f t="shared" si="10"/>
        <v>-7.6190476190476197E-2</v>
      </c>
      <c r="K45" s="45"/>
    </row>
    <row r="46" spans="1:11" s="1" customFormat="1" ht="13.5" thickBot="1" x14ac:dyDescent="0.25">
      <c r="A46" s="48" t="s">
        <v>109</v>
      </c>
      <c r="B46" s="49"/>
      <c r="C46" s="50"/>
      <c r="D46" s="50">
        <f>SUM(D44:D45)</f>
        <v>222.59769840000004</v>
      </c>
      <c r="E46" s="50"/>
      <c r="F46" s="50"/>
      <c r="G46" s="50">
        <f>SUM(G44:G45)</f>
        <v>227.16030278329913</v>
      </c>
      <c r="H46" s="50">
        <f t="shared" si="2"/>
        <v>4.5626043832990888</v>
      </c>
      <c r="I46" s="51">
        <f t="shared" si="9"/>
        <v>2.0497086969427029E-2</v>
      </c>
      <c r="J46" s="51">
        <f t="shared" si="10"/>
        <v>1</v>
      </c>
      <c r="K46" s="52"/>
    </row>
    <row r="47" spans="1:11" x14ac:dyDescent="0.2">
      <c r="A47" s="53" t="s">
        <v>110</v>
      </c>
      <c r="B47" s="54"/>
      <c r="C47" s="55"/>
      <c r="D47" s="55">
        <f>SUM(D18,D25,D26,D28,D33,D40,D41)</f>
        <v>210.20310720000003</v>
      </c>
      <c r="E47" s="55"/>
      <c r="F47" s="55"/>
      <c r="G47" s="55">
        <f>SUM(G18,G25,G26,G28,G33,G40,G41)</f>
        <v>214.54844470790394</v>
      </c>
      <c r="H47" s="55">
        <f>G47-D47</f>
        <v>4.3453375079039063</v>
      </c>
      <c r="I47" s="56">
        <f t="shared" si="9"/>
        <v>2.0672089798223048E-2</v>
      </c>
      <c r="J47" s="56"/>
      <c r="K47" s="57">
        <f>G47/$G$51</f>
        <v>0.95238095238095233</v>
      </c>
    </row>
    <row r="48" spans="1:11" x14ac:dyDescent="0.2">
      <c r="A48" s="58" t="s">
        <v>106</v>
      </c>
      <c r="B48" s="59"/>
      <c r="C48" s="31">
        <v>0.13</v>
      </c>
      <c r="D48" s="31">
        <f>D47*C48</f>
        <v>27.326403936000006</v>
      </c>
      <c r="E48" s="31"/>
      <c r="F48" s="31">
        <f>C48</f>
        <v>0.13</v>
      </c>
      <c r="G48" s="31">
        <f>G47*F48</f>
        <v>27.891297812027513</v>
      </c>
      <c r="H48" s="31">
        <f>G48-D48</f>
        <v>0.56489387602750796</v>
      </c>
      <c r="I48" s="32">
        <f t="shared" si="9"/>
        <v>2.0672089798223051E-2</v>
      </c>
      <c r="J48" s="32"/>
      <c r="K48" s="60">
        <f>G48/$G$51</f>
        <v>0.12380952380952381</v>
      </c>
    </row>
    <row r="49" spans="1:11" x14ac:dyDescent="0.2">
      <c r="A49" s="61" t="s">
        <v>111</v>
      </c>
      <c r="B49" s="29"/>
      <c r="C49" s="30"/>
      <c r="D49" s="30">
        <f>SUM(D47:D48)</f>
        <v>237.52951113600005</v>
      </c>
      <c r="E49" s="30"/>
      <c r="F49" s="30"/>
      <c r="G49" s="30">
        <f>SUM(G47:G48)</f>
        <v>242.43974251993146</v>
      </c>
      <c r="H49" s="30">
        <f>G49-D49</f>
        <v>4.9102313839314036</v>
      </c>
      <c r="I49" s="33">
        <f t="shared" si="9"/>
        <v>2.0672089798223003E-2</v>
      </c>
      <c r="J49" s="33"/>
      <c r="K49" s="62">
        <f>G49/$G$51</f>
        <v>1.0761904761904761</v>
      </c>
    </row>
    <row r="50" spans="1:11" x14ac:dyDescent="0.2">
      <c r="A50" s="58" t="s">
        <v>108</v>
      </c>
      <c r="B50" s="59"/>
      <c r="C50" s="31">
        <v>-0.08</v>
      </c>
      <c r="D50" s="31">
        <f>D47*C50</f>
        <v>-16.816248576000003</v>
      </c>
      <c r="E50" s="31"/>
      <c r="F50" s="31">
        <f>C50</f>
        <v>-0.08</v>
      </c>
      <c r="G50" s="31">
        <f>G47*F50</f>
        <v>-17.163875576632314</v>
      </c>
      <c r="H50" s="31">
        <f>G50-D50</f>
        <v>-0.34762700063231122</v>
      </c>
      <c r="I50" s="32">
        <f t="shared" si="9"/>
        <v>-2.0672089798222971E-2</v>
      </c>
      <c r="J50" s="32"/>
      <c r="K50" s="60">
        <f>G50/$G$51</f>
        <v>-7.6190476190476183E-2</v>
      </c>
    </row>
    <row r="51" spans="1:11" ht="13.5" thickBot="1" x14ac:dyDescent="0.25">
      <c r="A51" s="63" t="s">
        <v>121</v>
      </c>
      <c r="B51" s="64"/>
      <c r="C51" s="65"/>
      <c r="D51" s="65">
        <f>SUM(D49:D50)</f>
        <v>220.71326256000006</v>
      </c>
      <c r="E51" s="65"/>
      <c r="F51" s="65"/>
      <c r="G51" s="65">
        <f>SUM(G49:G50)</f>
        <v>225.27586694329915</v>
      </c>
      <c r="H51" s="65">
        <f>G51-D51</f>
        <v>4.5626043832990888</v>
      </c>
      <c r="I51" s="66">
        <f t="shared" si="9"/>
        <v>2.0672089798222985E-2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101</v>
      </c>
      <c r="B1" s="191"/>
      <c r="C1" s="191"/>
      <c r="D1" s="191"/>
      <c r="E1" s="191"/>
      <c r="F1" s="191"/>
      <c r="G1" s="191"/>
      <c r="H1" s="191"/>
      <c r="I1" s="191"/>
      <c r="J1" s="191"/>
      <c r="K1" s="192"/>
    </row>
    <row r="3" spans="1:11" x14ac:dyDescent="0.2">
      <c r="A3" s="13" t="s">
        <v>13</v>
      </c>
      <c r="B3" s="13" t="s">
        <v>2</v>
      </c>
    </row>
    <row r="4" spans="1:11" x14ac:dyDescent="0.2">
      <c r="A4" s="15" t="s">
        <v>62</v>
      </c>
      <c r="B4" s="15">
        <v>2300</v>
      </c>
    </row>
    <row r="5" spans="1:11" x14ac:dyDescent="0.2">
      <c r="A5" s="15" t="s">
        <v>16</v>
      </c>
      <c r="B5" s="15">
        <f>VLOOKUP($B$3,'Data for Bill Impacts'!$A$6:$Y$18,5,0)</f>
        <v>0</v>
      </c>
    </row>
    <row r="6" spans="1:11" x14ac:dyDescent="0.2">
      <c r="A6" s="15" t="s">
        <v>20</v>
      </c>
      <c r="B6" s="15">
        <f>VLOOKUP($B$3,'Data for Bill Impacts'!$A$6:$Y$18,2,0)</f>
        <v>1.105</v>
      </c>
    </row>
    <row r="7" spans="1:11" x14ac:dyDescent="0.2">
      <c r="A7" s="15" t="s">
        <v>15</v>
      </c>
      <c r="B7" s="15">
        <f>VLOOKUP($B$3,'Data for Bill Impacts'!$A$6:$Y$18,4,0)</f>
        <v>600</v>
      </c>
    </row>
    <row r="8" spans="1:11" x14ac:dyDescent="0.2">
      <c r="A8" s="15" t="s">
        <v>82</v>
      </c>
      <c r="B8" s="15">
        <f>B4*B6</f>
        <v>2541.5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0.12531461701387722</v>
      </c>
      <c r="K12" s="106"/>
    </row>
    <row r="13" spans="1:11" x14ac:dyDescent="0.2">
      <c r="A13" s="107" t="s">
        <v>32</v>
      </c>
      <c r="B13" s="73">
        <f>IF(B4&gt;B7,(B4)-B7,0)</f>
        <v>1700</v>
      </c>
      <c r="C13" s="21">
        <v>0.106</v>
      </c>
      <c r="D13" s="22">
        <f>B13*C13</f>
        <v>180.2</v>
      </c>
      <c r="E13" s="73">
        <f t="shared" ref="E13:F17" si="1">B13</f>
        <v>1700</v>
      </c>
      <c r="F13" s="21">
        <f t="shared" si="1"/>
        <v>0.106</v>
      </c>
      <c r="G13" s="22">
        <f>E13*F13</f>
        <v>180.2</v>
      </c>
      <c r="H13" s="22">
        <f t="shared" ref="H13:H46" si="2">G13-D13</f>
        <v>0</v>
      </c>
      <c r="I13" s="23">
        <f t="shared" si="0"/>
        <v>0</v>
      </c>
      <c r="J13" s="23">
        <f>G13/$G$46</f>
        <v>0.41358413893590973</v>
      </c>
      <c r="K13" s="108"/>
    </row>
    <row r="14" spans="1:11" s="1" customFormat="1" x14ac:dyDescent="0.2">
      <c r="A14" s="46" t="s">
        <v>33</v>
      </c>
      <c r="B14" s="24"/>
      <c r="C14" s="25"/>
      <c r="D14" s="25">
        <f>SUM(D12:D13)</f>
        <v>234.79999999999998</v>
      </c>
      <c r="E14" s="76"/>
      <c r="F14" s="25"/>
      <c r="G14" s="25">
        <f>SUM(G12:G13)</f>
        <v>234.79999999999998</v>
      </c>
      <c r="H14" s="25">
        <f t="shared" si="2"/>
        <v>0</v>
      </c>
      <c r="I14" s="27">
        <f t="shared" si="0"/>
        <v>0</v>
      </c>
      <c r="J14" s="27">
        <f>G14/$G$46</f>
        <v>0.53889875594978698</v>
      </c>
      <c r="K14" s="108"/>
    </row>
    <row r="15" spans="1:11" s="1" customFormat="1" x14ac:dyDescent="0.2">
      <c r="A15" s="109" t="s">
        <v>34</v>
      </c>
      <c r="B15" s="75">
        <f>B4*0.65</f>
        <v>1495</v>
      </c>
      <c r="C15" s="28">
        <v>7.6999999999999999E-2</v>
      </c>
      <c r="D15" s="22">
        <f>B15*C15</f>
        <v>115.11499999999999</v>
      </c>
      <c r="E15" s="73">
        <f t="shared" ref="E15:E17" si="3">B15</f>
        <v>1495</v>
      </c>
      <c r="F15" s="28">
        <f t="shared" si="1"/>
        <v>7.6999999999999999E-2</v>
      </c>
      <c r="G15" s="22">
        <f>E15*F15</f>
        <v>115.11499999999999</v>
      </c>
      <c r="H15" s="22">
        <f t="shared" si="2"/>
        <v>0</v>
      </c>
      <c r="I15" s="23">
        <f t="shared" si="0"/>
        <v>0</v>
      </c>
      <c r="J15" s="23"/>
      <c r="K15" s="108">
        <f t="shared" ref="K15:K26" si="4">G15/$G$51</f>
        <v>0.27244616123051069</v>
      </c>
    </row>
    <row r="16" spans="1:11" s="1" customFormat="1" x14ac:dyDescent="0.2">
      <c r="A16" s="109" t="s">
        <v>35</v>
      </c>
      <c r="B16" s="75">
        <f>B4*0.17</f>
        <v>391</v>
      </c>
      <c r="C16" s="28">
        <v>0.113</v>
      </c>
      <c r="D16" s="22">
        <f>B16*C16</f>
        <v>44.183</v>
      </c>
      <c r="E16" s="73">
        <f t="shared" si="3"/>
        <v>391</v>
      </c>
      <c r="F16" s="28">
        <f t="shared" si="1"/>
        <v>0.113</v>
      </c>
      <c r="G16" s="22">
        <f>E16*F16</f>
        <v>44.183</v>
      </c>
      <c r="H16" s="22">
        <f t="shared" si="2"/>
        <v>0</v>
      </c>
      <c r="I16" s="23">
        <f t="shared" si="0"/>
        <v>0</v>
      </c>
      <c r="J16" s="23"/>
      <c r="K16" s="108">
        <f t="shared" si="4"/>
        <v>0.10456924589886334</v>
      </c>
    </row>
    <row r="17" spans="1:11" s="1" customFormat="1" x14ac:dyDescent="0.2">
      <c r="A17" s="109" t="s">
        <v>36</v>
      </c>
      <c r="B17" s="75">
        <f>B4*0.18</f>
        <v>414</v>
      </c>
      <c r="C17" s="28">
        <v>0.157</v>
      </c>
      <c r="D17" s="22">
        <f>B17*C17</f>
        <v>64.998000000000005</v>
      </c>
      <c r="E17" s="73">
        <f t="shared" si="3"/>
        <v>414</v>
      </c>
      <c r="F17" s="28">
        <f t="shared" si="1"/>
        <v>0.157</v>
      </c>
      <c r="G17" s="22">
        <f>E17*F17</f>
        <v>64.998000000000005</v>
      </c>
      <c r="H17" s="22">
        <f t="shared" si="2"/>
        <v>0</v>
      </c>
      <c r="I17" s="23">
        <f t="shared" si="0"/>
        <v>0</v>
      </c>
      <c r="J17" s="23"/>
      <c r="K17" s="108">
        <f t="shared" si="4"/>
        <v>0.15383273758989474</v>
      </c>
    </row>
    <row r="18" spans="1:11" s="1" customFormat="1" x14ac:dyDescent="0.2">
      <c r="A18" s="61" t="s">
        <v>37</v>
      </c>
      <c r="B18" s="29"/>
      <c r="C18" s="30"/>
      <c r="D18" s="30">
        <f>SUM(D15:D17)</f>
        <v>224.29599999999999</v>
      </c>
      <c r="E18" s="77"/>
      <c r="F18" s="30"/>
      <c r="G18" s="30">
        <f>SUM(G15:G17)</f>
        <v>224.29599999999999</v>
      </c>
      <c r="H18" s="31">
        <f t="shared" si="2"/>
        <v>0</v>
      </c>
      <c r="I18" s="32">
        <f t="shared" si="0"/>
        <v>0</v>
      </c>
      <c r="J18" s="33">
        <f t="shared" ref="J18:J26" si="5">G18/$G$46</f>
        <v>0.51479061058140296</v>
      </c>
      <c r="K18" s="62">
        <f t="shared" si="4"/>
        <v>0.53084814471926878</v>
      </c>
    </row>
    <row r="19" spans="1:11" x14ac:dyDescent="0.2">
      <c r="A19" s="107" t="s">
        <v>116</v>
      </c>
      <c r="B19" s="73">
        <v>1</v>
      </c>
      <c r="C19" s="78">
        <f>VLOOKUP($B$3,'Data for Bill Impacts'!$A$6:$Y$18,7,0)</f>
        <v>19.829999999999998</v>
      </c>
      <c r="D19" s="22">
        <f>B19*C19</f>
        <v>19.829999999999998</v>
      </c>
      <c r="E19" s="73">
        <f t="shared" ref="E19:E41" si="6">B19</f>
        <v>1</v>
      </c>
      <c r="F19" s="121">
        <f>VLOOKUP($B$3,'Data for Bill Impacts'!$A$6:$Y$18,17,0)</f>
        <v>25.019678307903931</v>
      </c>
      <c r="G19" s="22">
        <f>E19*F19</f>
        <v>25.019678307903931</v>
      </c>
      <c r="H19" s="22">
        <f t="shared" si="2"/>
        <v>5.1896783079039324</v>
      </c>
      <c r="I19" s="23">
        <f>IF(ISERROR(H19/ABS(D19)),"N/A",(H19/ABS(D19)))</f>
        <v>0.26170843711063707</v>
      </c>
      <c r="J19" s="23">
        <f t="shared" si="5"/>
        <v>5.7423652105593269E-2</v>
      </c>
      <c r="K19" s="108">
        <f t="shared" si="4"/>
        <v>5.9214831344400858E-2</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1.36</v>
      </c>
      <c r="D21" s="22">
        <f t="shared" si="7"/>
        <v>1.36</v>
      </c>
      <c r="E21" s="73">
        <f t="shared" si="6"/>
        <v>1</v>
      </c>
      <c r="F21" s="121">
        <f>VLOOKUP($B$3,'Data for Bill Impacts'!$A$6:$Y$18,22,0)</f>
        <v>-2.1000000000000001E-2</v>
      </c>
      <c r="G21" s="22">
        <f t="shared" si="8"/>
        <v>-2.1000000000000001E-2</v>
      </c>
      <c r="H21" s="22">
        <f t="shared" si="2"/>
        <v>-1.381</v>
      </c>
      <c r="I21" s="23">
        <f t="shared" si="9"/>
        <v>-1.0154411764705882</v>
      </c>
      <c r="J21" s="23">
        <f t="shared" si="5"/>
        <v>-4.8197929620722008E-5</v>
      </c>
      <c r="K21" s="108">
        <f t="shared" si="4"/>
        <v>-4.9701336800944485E-5</v>
      </c>
    </row>
    <row r="22" spans="1:11" hidden="1" x14ac:dyDescent="0.2">
      <c r="A22" s="107" t="s">
        <v>123</v>
      </c>
      <c r="B22" s="73">
        <f>B4</f>
        <v>2300</v>
      </c>
      <c r="C22" s="78">
        <v>0</v>
      </c>
      <c r="D22" s="22">
        <f>B22*C22</f>
        <v>0</v>
      </c>
      <c r="E22" s="73">
        <f>B22</f>
        <v>2300</v>
      </c>
      <c r="F22" s="78">
        <f>C22</f>
        <v>0</v>
      </c>
      <c r="G22" s="22">
        <f>E22*F22</f>
        <v>0</v>
      </c>
      <c r="H22" s="22">
        <f>G22-D22</f>
        <v>0</v>
      </c>
      <c r="I22" s="23" t="str">
        <f t="shared" si="9"/>
        <v>N/A</v>
      </c>
      <c r="J22" s="23">
        <f t="shared" si="5"/>
        <v>0</v>
      </c>
      <c r="K22" s="108">
        <f t="shared" si="4"/>
        <v>0</v>
      </c>
    </row>
    <row r="23" spans="1:11" x14ac:dyDescent="0.2">
      <c r="A23" s="107" t="s">
        <v>39</v>
      </c>
      <c r="B23" s="73">
        <f>IF($B$9="kWh",$B$4,$B$5)</f>
        <v>2300</v>
      </c>
      <c r="C23" s="78">
        <f>VLOOKUP($B$3,'Data for Bill Impacts'!$A$6:$Y$18,10,0)</f>
        <v>3.7400000000000003E-2</v>
      </c>
      <c r="D23" s="22">
        <f>B23*C23</f>
        <v>86.02000000000001</v>
      </c>
      <c r="E23" s="73">
        <f t="shared" si="6"/>
        <v>2300</v>
      </c>
      <c r="F23" s="125">
        <f>VLOOKUP($B$3,'Data for Bill Impacts'!$A$6:$Y$18,19,0)</f>
        <v>3.5900000000000001E-2</v>
      </c>
      <c r="G23" s="22">
        <f>E23*F23</f>
        <v>82.570000000000007</v>
      </c>
      <c r="H23" s="22">
        <f t="shared" si="2"/>
        <v>-3.4500000000000028</v>
      </c>
      <c r="I23" s="23">
        <f t="shared" si="9"/>
        <v>-4.0106951871657782E-2</v>
      </c>
      <c r="J23" s="23">
        <f t="shared" si="5"/>
        <v>0.18950966898966742</v>
      </c>
      <c r="K23" s="108">
        <f t="shared" si="4"/>
        <v>0.19542092284066601</v>
      </c>
    </row>
    <row r="24" spans="1:11" x14ac:dyDescent="0.2">
      <c r="A24" s="107" t="s">
        <v>124</v>
      </c>
      <c r="B24" s="73">
        <f>IF($B$9="kWh",$B$4,$B$5)</f>
        <v>2300</v>
      </c>
      <c r="C24" s="125">
        <f>VLOOKUP($B$3,'Data for Bill Impacts'!$A$6:$Y$18,14,0)</f>
        <v>0</v>
      </c>
      <c r="D24" s="22">
        <f>B24*C24</f>
        <v>0</v>
      </c>
      <c r="E24" s="73">
        <f>B24</f>
        <v>2300</v>
      </c>
      <c r="F24" s="125">
        <f>VLOOKUP($B$3,'Data for Bill Impacts'!$A$6:$Y$18,23,0)</f>
        <v>1.0000000000000003E-5</v>
      </c>
      <c r="G24" s="22">
        <f>E24*F24</f>
        <v>2.3000000000000007E-2</v>
      </c>
      <c r="H24" s="22">
        <f>G24-D24</f>
        <v>2.3000000000000007E-2</v>
      </c>
      <c r="I24" s="23" t="str">
        <f t="shared" si="9"/>
        <v>N/A</v>
      </c>
      <c r="J24" s="23">
        <f t="shared" si="5"/>
        <v>5.2788208632219353E-5</v>
      </c>
      <c r="K24" s="108">
        <f t="shared" si="4"/>
        <v>5.4434797448653499E-5</v>
      </c>
    </row>
    <row r="25" spans="1:11" s="1" customFormat="1" x14ac:dyDescent="0.2">
      <c r="A25" s="110" t="s">
        <v>72</v>
      </c>
      <c r="B25" s="74"/>
      <c r="C25" s="35"/>
      <c r="D25" s="35">
        <f>SUM(D19:D24)</f>
        <v>107.21000000000001</v>
      </c>
      <c r="E25" s="73"/>
      <c r="F25" s="35"/>
      <c r="G25" s="35">
        <f>SUM(G19:G24)</f>
        <v>107.59167830790393</v>
      </c>
      <c r="H25" s="35">
        <f t="shared" si="2"/>
        <v>0.38167830790392543</v>
      </c>
      <c r="I25" s="36">
        <f t="shared" si="9"/>
        <v>3.56009987784652E-3</v>
      </c>
      <c r="J25" s="36">
        <f t="shared" si="5"/>
        <v>0.24693791137427218</v>
      </c>
      <c r="K25" s="111">
        <f t="shared" si="4"/>
        <v>0.25464048764571456</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1.8131602095414468E-3</v>
      </c>
      <c r="K26" s="108">
        <f t="shared" si="4"/>
        <v>1.8697169558450544E-3</v>
      </c>
    </row>
    <row r="27" spans="1:11" s="1" customFormat="1" x14ac:dyDescent="0.2">
      <c r="A27" s="119" t="s">
        <v>75</v>
      </c>
      <c r="B27" s="120">
        <f>B8-B4</f>
        <v>241.5</v>
      </c>
      <c r="C27" s="176">
        <f>IF(B4&gt;B7,C13,C12)</f>
        <v>0.106</v>
      </c>
      <c r="D27" s="22">
        <f>B27*C27</f>
        <v>25.599</v>
      </c>
      <c r="E27" s="73">
        <f>B27</f>
        <v>241.5</v>
      </c>
      <c r="F27" s="176">
        <f>C27</f>
        <v>0.106</v>
      </c>
      <c r="G27" s="22">
        <f>E27*F27</f>
        <v>25.599</v>
      </c>
      <c r="H27" s="22">
        <f t="shared" si="2"/>
        <v>0</v>
      </c>
      <c r="I27" s="23">
        <f t="shared" si="9"/>
        <v>0</v>
      </c>
      <c r="J27" s="23">
        <f t="shared" ref="J27:J46" si="10">G27/$G$46</f>
        <v>5.8753276207660125E-2</v>
      </c>
      <c r="K27" s="108">
        <f t="shared" ref="K27:K41" si="11">G27/$G$51</f>
        <v>6.0585929560351325E-2</v>
      </c>
    </row>
    <row r="28" spans="1:11" s="1" customFormat="1" x14ac:dyDescent="0.2">
      <c r="A28" s="119" t="s">
        <v>74</v>
      </c>
      <c r="B28" s="120">
        <f>B8-B4</f>
        <v>241.5</v>
      </c>
      <c r="C28" s="176">
        <f>0.65*C15+0.17*C16+0.18*C17</f>
        <v>9.7519999999999996E-2</v>
      </c>
      <c r="D28" s="22">
        <f>B28*C28</f>
        <v>23.551079999999999</v>
      </c>
      <c r="E28" s="73">
        <f>B28</f>
        <v>241.5</v>
      </c>
      <c r="F28" s="176">
        <f>C28</f>
        <v>9.7519999999999996E-2</v>
      </c>
      <c r="G28" s="22">
        <f>E28*F28</f>
        <v>23.551079999999999</v>
      </c>
      <c r="H28" s="22">
        <f t="shared" si="2"/>
        <v>0</v>
      </c>
      <c r="I28" s="23">
        <f t="shared" si="9"/>
        <v>0</v>
      </c>
      <c r="J28" s="23">
        <f t="shared" si="10"/>
        <v>5.4053014111047307E-2</v>
      </c>
      <c r="K28" s="108">
        <f t="shared" si="11"/>
        <v>5.5739055195523218E-2</v>
      </c>
    </row>
    <row r="29" spans="1:11" s="1" customFormat="1" x14ac:dyDescent="0.2">
      <c r="A29" s="110" t="s">
        <v>78</v>
      </c>
      <c r="B29" s="74"/>
      <c r="C29" s="35"/>
      <c r="D29" s="35">
        <f>SUM(D25,D26:D27)</f>
        <v>133.59900000000002</v>
      </c>
      <c r="E29" s="73"/>
      <c r="F29" s="35"/>
      <c r="G29" s="35">
        <f>SUM(G25,G26:G27)</f>
        <v>133.98067830790393</v>
      </c>
      <c r="H29" s="35">
        <f t="shared" si="2"/>
        <v>0.38167830790391122</v>
      </c>
      <c r="I29" s="36">
        <f t="shared" si="9"/>
        <v>2.8568949460992311E-3</v>
      </c>
      <c r="J29" s="36">
        <f t="shared" si="10"/>
        <v>0.30750434779147373</v>
      </c>
      <c r="K29" s="111">
        <f t="shared" si="11"/>
        <v>0.31709613416191096</v>
      </c>
    </row>
    <row r="30" spans="1:11" s="1" customFormat="1" x14ac:dyDescent="0.2">
      <c r="A30" s="110" t="s">
        <v>77</v>
      </c>
      <c r="B30" s="74"/>
      <c r="C30" s="35"/>
      <c r="D30" s="35">
        <f>SUM(D25,D26,D28)</f>
        <v>131.55108000000001</v>
      </c>
      <c r="E30" s="73"/>
      <c r="F30" s="35"/>
      <c r="G30" s="35">
        <f>SUM(G25,G26,G28)</f>
        <v>131.93275830790395</v>
      </c>
      <c r="H30" s="35">
        <f t="shared" si="2"/>
        <v>0.38167830790393964</v>
      </c>
      <c r="I30" s="36">
        <f t="shared" si="9"/>
        <v>2.9013696269459713E-3</v>
      </c>
      <c r="J30" s="36">
        <f t="shared" si="10"/>
        <v>0.302804085694861</v>
      </c>
      <c r="K30" s="111">
        <f t="shared" si="11"/>
        <v>0.3122492597970829</v>
      </c>
    </row>
    <row r="31" spans="1:11" x14ac:dyDescent="0.2">
      <c r="A31" s="107" t="s">
        <v>40</v>
      </c>
      <c r="B31" s="73">
        <f>B8</f>
        <v>2541.5</v>
      </c>
      <c r="C31" s="78">
        <f>VLOOKUP($B$3,'Data for Bill Impacts'!$A$6:$Y$18,15,0)</f>
        <v>6.1999999999999998E-3</v>
      </c>
      <c r="D31" s="22">
        <f>B31*C31</f>
        <v>15.757299999999999</v>
      </c>
      <c r="E31" s="73">
        <f t="shared" si="6"/>
        <v>2541.5</v>
      </c>
      <c r="F31" s="125">
        <f>VLOOKUP($B$3,'Data for Bill Impacts'!$A$6:$Y$18,24,0)</f>
        <v>6.7400000000000003E-3</v>
      </c>
      <c r="G31" s="22">
        <f>E31*F31</f>
        <v>17.129709999999999</v>
      </c>
      <c r="H31" s="22">
        <f t="shared" si="2"/>
        <v>1.3724100000000004</v>
      </c>
      <c r="I31" s="23">
        <f t="shared" si="9"/>
        <v>8.7096774193548415E-2</v>
      </c>
      <c r="J31" s="23">
        <f t="shared" si="10"/>
        <v>3.9315074143017992E-2</v>
      </c>
      <c r="K31" s="108">
        <f t="shared" si="11"/>
        <v>4.054140409583365E-2</v>
      </c>
    </row>
    <row r="32" spans="1:11" x14ac:dyDescent="0.2">
      <c r="A32" s="107" t="s">
        <v>41</v>
      </c>
      <c r="B32" s="73">
        <f>B8</f>
        <v>2541.5</v>
      </c>
      <c r="C32" s="78">
        <f>VLOOKUP($B$3,'Data for Bill Impacts'!$A$6:$Y$18,16,0)</f>
        <v>4.4000000000000003E-3</v>
      </c>
      <c r="D32" s="22">
        <f>B32*C32</f>
        <v>11.182600000000001</v>
      </c>
      <c r="E32" s="73">
        <f t="shared" si="6"/>
        <v>2541.5</v>
      </c>
      <c r="F32" s="125">
        <f>VLOOKUP($B$3,'Data for Bill Impacts'!$A$6:$Y$18,25,0)</f>
        <v>5.6299999999999996E-3</v>
      </c>
      <c r="G32" s="22">
        <f>E32*F32</f>
        <v>14.308644999999999</v>
      </c>
      <c r="H32" s="22">
        <f t="shared" si="2"/>
        <v>3.1260449999999977</v>
      </c>
      <c r="I32" s="23">
        <f t="shared" si="9"/>
        <v>0.27954545454545432</v>
      </c>
      <c r="J32" s="23">
        <f t="shared" si="10"/>
        <v>3.2840336413233126E-2</v>
      </c>
      <c r="K32" s="108">
        <f t="shared" si="11"/>
        <v>3.3864704014769056E-2</v>
      </c>
    </row>
    <row r="33" spans="1:11" s="1" customFormat="1" x14ac:dyDescent="0.2">
      <c r="A33" s="110" t="s">
        <v>76</v>
      </c>
      <c r="B33" s="74"/>
      <c r="C33" s="35"/>
      <c r="D33" s="35">
        <f>SUM(D31:D32)</f>
        <v>26.939900000000002</v>
      </c>
      <c r="E33" s="73"/>
      <c r="F33" s="35"/>
      <c r="G33" s="35">
        <f>SUM(G31:G32)</f>
        <v>31.438354999999998</v>
      </c>
      <c r="H33" s="35">
        <f t="shared" si="2"/>
        <v>4.4984549999999963</v>
      </c>
      <c r="I33" s="36">
        <f t="shared" si="9"/>
        <v>0.16698113207547155</v>
      </c>
      <c r="J33" s="36">
        <f t="shared" si="10"/>
        <v>7.2155410556251118E-2</v>
      </c>
      <c r="K33" s="111">
        <f t="shared" si="11"/>
        <v>7.4406108110602706E-2</v>
      </c>
    </row>
    <row r="34" spans="1:11" s="1" customFormat="1" x14ac:dyDescent="0.2">
      <c r="A34" s="110" t="s">
        <v>91</v>
      </c>
      <c r="B34" s="74"/>
      <c r="C34" s="35"/>
      <c r="D34" s="35">
        <f>D29+D33</f>
        <v>160.53890000000001</v>
      </c>
      <c r="E34" s="73"/>
      <c r="F34" s="35"/>
      <c r="G34" s="35">
        <f>G29+G33</f>
        <v>165.41903330790393</v>
      </c>
      <c r="H34" s="35">
        <f t="shared" si="2"/>
        <v>4.8801333079039182</v>
      </c>
      <c r="I34" s="36">
        <f t="shared" si="9"/>
        <v>3.0398447403737771E-2</v>
      </c>
      <c r="J34" s="36">
        <f t="shared" si="10"/>
        <v>0.37965975834772486</v>
      </c>
      <c r="K34" s="111">
        <f t="shared" si="11"/>
        <v>0.39150224227251368</v>
      </c>
    </row>
    <row r="35" spans="1:11" s="1" customFormat="1" x14ac:dyDescent="0.2">
      <c r="A35" s="110" t="s">
        <v>92</v>
      </c>
      <c r="B35" s="74"/>
      <c r="C35" s="35"/>
      <c r="D35" s="35">
        <f>D30+D33</f>
        <v>158.49098000000001</v>
      </c>
      <c r="E35" s="73"/>
      <c r="F35" s="35"/>
      <c r="G35" s="35">
        <f>G30+G33</f>
        <v>163.37111330790395</v>
      </c>
      <c r="H35" s="35">
        <f t="shared" si="2"/>
        <v>4.8801333079039466</v>
      </c>
      <c r="I35" s="36">
        <f t="shared" si="9"/>
        <v>3.0791236876091917E-2</v>
      </c>
      <c r="J35" s="36">
        <f t="shared" si="10"/>
        <v>0.37495949625111213</v>
      </c>
      <c r="K35" s="111">
        <f t="shared" si="11"/>
        <v>0.38665536790768562</v>
      </c>
    </row>
    <row r="36" spans="1:11" x14ac:dyDescent="0.2">
      <c r="A36" s="107" t="s">
        <v>42</v>
      </c>
      <c r="B36" s="73">
        <f>B8</f>
        <v>2541.5</v>
      </c>
      <c r="C36" s="34">
        <v>3.5999999999999999E-3</v>
      </c>
      <c r="D36" s="22">
        <f>B36*C36</f>
        <v>9.1494</v>
      </c>
      <c r="E36" s="73">
        <f t="shared" si="6"/>
        <v>2541.5</v>
      </c>
      <c r="F36" s="34">
        <v>3.5999999999999999E-3</v>
      </c>
      <c r="G36" s="22">
        <f>E36*F36</f>
        <v>9.1494</v>
      </c>
      <c r="H36" s="22">
        <f t="shared" si="2"/>
        <v>0</v>
      </c>
      <c r="I36" s="23">
        <f t="shared" si="9"/>
        <v>0</v>
      </c>
      <c r="J36" s="23">
        <f t="shared" si="10"/>
        <v>2.0999149393896851E-2</v>
      </c>
      <c r="K36" s="108">
        <f t="shared" si="11"/>
        <v>2.1654162425074355E-2</v>
      </c>
    </row>
    <row r="37" spans="1:11" x14ac:dyDescent="0.2">
      <c r="A37" s="107" t="s">
        <v>43</v>
      </c>
      <c r="B37" s="73">
        <f>B8</f>
        <v>2541.5</v>
      </c>
      <c r="C37" s="34">
        <v>2.0999999999999999E-3</v>
      </c>
      <c r="D37" s="22">
        <f>B37*C37</f>
        <v>5.3371499999999994</v>
      </c>
      <c r="E37" s="73">
        <f t="shared" si="6"/>
        <v>2541.5</v>
      </c>
      <c r="F37" s="34">
        <v>2.0999999999999999E-3</v>
      </c>
      <c r="G37" s="22">
        <f>E37*F37</f>
        <v>5.3371499999999994</v>
      </c>
      <c r="H37" s="22">
        <f>G37-D37</f>
        <v>0</v>
      </c>
      <c r="I37" s="23">
        <f t="shared" si="9"/>
        <v>0</v>
      </c>
      <c r="J37" s="23">
        <f t="shared" si="10"/>
        <v>1.2249503813106495E-2</v>
      </c>
      <c r="K37" s="108">
        <f t="shared" si="11"/>
        <v>1.2631594747960039E-2</v>
      </c>
    </row>
    <row r="38" spans="1:11" x14ac:dyDescent="0.2">
      <c r="A38" s="107" t="s">
        <v>96</v>
      </c>
      <c r="B38" s="73">
        <f>B8</f>
        <v>2541.5</v>
      </c>
      <c r="C38" s="34">
        <v>0</v>
      </c>
      <c r="D38" s="22">
        <f>B38*C38</f>
        <v>0</v>
      </c>
      <c r="E38" s="73">
        <f t="shared" si="6"/>
        <v>2541.5</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5.7378487643716669E-4</v>
      </c>
      <c r="K39" s="108">
        <f t="shared" si="11"/>
        <v>5.9168258096362481E-4</v>
      </c>
    </row>
    <row r="40" spans="1:11" s="1" customFormat="1" x14ac:dyDescent="0.2">
      <c r="A40" s="110" t="s">
        <v>45</v>
      </c>
      <c r="B40" s="74"/>
      <c r="C40" s="35"/>
      <c r="D40" s="35">
        <f>SUM(D36:D39)</f>
        <v>14.736549999999999</v>
      </c>
      <c r="E40" s="73"/>
      <c r="F40" s="35"/>
      <c r="G40" s="35">
        <f>SUM(G36:G39)</f>
        <v>14.736549999999999</v>
      </c>
      <c r="H40" s="35">
        <f t="shared" si="2"/>
        <v>0</v>
      </c>
      <c r="I40" s="36">
        <f t="shared" si="9"/>
        <v>0</v>
      </c>
      <c r="J40" s="36">
        <f t="shared" si="10"/>
        <v>3.3822438083440515E-2</v>
      </c>
      <c r="K40" s="111">
        <f t="shared" si="11"/>
        <v>3.487743975399802E-2</v>
      </c>
    </row>
    <row r="41" spans="1:11" s="1" customFormat="1" ht="13.5" thickBot="1" x14ac:dyDescent="0.25">
      <c r="A41" s="112" t="s">
        <v>46</v>
      </c>
      <c r="B41" s="113">
        <f>B4</f>
        <v>2300</v>
      </c>
      <c r="C41" s="114">
        <v>0</v>
      </c>
      <c r="D41" s="115">
        <f>B41*C41</f>
        <v>0</v>
      </c>
      <c r="E41" s="116">
        <f t="shared" si="6"/>
        <v>2300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410.07545000000005</v>
      </c>
      <c r="E42" s="38"/>
      <c r="F42" s="39"/>
      <c r="G42" s="39">
        <f>SUM(G14,G25,G26,G27,G33,G40,G41)</f>
        <v>414.95558330790396</v>
      </c>
      <c r="H42" s="39">
        <f t="shared" si="2"/>
        <v>4.8801333079039182</v>
      </c>
      <c r="I42" s="40">
        <f t="shared" si="9"/>
        <v>1.1900574169714177E-2</v>
      </c>
      <c r="J42" s="40">
        <f t="shared" si="10"/>
        <v>0.95238095238095244</v>
      </c>
      <c r="K42" s="41"/>
    </row>
    <row r="43" spans="1:11" x14ac:dyDescent="0.2">
      <c r="A43" s="153" t="s">
        <v>106</v>
      </c>
      <c r="B43" s="43"/>
      <c r="C43" s="26">
        <v>0.13</v>
      </c>
      <c r="D43" s="26">
        <f>D42*C43</f>
        <v>53.30980850000001</v>
      </c>
      <c r="E43" s="26"/>
      <c r="F43" s="26">
        <f>C43</f>
        <v>0.13</v>
      </c>
      <c r="G43" s="26">
        <f>G42*F43</f>
        <v>53.94422583002752</v>
      </c>
      <c r="H43" s="26">
        <f t="shared" si="2"/>
        <v>0.63441733002751022</v>
      </c>
      <c r="I43" s="44">
        <f t="shared" si="9"/>
        <v>1.1900574169714193E-2</v>
      </c>
      <c r="J43" s="44">
        <f t="shared" si="10"/>
        <v>0.12380952380952383</v>
      </c>
      <c r="K43" s="45"/>
    </row>
    <row r="44" spans="1:11" s="1" customFormat="1" x14ac:dyDescent="0.2">
      <c r="A44" s="46" t="s">
        <v>107</v>
      </c>
      <c r="B44" s="24"/>
      <c r="C44" s="25"/>
      <c r="D44" s="25">
        <f>SUM(D42:D43)</f>
        <v>463.38525850000008</v>
      </c>
      <c r="E44" s="25"/>
      <c r="F44" s="25"/>
      <c r="G44" s="25">
        <f>SUM(G42:G43)</f>
        <v>468.89980913793147</v>
      </c>
      <c r="H44" s="25">
        <f t="shared" si="2"/>
        <v>5.5145506379313929</v>
      </c>
      <c r="I44" s="27">
        <f t="shared" si="9"/>
        <v>1.1900574169714103E-2</v>
      </c>
      <c r="J44" s="27">
        <f t="shared" si="10"/>
        <v>1.0761904761904761</v>
      </c>
      <c r="K44" s="47"/>
    </row>
    <row r="45" spans="1:11" x14ac:dyDescent="0.2">
      <c r="A45" s="42" t="s">
        <v>108</v>
      </c>
      <c r="B45" s="43"/>
      <c r="C45" s="26">
        <v>-0.08</v>
      </c>
      <c r="D45" s="26">
        <f>D42*C45</f>
        <v>-32.806036000000006</v>
      </c>
      <c r="E45" s="26"/>
      <c r="F45" s="26">
        <f>C45</f>
        <v>-0.08</v>
      </c>
      <c r="G45" s="26">
        <f>G42*F45</f>
        <v>-33.196446664632319</v>
      </c>
      <c r="H45" s="26">
        <f t="shared" si="2"/>
        <v>-0.39041066463231289</v>
      </c>
      <c r="I45" s="44">
        <f t="shared" si="9"/>
        <v>-1.190057416971416E-2</v>
      </c>
      <c r="J45" s="44">
        <f t="shared" si="10"/>
        <v>-7.6190476190476197E-2</v>
      </c>
      <c r="K45" s="45"/>
    </row>
    <row r="46" spans="1:11" s="1" customFormat="1" ht="13.5" thickBot="1" x14ac:dyDescent="0.25">
      <c r="A46" s="48" t="s">
        <v>109</v>
      </c>
      <c r="B46" s="49"/>
      <c r="C46" s="50"/>
      <c r="D46" s="50">
        <f>SUM(D44:D45)</f>
        <v>430.57922250000007</v>
      </c>
      <c r="E46" s="50"/>
      <c r="F46" s="50"/>
      <c r="G46" s="50">
        <f>SUM(G44:G45)</f>
        <v>435.70336247329914</v>
      </c>
      <c r="H46" s="50">
        <f t="shared" si="2"/>
        <v>5.1241399732990658</v>
      </c>
      <c r="I46" s="51">
        <f t="shared" si="9"/>
        <v>1.1900574169714065E-2</v>
      </c>
      <c r="J46" s="51">
        <f t="shared" si="10"/>
        <v>1</v>
      </c>
      <c r="K46" s="52"/>
    </row>
    <row r="47" spans="1:11" x14ac:dyDescent="0.2">
      <c r="A47" s="53" t="s">
        <v>110</v>
      </c>
      <c r="B47" s="54"/>
      <c r="C47" s="55"/>
      <c r="D47" s="55">
        <f>SUM(D18,D25,D26,D28,D33,D40,D41)</f>
        <v>397.52353000000005</v>
      </c>
      <c r="E47" s="55"/>
      <c r="F47" s="55"/>
      <c r="G47" s="55">
        <f>SUM(G18,G25,G26,G28,G33,G40,G41)</f>
        <v>402.40366330790397</v>
      </c>
      <c r="H47" s="55">
        <f>G47-D47</f>
        <v>4.8801333079039182</v>
      </c>
      <c r="I47" s="56">
        <f t="shared" si="9"/>
        <v>1.2276338228089084E-2</v>
      </c>
      <c r="J47" s="56"/>
      <c r="K47" s="57">
        <f>G47/$G$51</f>
        <v>0.95238095238095244</v>
      </c>
    </row>
    <row r="48" spans="1:11" x14ac:dyDescent="0.2">
      <c r="A48" s="58" t="s">
        <v>106</v>
      </c>
      <c r="B48" s="59"/>
      <c r="C48" s="31">
        <v>0.13</v>
      </c>
      <c r="D48" s="31">
        <f>D47*C48</f>
        <v>51.678058900000011</v>
      </c>
      <c r="E48" s="31"/>
      <c r="F48" s="31">
        <f>C48</f>
        <v>0.13</v>
      </c>
      <c r="G48" s="31">
        <f>G47*F48</f>
        <v>52.312476230027521</v>
      </c>
      <c r="H48" s="31">
        <f>G48-D48</f>
        <v>0.63441733002751022</v>
      </c>
      <c r="I48" s="32">
        <f t="shared" si="9"/>
        <v>1.2276338228089099E-2</v>
      </c>
      <c r="J48" s="32"/>
      <c r="K48" s="60">
        <f>G48/$G$51</f>
        <v>0.12380952380952383</v>
      </c>
    </row>
    <row r="49" spans="1:11" x14ac:dyDescent="0.2">
      <c r="A49" s="61" t="s">
        <v>111</v>
      </c>
      <c r="B49" s="29"/>
      <c r="C49" s="30"/>
      <c r="D49" s="30">
        <f>SUM(D47:D48)</f>
        <v>449.20158890000005</v>
      </c>
      <c r="E49" s="30"/>
      <c r="F49" s="30"/>
      <c r="G49" s="30">
        <f>SUM(G47:G48)</f>
        <v>454.7161395379315</v>
      </c>
      <c r="H49" s="30">
        <f>G49-D49</f>
        <v>5.5145506379314497</v>
      </c>
      <c r="I49" s="33">
        <f t="shared" si="9"/>
        <v>1.2276338228089132E-2</v>
      </c>
      <c r="J49" s="33"/>
      <c r="K49" s="62">
        <f>G49/$G$51</f>
        <v>1.0761904761904761</v>
      </c>
    </row>
    <row r="50" spans="1:11" x14ac:dyDescent="0.2">
      <c r="A50" s="58" t="s">
        <v>108</v>
      </c>
      <c r="B50" s="59"/>
      <c r="C50" s="31">
        <v>-0.08</v>
      </c>
      <c r="D50" s="31">
        <f>D47*C50</f>
        <v>-31.801882400000004</v>
      </c>
      <c r="E50" s="31"/>
      <c r="F50" s="31">
        <f>C50</f>
        <v>-0.08</v>
      </c>
      <c r="G50" s="31">
        <f>G47*F50</f>
        <v>-32.192293064632317</v>
      </c>
      <c r="H50" s="31">
        <f>G50-D50</f>
        <v>-0.39041066463231289</v>
      </c>
      <c r="I50" s="32">
        <f t="shared" si="9"/>
        <v>-1.2276338228089066E-2</v>
      </c>
      <c r="J50" s="32"/>
      <c r="K50" s="60">
        <f>G50/$G$51</f>
        <v>-7.6190476190476183E-2</v>
      </c>
    </row>
    <row r="51" spans="1:11" ht="13.5" thickBot="1" x14ac:dyDescent="0.25">
      <c r="A51" s="63" t="s">
        <v>121</v>
      </c>
      <c r="B51" s="64"/>
      <c r="C51" s="65"/>
      <c r="D51" s="65">
        <f>SUM(D49:D50)</f>
        <v>417.39970650000004</v>
      </c>
      <c r="E51" s="65"/>
      <c r="F51" s="65"/>
      <c r="G51" s="65">
        <f>SUM(G49:G50)</f>
        <v>422.52384647329916</v>
      </c>
      <c r="H51" s="65">
        <f>G51-D51</f>
        <v>5.1241399732991226</v>
      </c>
      <c r="I51" s="66">
        <f t="shared" si="9"/>
        <v>1.2276338228089104E-2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pageSetUpPr fitToPage="1"/>
  </sheetPr>
  <dimension ref="A1:K68"/>
  <sheetViews>
    <sheetView tabSelected="1" view="pageLayout" zoomScaleNormal="100" zoomScaleSheetLayoutView="11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98</v>
      </c>
      <c r="B1" s="191"/>
      <c r="C1" s="191"/>
      <c r="D1" s="191"/>
      <c r="E1" s="191"/>
      <c r="F1" s="191"/>
      <c r="G1" s="191"/>
      <c r="H1" s="191"/>
      <c r="I1" s="191"/>
      <c r="J1" s="191"/>
      <c r="K1" s="192"/>
    </row>
    <row r="3" spans="1:11" x14ac:dyDescent="0.2">
      <c r="A3" s="13" t="s">
        <v>13</v>
      </c>
      <c r="B3" s="13" t="s">
        <v>3</v>
      </c>
    </row>
    <row r="4" spans="1:11" x14ac:dyDescent="0.2">
      <c r="A4" s="15" t="s">
        <v>62</v>
      </c>
      <c r="B4" s="15">
        <v>50</v>
      </c>
    </row>
    <row r="5" spans="1:11" x14ac:dyDescent="0.2">
      <c r="A5" s="15" t="s">
        <v>16</v>
      </c>
      <c r="B5" s="15">
        <f>VLOOKUP($B$3,'Data for Bill Impacts'!$A$6:$Y$18,5,0)</f>
        <v>0</v>
      </c>
    </row>
    <row r="6" spans="1:11" x14ac:dyDescent="0.2">
      <c r="A6" s="15" t="s">
        <v>20</v>
      </c>
      <c r="B6" s="15">
        <f>VLOOKUP($B$3,'Data for Bill Impacts'!$A$6:$Y$18,2,0)</f>
        <v>1.1040000000000001</v>
      </c>
    </row>
    <row r="7" spans="1:11" x14ac:dyDescent="0.2">
      <c r="A7" s="15" t="s">
        <v>15</v>
      </c>
      <c r="B7" s="15">
        <f>VLOOKUP($B$3,'Data for Bill Impacts'!$A$6:$Y$18,4,0)</f>
        <v>600</v>
      </c>
    </row>
    <row r="8" spans="1:11" x14ac:dyDescent="0.2">
      <c r="A8" s="15" t="s">
        <v>82</v>
      </c>
      <c r="B8" s="168">
        <f>B4*B6</f>
        <v>55.2</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50</v>
      </c>
      <c r="C12" s="103">
        <v>9.0999999999999998E-2</v>
      </c>
      <c r="D12" s="104">
        <f>B12*C12</f>
        <v>4.55</v>
      </c>
      <c r="E12" s="102">
        <f>B12</f>
        <v>50</v>
      </c>
      <c r="F12" s="103">
        <f>C12</f>
        <v>9.0999999999999998E-2</v>
      </c>
      <c r="G12" s="104">
        <f>E12*F12</f>
        <v>4.55</v>
      </c>
      <c r="H12" s="104">
        <f>G12-D12</f>
        <v>0</v>
      </c>
      <c r="I12" s="105">
        <f t="shared" ref="I12:I18" si="0">IF(ISERROR(H12/ABS(D12)),"N/A",(H12/ABS(D12)))</f>
        <v>0</v>
      </c>
      <c r="J12" s="105">
        <f>G12/$G$46</f>
        <v>8.5843138415843026E-2</v>
      </c>
      <c r="K12" s="106"/>
    </row>
    <row r="13" spans="1:11" x14ac:dyDescent="0.2">
      <c r="A13" s="107" t="s">
        <v>32</v>
      </c>
      <c r="B13" s="73">
        <f>IF(B4&gt;B7,(B4)-B7,0)</f>
        <v>0</v>
      </c>
      <c r="C13" s="21">
        <v>0.106</v>
      </c>
      <c r="D13" s="22">
        <f>B13*C13</f>
        <v>0</v>
      </c>
      <c r="E13" s="73">
        <f t="shared" ref="E13:F17" si="1">B13</f>
        <v>0</v>
      </c>
      <c r="F13" s="21">
        <f t="shared" si="1"/>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4.55</v>
      </c>
      <c r="E14" s="76"/>
      <c r="F14" s="25"/>
      <c r="G14" s="25">
        <f>SUM(G12:G13)</f>
        <v>4.55</v>
      </c>
      <c r="H14" s="25">
        <f t="shared" si="2"/>
        <v>0</v>
      </c>
      <c r="I14" s="27">
        <f t="shared" si="0"/>
        <v>0</v>
      </c>
      <c r="J14" s="27">
        <f>G14/$G$46</f>
        <v>8.5843138415843026E-2</v>
      </c>
      <c r="K14" s="108"/>
    </row>
    <row r="15" spans="1:11" s="1" customFormat="1" x14ac:dyDescent="0.2">
      <c r="A15" s="109" t="s">
        <v>34</v>
      </c>
      <c r="B15" s="75">
        <f>B4*0.65</f>
        <v>32.5</v>
      </c>
      <c r="C15" s="28">
        <v>7.6999999999999999E-2</v>
      </c>
      <c r="D15" s="22">
        <f>B15*C15</f>
        <v>2.5024999999999999</v>
      </c>
      <c r="E15" s="73">
        <f t="shared" ref="E15:E17" si="3">B15</f>
        <v>32.5</v>
      </c>
      <c r="F15" s="28">
        <f t="shared" si="1"/>
        <v>7.6999999999999999E-2</v>
      </c>
      <c r="G15" s="22">
        <f>E15*F15</f>
        <v>2.5024999999999999</v>
      </c>
      <c r="H15" s="22">
        <f t="shared" si="2"/>
        <v>0</v>
      </c>
      <c r="I15" s="23">
        <f t="shared" si="0"/>
        <v>0</v>
      </c>
      <c r="J15" s="23"/>
      <c r="K15" s="108">
        <f t="shared" ref="K15:K26" si="4">G15/$G$51</f>
        <v>4.6879490268379072E-2</v>
      </c>
    </row>
    <row r="16" spans="1:11" s="1" customFormat="1" x14ac:dyDescent="0.2">
      <c r="A16" s="109" t="s">
        <v>35</v>
      </c>
      <c r="B16" s="75">
        <f>B4*0.17</f>
        <v>8.5</v>
      </c>
      <c r="C16" s="28">
        <v>0.113</v>
      </c>
      <c r="D16" s="22">
        <f>B16*C16</f>
        <v>0.96050000000000002</v>
      </c>
      <c r="E16" s="73">
        <f t="shared" si="3"/>
        <v>8.5</v>
      </c>
      <c r="F16" s="28">
        <f t="shared" si="1"/>
        <v>0.113</v>
      </c>
      <c r="G16" s="22">
        <f>E16*F16</f>
        <v>0.96050000000000002</v>
      </c>
      <c r="H16" s="22">
        <f t="shared" si="2"/>
        <v>0</v>
      </c>
      <c r="I16" s="23">
        <f t="shared" si="0"/>
        <v>0</v>
      </c>
      <c r="J16" s="23"/>
      <c r="K16" s="108">
        <f t="shared" si="4"/>
        <v>1.799310705405718E-2</v>
      </c>
    </row>
    <row r="17" spans="1:11" s="1" customFormat="1" x14ac:dyDescent="0.2">
      <c r="A17" s="109" t="s">
        <v>36</v>
      </c>
      <c r="B17" s="75">
        <f>B4*0.18</f>
        <v>9</v>
      </c>
      <c r="C17" s="28">
        <v>0.157</v>
      </c>
      <c r="D17" s="22">
        <f>B17*C17</f>
        <v>1.413</v>
      </c>
      <c r="E17" s="73">
        <f t="shared" si="3"/>
        <v>9</v>
      </c>
      <c r="F17" s="28">
        <f t="shared" si="1"/>
        <v>0.157</v>
      </c>
      <c r="G17" s="22">
        <f>E17*F17</f>
        <v>1.413</v>
      </c>
      <c r="H17" s="22">
        <f t="shared" si="2"/>
        <v>0</v>
      </c>
      <c r="I17" s="23">
        <f t="shared" si="0"/>
        <v>0</v>
      </c>
      <c r="J17" s="23"/>
      <c r="K17" s="108">
        <f t="shared" si="4"/>
        <v>2.6469818081606245E-2</v>
      </c>
    </row>
    <row r="18" spans="1:11" s="1" customFormat="1" x14ac:dyDescent="0.2">
      <c r="A18" s="61" t="s">
        <v>37</v>
      </c>
      <c r="B18" s="29"/>
      <c r="C18" s="30"/>
      <c r="D18" s="30">
        <f>SUM(D15:D17)</f>
        <v>4.8760000000000003</v>
      </c>
      <c r="E18" s="77"/>
      <c r="F18" s="30"/>
      <c r="G18" s="30">
        <f>SUM(G15:G17)</f>
        <v>4.8760000000000003</v>
      </c>
      <c r="H18" s="31">
        <f t="shared" si="2"/>
        <v>0</v>
      </c>
      <c r="I18" s="32">
        <f t="shared" si="0"/>
        <v>0</v>
      </c>
      <c r="J18" s="33">
        <f t="shared" ref="J18:J26" si="5">G18/$G$46</f>
        <v>9.1993657783659477E-2</v>
      </c>
      <c r="K18" s="62">
        <f t="shared" si="4"/>
        <v>9.1342415404042504E-2</v>
      </c>
    </row>
    <row r="19" spans="1:11" x14ac:dyDescent="0.2">
      <c r="A19" s="107" t="s">
        <v>38</v>
      </c>
      <c r="B19" s="73">
        <v>1</v>
      </c>
      <c r="C19" s="78">
        <f>VLOOKUP($B$3,'Data for Bill Impacts'!$A$6:$Y$18,7,0)</f>
        <v>36.28</v>
      </c>
      <c r="D19" s="22">
        <f>B19*C19</f>
        <v>36.28</v>
      </c>
      <c r="E19" s="73">
        <f t="shared" ref="E19:E41" si="6">B19</f>
        <v>1</v>
      </c>
      <c r="F19" s="78">
        <f>VLOOKUP($B$3,'Data for Bill Impacts'!$A$6:$Y$18,17,0)</f>
        <v>40.520000000000003</v>
      </c>
      <c r="G19" s="22">
        <f>E19*F19</f>
        <v>40.520000000000003</v>
      </c>
      <c r="H19" s="22">
        <f t="shared" si="2"/>
        <v>4.240000000000002</v>
      </c>
      <c r="I19" s="23">
        <f>IF(ISERROR(H19/ABS(D19)),"N/A",(H19/ABS(D19)))</f>
        <v>0.11686879823594272</v>
      </c>
      <c r="J19" s="23">
        <f t="shared" si="5"/>
        <v>0.76447559749669447</v>
      </c>
      <c r="K19" s="108">
        <f t="shared" si="4"/>
        <v>0.75906371455533272</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0.84</v>
      </c>
      <c r="D21" s="22">
        <f t="shared" si="7"/>
        <v>0.84</v>
      </c>
      <c r="E21" s="73">
        <f t="shared" si="6"/>
        <v>1</v>
      </c>
      <c r="F21" s="121">
        <f>VLOOKUP($B$3,'Data for Bill Impacts'!$A$6:$Y$18,22,0)</f>
        <v>-2E-3</v>
      </c>
      <c r="G21" s="22">
        <f t="shared" si="8"/>
        <v>-2E-3</v>
      </c>
      <c r="H21" s="22">
        <f t="shared" si="2"/>
        <v>-0.84199999999999997</v>
      </c>
      <c r="I21" s="23">
        <f t="shared" si="9"/>
        <v>-1.0023809523809524</v>
      </c>
      <c r="J21" s="23">
        <f t="shared" si="5"/>
        <v>-3.7733247655315613E-5</v>
      </c>
      <c r="K21" s="108">
        <f t="shared" si="4"/>
        <v>-3.7466126088614644E-5</v>
      </c>
    </row>
    <row r="22" spans="1:11" hidden="1" x14ac:dyDescent="0.2">
      <c r="A22" s="107" t="s">
        <v>123</v>
      </c>
      <c r="B22" s="73">
        <f>B4</f>
        <v>50</v>
      </c>
      <c r="C22" s="78">
        <v>0</v>
      </c>
      <c r="D22" s="22">
        <f>B22*C22</f>
        <v>0</v>
      </c>
      <c r="E22" s="73">
        <f>B22</f>
        <v>50</v>
      </c>
      <c r="F22" s="78">
        <v>0</v>
      </c>
      <c r="G22" s="22">
        <f>E22*F22</f>
        <v>0</v>
      </c>
      <c r="H22" s="22">
        <f>G22-D22</f>
        <v>0</v>
      </c>
      <c r="I22" s="23" t="str">
        <f t="shared" si="9"/>
        <v>N/A</v>
      </c>
      <c r="J22" s="23">
        <f t="shared" si="5"/>
        <v>0</v>
      </c>
      <c r="K22" s="108">
        <f t="shared" si="4"/>
        <v>0</v>
      </c>
    </row>
    <row r="23" spans="1:11" x14ac:dyDescent="0.2">
      <c r="A23" s="107" t="s">
        <v>39</v>
      </c>
      <c r="B23" s="73">
        <f>IF($B$9="kWh",$B$4,$B$5)</f>
        <v>50</v>
      </c>
      <c r="C23" s="78">
        <f>VLOOKUP($B$3,'Data for Bill Impacts'!$A$6:$Y$18,10,0)</f>
        <v>6.3500000000000001E-2</v>
      </c>
      <c r="D23" s="22">
        <f>B23*C23</f>
        <v>3.1749999999999998</v>
      </c>
      <c r="E23" s="73">
        <f t="shared" si="6"/>
        <v>50</v>
      </c>
      <c r="F23" s="78">
        <f>VLOOKUP($B$3,'Data for Bill Impacts'!$A$6:$Y$18,19,0)</f>
        <v>6.0100000000000001E-2</v>
      </c>
      <c r="G23" s="22">
        <f>E23*F23</f>
        <v>3.0049999999999999</v>
      </c>
      <c r="H23" s="22">
        <f t="shared" si="2"/>
        <v>-0.16999999999999993</v>
      </c>
      <c r="I23" s="23">
        <f t="shared" si="9"/>
        <v>-5.3543307086614152E-2</v>
      </c>
      <c r="J23" s="23">
        <f t="shared" si="5"/>
        <v>5.6694204602111713E-2</v>
      </c>
      <c r="K23" s="108">
        <f t="shared" si="4"/>
        <v>5.6292854448143498E-2</v>
      </c>
    </row>
    <row r="24" spans="1:11" x14ac:dyDescent="0.2">
      <c r="A24" s="107" t="s">
        <v>124</v>
      </c>
      <c r="B24" s="73">
        <f>IF($B$9="kWh",$B$4,$B$5)</f>
        <v>50</v>
      </c>
      <c r="C24" s="78">
        <f>VLOOKUP($B$3,'Data for Bill Impacts'!$A$6:$Y$18,14,0)</f>
        <v>2.9999999999999997E-4</v>
      </c>
      <c r="D24" s="22">
        <f>B24*C24</f>
        <v>1.4999999999999999E-2</v>
      </c>
      <c r="E24" s="73">
        <f>B24</f>
        <v>50</v>
      </c>
      <c r="F24" s="125">
        <f>VLOOKUP($B$3,'Data for Bill Impacts'!$A$6:$Y$18,23,0)</f>
        <v>1.0000000000000003E-5</v>
      </c>
      <c r="G24" s="22">
        <f>E24*F24</f>
        <v>5.0000000000000012E-4</v>
      </c>
      <c r="H24" s="22">
        <f>G24-D24</f>
        <v>-1.4499999999999999E-2</v>
      </c>
      <c r="I24" s="23">
        <f t="shared" si="9"/>
        <v>-0.96666666666666667</v>
      </c>
      <c r="J24" s="23">
        <f t="shared" si="5"/>
        <v>9.4333119138289067E-6</v>
      </c>
      <c r="K24" s="108">
        <f t="shared" si="4"/>
        <v>9.3665315221536626E-6</v>
      </c>
    </row>
    <row r="25" spans="1:11" s="1" customFormat="1" x14ac:dyDescent="0.2">
      <c r="A25" s="110" t="s">
        <v>72</v>
      </c>
      <c r="B25" s="74"/>
      <c r="C25" s="35"/>
      <c r="D25" s="35">
        <f>SUM(D19:D24)</f>
        <v>40.31</v>
      </c>
      <c r="E25" s="73"/>
      <c r="F25" s="35"/>
      <c r="G25" s="35">
        <f>SUM(G19:G24)</f>
        <v>43.523500000000006</v>
      </c>
      <c r="H25" s="35">
        <f t="shared" si="2"/>
        <v>3.2135000000000034</v>
      </c>
      <c r="I25" s="36">
        <f t="shared" si="9"/>
        <v>7.9719672537831882E-2</v>
      </c>
      <c r="J25" s="36">
        <f t="shared" si="5"/>
        <v>0.8211415021630647</v>
      </c>
      <c r="K25" s="111">
        <f t="shared" si="4"/>
        <v>0.8153284694089098</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1.4904632823849668E-2</v>
      </c>
      <c r="K26" s="108">
        <f t="shared" si="4"/>
        <v>1.4799119805002784E-2</v>
      </c>
    </row>
    <row r="27" spans="1:11" s="1" customFormat="1" x14ac:dyDescent="0.2">
      <c r="A27" s="119" t="s">
        <v>75</v>
      </c>
      <c r="B27" s="120">
        <f>B8-B4</f>
        <v>5.2000000000000028</v>
      </c>
      <c r="C27" s="176">
        <f>IF(B4&gt;B7,C13,C12)</f>
        <v>9.0999999999999998E-2</v>
      </c>
      <c r="D27" s="22">
        <f>B27*C27</f>
        <v>0.47320000000000023</v>
      </c>
      <c r="E27" s="73">
        <f>B27</f>
        <v>5.2000000000000028</v>
      </c>
      <c r="F27" s="176">
        <f>C27</f>
        <v>9.0999999999999998E-2</v>
      </c>
      <c r="G27" s="22">
        <f>E27*F27</f>
        <v>0.47320000000000023</v>
      </c>
      <c r="H27" s="22">
        <f t="shared" si="2"/>
        <v>0</v>
      </c>
      <c r="I27" s="23">
        <f t="shared" si="9"/>
        <v>0</v>
      </c>
      <c r="J27" s="23">
        <f t="shared" ref="J27:J46" si="10">G27/$G$46</f>
        <v>8.927686395247679E-3</v>
      </c>
      <c r="K27" s="108">
        <f t="shared" ref="K27:K41" si="11">G27/$G$51</f>
        <v>8.8644854325662277E-3</v>
      </c>
    </row>
    <row r="28" spans="1:11" s="1" customFormat="1" x14ac:dyDescent="0.2">
      <c r="A28" s="119" t="s">
        <v>74</v>
      </c>
      <c r="B28" s="120">
        <f>B8-B4</f>
        <v>5.2000000000000028</v>
      </c>
      <c r="C28" s="176">
        <f>0.65*C15+0.17*C16+0.18*C17</f>
        <v>9.7519999999999996E-2</v>
      </c>
      <c r="D28" s="22">
        <f>B28*C28</f>
        <v>0.50710400000000022</v>
      </c>
      <c r="E28" s="73">
        <f>B28</f>
        <v>5.2000000000000028</v>
      </c>
      <c r="F28" s="176">
        <f>C28</f>
        <v>9.7519999999999996E-2</v>
      </c>
      <c r="G28" s="22">
        <f>E28*F28</f>
        <v>0.50710400000000022</v>
      </c>
      <c r="H28" s="22">
        <f t="shared" si="2"/>
        <v>0</v>
      </c>
      <c r="I28" s="23">
        <f t="shared" si="9"/>
        <v>0</v>
      </c>
      <c r="J28" s="23">
        <f t="shared" si="10"/>
        <v>9.5673404095005885E-3</v>
      </c>
      <c r="K28" s="108">
        <f t="shared" si="11"/>
        <v>9.4996112020204228E-3</v>
      </c>
    </row>
    <row r="29" spans="1:11" s="1" customFormat="1" x14ac:dyDescent="0.2">
      <c r="A29" s="110" t="s">
        <v>78</v>
      </c>
      <c r="B29" s="74"/>
      <c r="C29" s="35"/>
      <c r="D29" s="35">
        <f>SUM(D25,D26:D27)</f>
        <v>41.5732</v>
      </c>
      <c r="E29" s="73"/>
      <c r="F29" s="35"/>
      <c r="G29" s="35">
        <f>SUM(G25,G26:G27)</f>
        <v>44.786700000000003</v>
      </c>
      <c r="H29" s="35">
        <f t="shared" si="2"/>
        <v>3.2135000000000034</v>
      </c>
      <c r="I29" s="36">
        <f t="shared" si="9"/>
        <v>7.7297393513128726E-2</v>
      </c>
      <c r="J29" s="36">
        <f t="shared" si="10"/>
        <v>0.84497382138216204</v>
      </c>
      <c r="K29" s="111">
        <f t="shared" si="11"/>
        <v>0.83899207464647874</v>
      </c>
    </row>
    <row r="30" spans="1:11" s="1" customFormat="1" x14ac:dyDescent="0.2">
      <c r="A30" s="110" t="s">
        <v>77</v>
      </c>
      <c r="B30" s="74"/>
      <c r="C30" s="35"/>
      <c r="D30" s="35">
        <f>SUM(D25,D26,D28)</f>
        <v>41.607104</v>
      </c>
      <c r="E30" s="73"/>
      <c r="F30" s="35"/>
      <c r="G30" s="35">
        <f>SUM(G25,G26,G28)</f>
        <v>44.820604000000003</v>
      </c>
      <c r="H30" s="35">
        <f t="shared" si="2"/>
        <v>3.2135000000000034</v>
      </c>
      <c r="I30" s="36">
        <f t="shared" si="9"/>
        <v>7.7234406893592095E-2</v>
      </c>
      <c r="J30" s="36">
        <f t="shared" si="10"/>
        <v>0.84561347539641496</v>
      </c>
      <c r="K30" s="111">
        <f t="shared" si="11"/>
        <v>0.83962720041593297</v>
      </c>
    </row>
    <row r="31" spans="1:11" x14ac:dyDescent="0.2">
      <c r="A31" s="107" t="s">
        <v>40</v>
      </c>
      <c r="B31" s="73">
        <f>B8</f>
        <v>55.2</v>
      </c>
      <c r="C31" s="78">
        <f>VLOOKUP($B$3,'Data for Bill Impacts'!$A$6:$Y$18,15,0)</f>
        <v>5.1000000000000004E-3</v>
      </c>
      <c r="D31" s="22">
        <f>B31*C31</f>
        <v>0.28152000000000005</v>
      </c>
      <c r="E31" s="73">
        <f t="shared" si="6"/>
        <v>55.2</v>
      </c>
      <c r="F31" s="125">
        <f>VLOOKUP($B$3,'Data for Bill Impacts'!$A$6:$Y$18,24,0)</f>
        <v>5.6559999999999996E-3</v>
      </c>
      <c r="G31" s="22">
        <f>E31*F31</f>
        <v>0.31221119999999997</v>
      </c>
      <c r="H31" s="22">
        <f t="shared" si="2"/>
        <v>3.0691199999999919E-2</v>
      </c>
      <c r="I31" s="23">
        <f t="shared" si="9"/>
        <v>0.10901960784313695</v>
      </c>
      <c r="J31" s="23">
        <f t="shared" si="10"/>
        <v>5.8903712651816363E-3</v>
      </c>
      <c r="K31" s="108">
        <f t="shared" si="11"/>
        <v>5.848672092738841E-3</v>
      </c>
    </row>
    <row r="32" spans="1:11" x14ac:dyDescent="0.2">
      <c r="A32" s="107" t="s">
        <v>41</v>
      </c>
      <c r="B32" s="73">
        <f>B8</f>
        <v>55.2</v>
      </c>
      <c r="C32" s="78">
        <f>VLOOKUP($B$3,'Data for Bill Impacts'!$A$6:$Y$18,16,0)</f>
        <v>4.1999999999999997E-3</v>
      </c>
      <c r="D32" s="22">
        <f>B32*C32</f>
        <v>0.23183999999999999</v>
      </c>
      <c r="E32" s="73">
        <f t="shared" si="6"/>
        <v>55.2</v>
      </c>
      <c r="F32" s="125">
        <f>VLOOKUP($B$3,'Data for Bill Impacts'!$A$6:$Y$18,25,0)</f>
        <v>4.8209999999999998E-3</v>
      </c>
      <c r="G32" s="22">
        <f>E32*F32</f>
        <v>0.2661192</v>
      </c>
      <c r="H32" s="22">
        <f t="shared" si="2"/>
        <v>3.427920000000001E-2</v>
      </c>
      <c r="I32" s="23">
        <f t="shared" si="9"/>
        <v>0.14785714285714291</v>
      </c>
      <c r="J32" s="23">
        <f t="shared" si="10"/>
        <v>5.020770839717234E-3</v>
      </c>
      <c r="K32" s="108">
        <f t="shared" si="11"/>
        <v>4.9852277509006291E-3</v>
      </c>
    </row>
    <row r="33" spans="1:11" s="1" customFormat="1" x14ac:dyDescent="0.2">
      <c r="A33" s="110" t="s">
        <v>76</v>
      </c>
      <c r="B33" s="74"/>
      <c r="C33" s="35"/>
      <c r="D33" s="35">
        <f>SUM(D31:D32)</f>
        <v>0.51336000000000004</v>
      </c>
      <c r="E33" s="73"/>
      <c r="F33" s="35"/>
      <c r="G33" s="35">
        <f>SUM(G31:G32)</f>
        <v>0.57833040000000002</v>
      </c>
      <c r="H33" s="35">
        <f t="shared" si="2"/>
        <v>6.4970399999999984E-2</v>
      </c>
      <c r="I33" s="36">
        <f t="shared" si="9"/>
        <v>0.12655913978494621</v>
      </c>
      <c r="J33" s="36">
        <f t="shared" si="10"/>
        <v>1.0911142104898871E-2</v>
      </c>
      <c r="K33" s="111">
        <f t="shared" si="11"/>
        <v>1.083389984363947E-2</v>
      </c>
    </row>
    <row r="34" spans="1:11" s="1" customFormat="1" x14ac:dyDescent="0.2">
      <c r="A34" s="110" t="s">
        <v>91</v>
      </c>
      <c r="B34" s="74"/>
      <c r="C34" s="35"/>
      <c r="D34" s="35">
        <f>D29+D33</f>
        <v>42.086559999999999</v>
      </c>
      <c r="E34" s="73"/>
      <c r="F34" s="35"/>
      <c r="G34" s="35">
        <f>G29+G33</f>
        <v>45.365030400000002</v>
      </c>
      <c r="H34" s="35">
        <f t="shared" si="2"/>
        <v>3.2784704000000033</v>
      </c>
      <c r="I34" s="36">
        <f t="shared" si="9"/>
        <v>7.7898274413494561E-2</v>
      </c>
      <c r="J34" s="36">
        <f t="shared" si="10"/>
        <v>0.85588496348706089</v>
      </c>
      <c r="K34" s="111">
        <f t="shared" si="11"/>
        <v>0.84982597449011821</v>
      </c>
    </row>
    <row r="35" spans="1:11" s="1" customFormat="1" x14ac:dyDescent="0.2">
      <c r="A35" s="110" t="s">
        <v>92</v>
      </c>
      <c r="B35" s="74"/>
      <c r="C35" s="35"/>
      <c r="D35" s="35">
        <f>D30+D33</f>
        <v>42.120463999999998</v>
      </c>
      <c r="E35" s="73"/>
      <c r="F35" s="35"/>
      <c r="G35" s="35">
        <f>G30+G33</f>
        <v>45.398934400000002</v>
      </c>
      <c r="H35" s="35">
        <f t="shared" si="2"/>
        <v>3.2784704000000033</v>
      </c>
      <c r="I35" s="36">
        <f t="shared" si="9"/>
        <v>7.7835571801868175E-2</v>
      </c>
      <c r="J35" s="36">
        <f t="shared" si="10"/>
        <v>0.85652461750131381</v>
      </c>
      <c r="K35" s="111">
        <f t="shared" si="11"/>
        <v>0.85046110025957233</v>
      </c>
    </row>
    <row r="36" spans="1:11" x14ac:dyDescent="0.2">
      <c r="A36" s="107" t="s">
        <v>42</v>
      </c>
      <c r="B36" s="73">
        <f>B8</f>
        <v>55.2</v>
      </c>
      <c r="C36" s="34">
        <v>3.5999999999999999E-3</v>
      </c>
      <c r="D36" s="22">
        <f>B36*C36</f>
        <v>0.19872000000000001</v>
      </c>
      <c r="E36" s="73">
        <f t="shared" si="6"/>
        <v>55.2</v>
      </c>
      <c r="F36" s="34">
        <v>3.5999999999999999E-3</v>
      </c>
      <c r="G36" s="22">
        <f>E36*F36</f>
        <v>0.19872000000000001</v>
      </c>
      <c r="H36" s="22">
        <f t="shared" si="2"/>
        <v>0</v>
      </c>
      <c r="I36" s="23">
        <f t="shared" si="9"/>
        <v>0</v>
      </c>
      <c r="J36" s="23">
        <f t="shared" si="10"/>
        <v>3.7491754870321598E-3</v>
      </c>
      <c r="K36" s="108">
        <f t="shared" si="11"/>
        <v>3.722634288164751E-3</v>
      </c>
    </row>
    <row r="37" spans="1:11" x14ac:dyDescent="0.2">
      <c r="A37" s="107" t="s">
        <v>43</v>
      </c>
      <c r="B37" s="73">
        <f>B8</f>
        <v>55.2</v>
      </c>
      <c r="C37" s="34">
        <v>2.0999999999999999E-3</v>
      </c>
      <c r="D37" s="22">
        <f>B37*C37</f>
        <v>0.11592</v>
      </c>
      <c r="E37" s="73">
        <f t="shared" si="6"/>
        <v>55.2</v>
      </c>
      <c r="F37" s="34">
        <v>2.0999999999999999E-3</v>
      </c>
      <c r="G37" s="22">
        <f>E37*F37</f>
        <v>0.11592</v>
      </c>
      <c r="H37" s="22">
        <f>G37-D37</f>
        <v>0</v>
      </c>
      <c r="I37" s="23">
        <f t="shared" si="9"/>
        <v>0</v>
      </c>
      <c r="J37" s="23">
        <f t="shared" si="10"/>
        <v>2.1870190341020928E-3</v>
      </c>
      <c r="K37" s="108">
        <f t="shared" si="11"/>
        <v>2.1715366680961044E-3</v>
      </c>
    </row>
    <row r="38" spans="1:11" x14ac:dyDescent="0.2">
      <c r="A38" s="107" t="s">
        <v>96</v>
      </c>
      <c r="B38" s="73">
        <f>B8</f>
        <v>55.2</v>
      </c>
      <c r="C38" s="34">
        <v>0</v>
      </c>
      <c r="D38" s="22">
        <f>B38*C38</f>
        <v>0</v>
      </c>
      <c r="E38" s="73">
        <f t="shared" si="6"/>
        <v>55.2</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4.7166559569144523E-3</v>
      </c>
      <c r="K39" s="108">
        <f t="shared" si="11"/>
        <v>4.6832657610768299E-3</v>
      </c>
    </row>
    <row r="40" spans="1:11" s="1" customFormat="1" x14ac:dyDescent="0.2">
      <c r="A40" s="110" t="s">
        <v>45</v>
      </c>
      <c r="B40" s="74"/>
      <c r="C40" s="35"/>
      <c r="D40" s="35">
        <f>SUM(D36:D39)</f>
        <v>0.56464000000000003</v>
      </c>
      <c r="E40" s="73"/>
      <c r="F40" s="35"/>
      <c r="G40" s="35">
        <f>SUM(G36:G39)</f>
        <v>0.56464000000000003</v>
      </c>
      <c r="H40" s="35">
        <f t="shared" si="2"/>
        <v>0</v>
      </c>
      <c r="I40" s="36">
        <f t="shared" si="9"/>
        <v>0</v>
      </c>
      <c r="J40" s="36">
        <f t="shared" si="10"/>
        <v>1.0652850478048705E-2</v>
      </c>
      <c r="K40" s="111">
        <f t="shared" si="11"/>
        <v>1.0577436717337687E-2</v>
      </c>
    </row>
    <row r="41" spans="1:11" s="1" customFormat="1" ht="13.5" thickBot="1" x14ac:dyDescent="0.25">
      <c r="A41" s="112" t="s">
        <v>46</v>
      </c>
      <c r="B41" s="113">
        <f>B4</f>
        <v>50</v>
      </c>
      <c r="C41" s="114">
        <v>0</v>
      </c>
      <c r="D41" s="115">
        <f>B41*C41</f>
        <v>0</v>
      </c>
      <c r="E41" s="116">
        <f t="shared" si="6"/>
        <v>50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47.201199999999993</v>
      </c>
      <c r="E42" s="38"/>
      <c r="F42" s="39"/>
      <c r="G42" s="39">
        <f>SUM(G14,G25,G26,G27,G33,G40,G41)</f>
        <v>50.479670399999996</v>
      </c>
      <c r="H42" s="39">
        <f t="shared" si="2"/>
        <v>3.2784704000000033</v>
      </c>
      <c r="I42" s="40">
        <f t="shared" si="9"/>
        <v>6.9457352779166717E-2</v>
      </c>
      <c r="J42" s="40">
        <f t="shared" si="10"/>
        <v>0.95238095238095244</v>
      </c>
      <c r="K42" s="41"/>
    </row>
    <row r="43" spans="1:11" x14ac:dyDescent="0.2">
      <c r="A43" s="153" t="s">
        <v>106</v>
      </c>
      <c r="B43" s="43"/>
      <c r="C43" s="26">
        <v>0.13</v>
      </c>
      <c r="D43" s="26">
        <f>D42*C43</f>
        <v>6.1361559999999997</v>
      </c>
      <c r="E43" s="26"/>
      <c r="F43" s="26">
        <f>C43</f>
        <v>0.13</v>
      </c>
      <c r="G43" s="26">
        <f>G42*F43</f>
        <v>6.5623571519999997</v>
      </c>
      <c r="H43" s="26">
        <f t="shared" si="2"/>
        <v>0.42620115199999997</v>
      </c>
      <c r="I43" s="44">
        <f t="shared" si="9"/>
        <v>6.9457352779166634E-2</v>
      </c>
      <c r="J43" s="44">
        <f t="shared" si="10"/>
        <v>0.12380952380952383</v>
      </c>
      <c r="K43" s="45"/>
    </row>
    <row r="44" spans="1:11" s="1" customFormat="1" x14ac:dyDescent="0.2">
      <c r="A44" s="46" t="s">
        <v>107</v>
      </c>
      <c r="B44" s="24"/>
      <c r="C44" s="25"/>
      <c r="D44" s="25">
        <f>SUM(D42:D43)</f>
        <v>53.337355999999993</v>
      </c>
      <c r="E44" s="25"/>
      <c r="F44" s="25"/>
      <c r="G44" s="25">
        <f>SUM(G42:G43)</f>
        <v>57.042027551999993</v>
      </c>
      <c r="H44" s="25">
        <f t="shared" si="2"/>
        <v>3.7046715520000006</v>
      </c>
      <c r="I44" s="27">
        <f t="shared" si="9"/>
        <v>6.9457352779166648E-2</v>
      </c>
      <c r="J44" s="27">
        <f t="shared" si="10"/>
        <v>1.0761904761904761</v>
      </c>
      <c r="K44" s="47"/>
    </row>
    <row r="45" spans="1:11" x14ac:dyDescent="0.2">
      <c r="A45" s="42" t="s">
        <v>108</v>
      </c>
      <c r="B45" s="43"/>
      <c r="C45" s="26">
        <v>-0.08</v>
      </c>
      <c r="D45" s="26">
        <f>D42*C45</f>
        <v>-3.7760959999999995</v>
      </c>
      <c r="E45" s="26"/>
      <c r="F45" s="26">
        <f>C45</f>
        <v>-0.08</v>
      </c>
      <c r="G45" s="26">
        <f>G42*F45</f>
        <v>-4.0383736319999999</v>
      </c>
      <c r="H45" s="26">
        <f t="shared" si="2"/>
        <v>-0.26227763200000043</v>
      </c>
      <c r="I45" s="44">
        <f t="shared" si="9"/>
        <v>-6.9457352779166759E-2</v>
      </c>
      <c r="J45" s="44">
        <f t="shared" si="10"/>
        <v>-7.6190476190476197E-2</v>
      </c>
      <c r="K45" s="45"/>
    </row>
    <row r="46" spans="1:11" s="1" customFormat="1" ht="13.5" thickBot="1" x14ac:dyDescent="0.25">
      <c r="A46" s="48" t="s">
        <v>109</v>
      </c>
      <c r="B46" s="49"/>
      <c r="C46" s="50"/>
      <c r="D46" s="50">
        <f>SUM(D44:D45)</f>
        <v>49.56125999999999</v>
      </c>
      <c r="E46" s="50"/>
      <c r="F46" s="50"/>
      <c r="G46" s="50">
        <f>SUM(G44:G45)</f>
        <v>53.003653919999991</v>
      </c>
      <c r="H46" s="50">
        <f t="shared" si="2"/>
        <v>3.4423939200000007</v>
      </c>
      <c r="I46" s="51">
        <f t="shared" si="9"/>
        <v>6.9457352779166662E-2</v>
      </c>
      <c r="J46" s="51">
        <f t="shared" si="10"/>
        <v>1</v>
      </c>
      <c r="K46" s="52"/>
    </row>
    <row r="47" spans="1:11" x14ac:dyDescent="0.2">
      <c r="A47" s="53" t="s">
        <v>110</v>
      </c>
      <c r="B47" s="54"/>
      <c r="C47" s="55"/>
      <c r="D47" s="55">
        <f>SUM(D18,D25,D26,D28,D33,D40,D41)</f>
        <v>47.561103999999993</v>
      </c>
      <c r="E47" s="55"/>
      <c r="F47" s="55"/>
      <c r="G47" s="55">
        <f>SUM(G18,G25,G26,G28,G33,G40,G41)</f>
        <v>50.839574399999997</v>
      </c>
      <c r="H47" s="55">
        <f>G47-D47</f>
        <v>3.2784704000000033</v>
      </c>
      <c r="I47" s="56">
        <f t="shared" si="9"/>
        <v>6.8931755663199146E-2</v>
      </c>
      <c r="J47" s="56"/>
      <c r="K47" s="57">
        <f>G47/$G$51</f>
        <v>0.95238095238095244</v>
      </c>
    </row>
    <row r="48" spans="1:11" x14ac:dyDescent="0.2">
      <c r="A48" s="154" t="s">
        <v>106</v>
      </c>
      <c r="B48" s="59"/>
      <c r="C48" s="31">
        <v>0.13</v>
      </c>
      <c r="D48" s="31">
        <f>D47*C48</f>
        <v>6.1829435199999994</v>
      </c>
      <c r="E48" s="31"/>
      <c r="F48" s="31">
        <f>C48</f>
        <v>0.13</v>
      </c>
      <c r="G48" s="31">
        <f>G47*F48</f>
        <v>6.6091446719999993</v>
      </c>
      <c r="H48" s="31">
        <f>G48-D48</f>
        <v>0.42620115199999997</v>
      </c>
      <c r="I48" s="32">
        <f t="shared" si="9"/>
        <v>6.8931755663199076E-2</v>
      </c>
      <c r="J48" s="32"/>
      <c r="K48" s="60">
        <f>G48/$G$51</f>
        <v>0.12380952380952381</v>
      </c>
    </row>
    <row r="49" spans="1:11" x14ac:dyDescent="0.2">
      <c r="A49" s="61" t="s">
        <v>111</v>
      </c>
      <c r="B49" s="29"/>
      <c r="C49" s="30"/>
      <c r="D49" s="30">
        <f>SUM(D47:D48)</f>
        <v>53.744047519999995</v>
      </c>
      <c r="E49" s="30"/>
      <c r="F49" s="30"/>
      <c r="G49" s="30">
        <f>SUM(G47:G48)</f>
        <v>57.448719071999996</v>
      </c>
      <c r="H49" s="30">
        <f>G49-D49</f>
        <v>3.7046715520000006</v>
      </c>
      <c r="I49" s="33">
        <f t="shared" si="9"/>
        <v>6.893175566319909E-2</v>
      </c>
      <c r="J49" s="33"/>
      <c r="K49" s="62">
        <f>G49/$G$51</f>
        <v>1.0761904761904764</v>
      </c>
    </row>
    <row r="50" spans="1:11" x14ac:dyDescent="0.2">
      <c r="A50" s="58" t="s">
        <v>108</v>
      </c>
      <c r="B50" s="59"/>
      <c r="C50" s="31">
        <v>-0.08</v>
      </c>
      <c r="D50" s="31">
        <f>D47*C50</f>
        <v>-3.8048883199999994</v>
      </c>
      <c r="E50" s="31"/>
      <c r="F50" s="31">
        <f>C50</f>
        <v>-0.08</v>
      </c>
      <c r="G50" s="31">
        <f>G47*F50</f>
        <v>-4.0671659519999999</v>
      </c>
      <c r="H50" s="31">
        <f>G50-D50</f>
        <v>-0.26227763200000043</v>
      </c>
      <c r="I50" s="32">
        <f t="shared" si="9"/>
        <v>-6.8931755663199187E-2</v>
      </c>
      <c r="J50" s="32"/>
      <c r="K50" s="60">
        <f>G50/$G$51</f>
        <v>-7.6190476190476197E-2</v>
      </c>
    </row>
    <row r="51" spans="1:11" ht="13.5" thickBot="1" x14ac:dyDescent="0.25">
      <c r="A51" s="63" t="s">
        <v>121</v>
      </c>
      <c r="B51" s="64"/>
      <c r="C51" s="65"/>
      <c r="D51" s="65">
        <f>SUM(D49:D50)</f>
        <v>49.939159199999999</v>
      </c>
      <c r="E51" s="65"/>
      <c r="F51" s="65"/>
      <c r="G51" s="65">
        <f>SUM(G49:G50)</f>
        <v>53.381553119999992</v>
      </c>
      <c r="H51" s="65">
        <f>G51-D51</f>
        <v>3.4423939199999936</v>
      </c>
      <c r="I51" s="66">
        <f t="shared" si="9"/>
        <v>6.8931755663198938E-2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tint="0.499984740745262"/>
    <pageSetUpPr fitToPage="1"/>
  </sheetPr>
  <dimension ref="A1:K68"/>
  <sheetViews>
    <sheetView tabSelected="1" view="pageLayout" topLeftCell="A13"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120</v>
      </c>
      <c r="B1" s="191"/>
      <c r="C1" s="191"/>
      <c r="D1" s="191"/>
      <c r="E1" s="191"/>
      <c r="F1" s="191"/>
      <c r="G1" s="191"/>
      <c r="H1" s="191"/>
      <c r="I1" s="191"/>
      <c r="J1" s="191"/>
      <c r="K1" s="192"/>
    </row>
    <row r="3" spans="1:11" x14ac:dyDescent="0.2">
      <c r="A3" s="13" t="s">
        <v>13</v>
      </c>
      <c r="B3" s="13" t="s">
        <v>3</v>
      </c>
    </row>
    <row r="4" spans="1:11" x14ac:dyDescent="0.2">
      <c r="A4" s="15" t="s">
        <v>62</v>
      </c>
      <c r="B4" s="15">
        <f>VLOOKUP(B3,'Data for Bill Impacts'!A22:D34,3,FALSE)</f>
        <v>352</v>
      </c>
    </row>
    <row r="5" spans="1:11" x14ac:dyDescent="0.2">
      <c r="A5" s="15" t="s">
        <v>16</v>
      </c>
      <c r="B5" s="15">
        <f>VLOOKUP($B$3,'Data for Bill Impacts'!$A$6:$Y$18,5,0)</f>
        <v>0</v>
      </c>
    </row>
    <row r="6" spans="1:11" x14ac:dyDescent="0.2">
      <c r="A6" s="15" t="s">
        <v>20</v>
      </c>
      <c r="B6" s="15">
        <f>VLOOKUP($B$3,'Data for Bill Impacts'!$A$6:$Y$18,2,0)</f>
        <v>1.1040000000000001</v>
      </c>
    </row>
    <row r="7" spans="1:11" x14ac:dyDescent="0.2">
      <c r="A7" s="15" t="s">
        <v>15</v>
      </c>
      <c r="B7" s="15">
        <f>VLOOKUP($B$3,'Data for Bill Impacts'!$A$6:$Y$18,4,0)</f>
        <v>600</v>
      </c>
    </row>
    <row r="8" spans="1:11" x14ac:dyDescent="0.2">
      <c r="A8" s="15" t="s">
        <v>82</v>
      </c>
      <c r="B8" s="168">
        <f>B4*B6</f>
        <v>388.60800000000006</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352</v>
      </c>
      <c r="C12" s="103">
        <v>9.0999999999999998E-2</v>
      </c>
      <c r="D12" s="104">
        <f>B12*C12</f>
        <v>32.031999999999996</v>
      </c>
      <c r="E12" s="102">
        <f>B12</f>
        <v>352</v>
      </c>
      <c r="F12" s="103">
        <f>C12</f>
        <v>9.0999999999999998E-2</v>
      </c>
      <c r="G12" s="104">
        <f>E12*F12</f>
        <v>32.031999999999996</v>
      </c>
      <c r="H12" s="104">
        <f>G12-D12</f>
        <v>0</v>
      </c>
      <c r="I12" s="105">
        <f t="shared" ref="I12:I18" si="0">IF(ISERROR(H12/ABS(D12)),"N/A",(H12/ABS(D12)))</f>
        <v>0</v>
      </c>
      <c r="J12" s="105">
        <f>G12/$G$46</f>
        <v>0.29230307848520681</v>
      </c>
      <c r="K12" s="106"/>
    </row>
    <row r="13" spans="1:11" x14ac:dyDescent="0.2">
      <c r="A13" s="107" t="s">
        <v>32</v>
      </c>
      <c r="B13" s="73">
        <f>IF(B4&gt;B7,(B4)-B7,0)</f>
        <v>0</v>
      </c>
      <c r="C13" s="21">
        <v>0.106</v>
      </c>
      <c r="D13" s="22">
        <f>B13*C13</f>
        <v>0</v>
      </c>
      <c r="E13" s="73">
        <f t="shared" ref="E13:F17" si="1">B13</f>
        <v>0</v>
      </c>
      <c r="F13" s="21">
        <f t="shared" si="1"/>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32.031999999999996</v>
      </c>
      <c r="E14" s="76"/>
      <c r="F14" s="25"/>
      <c r="G14" s="25">
        <f>SUM(G12:G13)</f>
        <v>32.031999999999996</v>
      </c>
      <c r="H14" s="25">
        <f t="shared" si="2"/>
        <v>0</v>
      </c>
      <c r="I14" s="27">
        <f t="shared" si="0"/>
        <v>0</v>
      </c>
      <c r="J14" s="27">
        <f>G14/$G$46</f>
        <v>0.29230307848520681</v>
      </c>
      <c r="K14" s="108"/>
    </row>
    <row r="15" spans="1:11" s="1" customFormat="1" x14ac:dyDescent="0.2">
      <c r="A15" s="109" t="s">
        <v>34</v>
      </c>
      <c r="B15" s="75">
        <f>B4*0.65</f>
        <v>228.8</v>
      </c>
      <c r="C15" s="28">
        <v>7.6999999999999999E-2</v>
      </c>
      <c r="D15" s="22">
        <f>B15*C15</f>
        <v>17.617599999999999</v>
      </c>
      <c r="E15" s="73">
        <f t="shared" ref="E15:E17" si="3">B15</f>
        <v>228.8</v>
      </c>
      <c r="F15" s="28">
        <f t="shared" si="1"/>
        <v>7.6999999999999999E-2</v>
      </c>
      <c r="G15" s="22">
        <f>E15*F15</f>
        <v>17.617599999999999</v>
      </c>
      <c r="H15" s="22">
        <f t="shared" si="2"/>
        <v>0</v>
      </c>
      <c r="I15" s="23">
        <f t="shared" si="0"/>
        <v>0</v>
      </c>
      <c r="J15" s="23"/>
      <c r="K15" s="108">
        <f t="shared" ref="K15:K26" si="4">G15/$G$51</f>
        <v>0.15695624065717975</v>
      </c>
    </row>
    <row r="16" spans="1:11" s="1" customFormat="1" x14ac:dyDescent="0.2">
      <c r="A16" s="109" t="s">
        <v>35</v>
      </c>
      <c r="B16" s="75">
        <f>B4*0.17</f>
        <v>59.84</v>
      </c>
      <c r="C16" s="28">
        <v>0.113</v>
      </c>
      <c r="D16" s="22">
        <f>B16*C16</f>
        <v>6.7619200000000008</v>
      </c>
      <c r="E16" s="73">
        <f t="shared" si="3"/>
        <v>59.84</v>
      </c>
      <c r="F16" s="28">
        <f t="shared" si="1"/>
        <v>0.113</v>
      </c>
      <c r="G16" s="22">
        <f>E16*F16</f>
        <v>6.7619200000000008</v>
      </c>
      <c r="H16" s="22">
        <f t="shared" si="2"/>
        <v>0</v>
      </c>
      <c r="I16" s="23">
        <f t="shared" si="0"/>
        <v>0</v>
      </c>
      <c r="J16" s="23"/>
      <c r="K16" s="108">
        <f t="shared" si="4"/>
        <v>6.0242345315173293E-2</v>
      </c>
    </row>
    <row r="17" spans="1:11" s="1" customFormat="1" x14ac:dyDescent="0.2">
      <c r="A17" s="109" t="s">
        <v>36</v>
      </c>
      <c r="B17" s="75">
        <f>B4*0.18</f>
        <v>63.36</v>
      </c>
      <c r="C17" s="28">
        <v>0.157</v>
      </c>
      <c r="D17" s="22">
        <f>B17*C17</f>
        <v>9.9475200000000008</v>
      </c>
      <c r="E17" s="73">
        <f t="shared" si="3"/>
        <v>63.36</v>
      </c>
      <c r="F17" s="28">
        <f t="shared" si="1"/>
        <v>0.157</v>
      </c>
      <c r="G17" s="22">
        <f>E17*F17</f>
        <v>9.9475200000000008</v>
      </c>
      <c r="H17" s="22">
        <f t="shared" si="2"/>
        <v>0</v>
      </c>
      <c r="I17" s="23">
        <f t="shared" si="0"/>
        <v>0</v>
      </c>
      <c r="J17" s="23"/>
      <c r="K17" s="108">
        <f t="shared" si="4"/>
        <v>8.8623044175262747E-2</v>
      </c>
    </row>
    <row r="18" spans="1:11" s="1" customFormat="1" x14ac:dyDescent="0.2">
      <c r="A18" s="61" t="s">
        <v>37</v>
      </c>
      <c r="B18" s="29"/>
      <c r="C18" s="30"/>
      <c r="D18" s="30">
        <f>SUM(D15:D17)</f>
        <v>34.327039999999997</v>
      </c>
      <c r="E18" s="77"/>
      <c r="F18" s="30"/>
      <c r="G18" s="30">
        <f>SUM(G15:G17)</f>
        <v>34.327039999999997</v>
      </c>
      <c r="H18" s="31">
        <f t="shared" si="2"/>
        <v>0</v>
      </c>
      <c r="I18" s="32">
        <f t="shared" si="0"/>
        <v>0</v>
      </c>
      <c r="J18" s="33">
        <f t="shared" ref="J18:J26" si="5">G18/$G$46</f>
        <v>0.31324611224041066</v>
      </c>
      <c r="K18" s="62">
        <f t="shared" si="4"/>
        <v>0.30582163014761576</v>
      </c>
    </row>
    <row r="19" spans="1:11" x14ac:dyDescent="0.2">
      <c r="A19" s="107" t="s">
        <v>38</v>
      </c>
      <c r="B19" s="73">
        <v>1</v>
      </c>
      <c r="C19" s="78">
        <f>VLOOKUP($B$3,'Data for Bill Impacts'!$A$6:$Y$18,7,0)</f>
        <v>36.28</v>
      </c>
      <c r="D19" s="22">
        <f>B19*C19</f>
        <v>36.28</v>
      </c>
      <c r="E19" s="73">
        <f t="shared" ref="E19:E41" si="6">B19</f>
        <v>1</v>
      </c>
      <c r="F19" s="78">
        <f>VLOOKUP($B$3,'Data for Bill Impacts'!$A$6:$Y$18,17,0)</f>
        <v>40.520000000000003</v>
      </c>
      <c r="G19" s="22">
        <f>E19*F19</f>
        <v>40.520000000000003</v>
      </c>
      <c r="H19" s="22">
        <f t="shared" si="2"/>
        <v>4.240000000000002</v>
      </c>
      <c r="I19" s="23">
        <f>IF(ISERROR(H19/ABS(D19)),"N/A",(H19/ABS(D19)))</f>
        <v>0.11686879823594272</v>
      </c>
      <c r="J19" s="23">
        <f t="shared" si="5"/>
        <v>0.3697590141177754</v>
      </c>
      <c r="K19" s="108">
        <f t="shared" si="4"/>
        <v>0.36099507716311668</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0.84</v>
      </c>
      <c r="D21" s="22">
        <f t="shared" si="7"/>
        <v>0.84</v>
      </c>
      <c r="E21" s="73">
        <f t="shared" si="6"/>
        <v>1</v>
      </c>
      <c r="F21" s="121">
        <f>VLOOKUP($B$3,'Data for Bill Impacts'!$A$6:$Y$18,22,0)</f>
        <v>-2E-3</v>
      </c>
      <c r="G21" s="22">
        <f t="shared" si="8"/>
        <v>-2E-3</v>
      </c>
      <c r="H21" s="22">
        <f t="shared" si="2"/>
        <v>-0.84199999999999997</v>
      </c>
      <c r="I21" s="23">
        <f t="shared" si="9"/>
        <v>-1.0023809523809524</v>
      </c>
      <c r="J21" s="23">
        <f t="shared" si="5"/>
        <v>-1.8250691713611817E-5</v>
      </c>
      <c r="K21" s="108">
        <f t="shared" si="4"/>
        <v>-1.7818118319995885E-5</v>
      </c>
    </row>
    <row r="22" spans="1:11" hidden="1" x14ac:dyDescent="0.2">
      <c r="A22" s="107" t="s">
        <v>123</v>
      </c>
      <c r="B22" s="73">
        <f>B4</f>
        <v>352</v>
      </c>
      <c r="C22" s="78">
        <v>0</v>
      </c>
      <c r="D22" s="22">
        <f>B22*C22</f>
        <v>0</v>
      </c>
      <c r="E22" s="73">
        <f>B22</f>
        <v>352</v>
      </c>
      <c r="F22" s="78">
        <v>0</v>
      </c>
      <c r="G22" s="22">
        <f>E22*F22</f>
        <v>0</v>
      </c>
      <c r="H22" s="22">
        <f>G22-D22</f>
        <v>0</v>
      </c>
      <c r="I22" s="23" t="str">
        <f t="shared" si="9"/>
        <v>N/A</v>
      </c>
      <c r="J22" s="23">
        <f t="shared" si="5"/>
        <v>0</v>
      </c>
      <c r="K22" s="108">
        <f t="shared" si="4"/>
        <v>0</v>
      </c>
    </row>
    <row r="23" spans="1:11" x14ac:dyDescent="0.2">
      <c r="A23" s="107" t="s">
        <v>39</v>
      </c>
      <c r="B23" s="73">
        <f>IF($B$9="kWh",$B$4,$B$5)</f>
        <v>352</v>
      </c>
      <c r="C23" s="78">
        <f>VLOOKUP($B$3,'Data for Bill Impacts'!$A$6:$Y$18,10,0)</f>
        <v>6.3500000000000001E-2</v>
      </c>
      <c r="D23" s="22">
        <f>B23*C23</f>
        <v>22.352</v>
      </c>
      <c r="E23" s="73">
        <f t="shared" si="6"/>
        <v>352</v>
      </c>
      <c r="F23" s="78">
        <f>VLOOKUP($B$3,'Data for Bill Impacts'!$A$6:$Y$18,19,0)</f>
        <v>6.0100000000000001E-2</v>
      </c>
      <c r="G23" s="22">
        <f>E23*F23</f>
        <v>21.155200000000001</v>
      </c>
      <c r="H23" s="22">
        <f t="shared" si="2"/>
        <v>-1.1967999999999996</v>
      </c>
      <c r="I23" s="23">
        <f t="shared" si="9"/>
        <v>-5.3543307086614159E-2</v>
      </c>
      <c r="J23" s="23">
        <f t="shared" si="5"/>
        <v>0.19304851666990033</v>
      </c>
      <c r="K23" s="108">
        <f t="shared" si="4"/>
        <v>0.18847292834158849</v>
      </c>
    </row>
    <row r="24" spans="1:11" x14ac:dyDescent="0.2">
      <c r="A24" s="107" t="s">
        <v>124</v>
      </c>
      <c r="B24" s="73">
        <f>IF($B$9="kWh",$B$4,$B$5)</f>
        <v>352</v>
      </c>
      <c r="C24" s="78">
        <f>VLOOKUP($B$3,'Data for Bill Impacts'!$A$6:$Y$18,14,0)</f>
        <v>2.9999999999999997E-4</v>
      </c>
      <c r="D24" s="22">
        <f>B24*C24</f>
        <v>0.10559999999999999</v>
      </c>
      <c r="E24" s="73">
        <f>B24</f>
        <v>352</v>
      </c>
      <c r="F24" s="125">
        <f>VLOOKUP($B$3,'Data for Bill Impacts'!$A$6:$Y$18,23,0)</f>
        <v>1.0000000000000003E-5</v>
      </c>
      <c r="G24" s="22">
        <f>E24*F24</f>
        <v>3.520000000000001E-3</v>
      </c>
      <c r="H24" s="22">
        <f>G24-D24</f>
        <v>-0.10207999999999999</v>
      </c>
      <c r="I24" s="23">
        <f t="shared" si="9"/>
        <v>-0.96666666666666667</v>
      </c>
      <c r="J24" s="23">
        <f t="shared" si="5"/>
        <v>3.2121217415956806E-5</v>
      </c>
      <c r="K24" s="108">
        <f t="shared" si="4"/>
        <v>3.1359888243192766E-5</v>
      </c>
    </row>
    <row r="25" spans="1:11" s="1" customFormat="1" x14ac:dyDescent="0.2">
      <c r="A25" s="110" t="s">
        <v>72</v>
      </c>
      <c r="B25" s="74"/>
      <c r="C25" s="35"/>
      <c r="D25" s="35">
        <f>SUM(D19:D24)</f>
        <v>59.577600000000011</v>
      </c>
      <c r="E25" s="73"/>
      <c r="F25" s="35"/>
      <c r="G25" s="35">
        <f>SUM(G19:G24)</f>
        <v>61.676720000000003</v>
      </c>
      <c r="H25" s="35">
        <f t="shared" si="2"/>
        <v>2.0991199999999921</v>
      </c>
      <c r="I25" s="36">
        <f t="shared" si="9"/>
        <v>3.5233376302502818E-2</v>
      </c>
      <c r="J25" s="36">
        <f t="shared" si="5"/>
        <v>0.5628214013133781</v>
      </c>
      <c r="K25" s="111">
        <f t="shared" si="4"/>
        <v>0.54948154727462828</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7.2090232268766678E-3</v>
      </c>
      <c r="K26" s="108">
        <f t="shared" si="4"/>
        <v>7.0381567363983748E-3</v>
      </c>
    </row>
    <row r="27" spans="1:11" s="1" customFormat="1" x14ac:dyDescent="0.2">
      <c r="A27" s="119" t="s">
        <v>75</v>
      </c>
      <c r="B27" s="120">
        <f>B8-B4</f>
        <v>36.608000000000061</v>
      </c>
      <c r="C27" s="176">
        <f>IF(B4&gt;B7,C13,C12)</f>
        <v>9.0999999999999998E-2</v>
      </c>
      <c r="D27" s="22">
        <f>B27*C27</f>
        <v>3.3313280000000054</v>
      </c>
      <c r="E27" s="73">
        <f>B27</f>
        <v>36.608000000000061</v>
      </c>
      <c r="F27" s="176">
        <f>C27</f>
        <v>9.0999999999999998E-2</v>
      </c>
      <c r="G27" s="22">
        <f>E27*F27</f>
        <v>3.3313280000000054</v>
      </c>
      <c r="H27" s="22">
        <f t="shared" si="2"/>
        <v>0</v>
      </c>
      <c r="I27" s="23">
        <f t="shared" si="9"/>
        <v>0</v>
      </c>
      <c r="J27" s="23">
        <f t="shared" ref="J27:J46" si="10">G27/$G$46</f>
        <v>3.0399520162461561E-2</v>
      </c>
      <c r="K27" s="108">
        <f t="shared" ref="K27:K41" si="11">G27/$G$51</f>
        <v>2.9678998233357675E-2</v>
      </c>
    </row>
    <row r="28" spans="1:11" s="1" customFormat="1" x14ac:dyDescent="0.2">
      <c r="A28" s="119" t="s">
        <v>74</v>
      </c>
      <c r="B28" s="120">
        <f>B8-B4</f>
        <v>36.608000000000061</v>
      </c>
      <c r="C28" s="176">
        <f>0.65*C15+0.17*C16+0.18*C17</f>
        <v>9.7519999999999996E-2</v>
      </c>
      <c r="D28" s="22">
        <f>B28*C28</f>
        <v>3.5700121600000059</v>
      </c>
      <c r="E28" s="73">
        <f>B28</f>
        <v>36.608000000000061</v>
      </c>
      <c r="F28" s="176">
        <f>C28</f>
        <v>9.7519999999999996E-2</v>
      </c>
      <c r="G28" s="22">
        <f>E28*F28</f>
        <v>3.5700121600000059</v>
      </c>
      <c r="H28" s="22">
        <f t="shared" si="2"/>
        <v>0</v>
      </c>
      <c r="I28" s="23">
        <f t="shared" si="9"/>
        <v>0</v>
      </c>
      <c r="J28" s="23">
        <f t="shared" si="10"/>
        <v>3.2577595673002765E-2</v>
      </c>
      <c r="K28" s="108">
        <f t="shared" si="11"/>
        <v>3.1805449535352096E-2</v>
      </c>
    </row>
    <row r="29" spans="1:11" s="1" customFormat="1" x14ac:dyDescent="0.2">
      <c r="A29" s="110" t="s">
        <v>78</v>
      </c>
      <c r="B29" s="74"/>
      <c r="C29" s="35"/>
      <c r="D29" s="35">
        <f>SUM(D25,D26:D27)</f>
        <v>63.698928000000016</v>
      </c>
      <c r="E29" s="73"/>
      <c r="F29" s="35"/>
      <c r="G29" s="35">
        <f>SUM(G25,G26:G27)</f>
        <v>65.798048000000009</v>
      </c>
      <c r="H29" s="35">
        <f t="shared" si="2"/>
        <v>2.0991199999999921</v>
      </c>
      <c r="I29" s="36">
        <f t="shared" si="9"/>
        <v>3.2953772785626653E-2</v>
      </c>
      <c r="J29" s="36">
        <f t="shared" si="10"/>
        <v>0.60042994470271627</v>
      </c>
      <c r="K29" s="111">
        <f t="shared" si="11"/>
        <v>0.58619870224438442</v>
      </c>
    </row>
    <row r="30" spans="1:11" s="1" customFormat="1" x14ac:dyDescent="0.2">
      <c r="A30" s="110" t="s">
        <v>77</v>
      </c>
      <c r="B30" s="74"/>
      <c r="C30" s="35"/>
      <c r="D30" s="35">
        <f>SUM(D25,D26,D28)</f>
        <v>63.937612160000015</v>
      </c>
      <c r="E30" s="73"/>
      <c r="F30" s="35"/>
      <c r="G30" s="35">
        <f>SUM(G25,G26,G28)</f>
        <v>66.036732160000014</v>
      </c>
      <c r="H30" s="35">
        <f t="shared" si="2"/>
        <v>2.0991199999999992</v>
      </c>
      <c r="I30" s="36">
        <f t="shared" si="9"/>
        <v>3.2830753747060154E-2</v>
      </c>
      <c r="J30" s="36">
        <f t="shared" si="10"/>
        <v>0.60260802021325754</v>
      </c>
      <c r="K30" s="111">
        <f t="shared" si="11"/>
        <v>0.58832515354637882</v>
      </c>
    </row>
    <row r="31" spans="1:11" x14ac:dyDescent="0.2">
      <c r="A31" s="107" t="s">
        <v>40</v>
      </c>
      <c r="B31" s="73">
        <f>B8</f>
        <v>388.60800000000006</v>
      </c>
      <c r="C31" s="78">
        <f>VLOOKUP($B$3,'Data for Bill Impacts'!$A$6:$Y$18,15,0)</f>
        <v>5.1000000000000004E-3</v>
      </c>
      <c r="D31" s="22">
        <f>B31*C31</f>
        <v>1.9819008000000005</v>
      </c>
      <c r="E31" s="73">
        <f t="shared" si="6"/>
        <v>388.60800000000006</v>
      </c>
      <c r="F31" s="125">
        <f>VLOOKUP($B$3,'Data for Bill Impacts'!$A$6:$Y$18,24,0)</f>
        <v>5.6559999999999996E-3</v>
      </c>
      <c r="G31" s="22">
        <f>E31*F31</f>
        <v>2.1979668480000001</v>
      </c>
      <c r="H31" s="22">
        <f t="shared" si="2"/>
        <v>0.21606604799999962</v>
      </c>
      <c r="I31" s="23">
        <f t="shared" si="9"/>
        <v>0.10901960784313704</v>
      </c>
      <c r="J31" s="23">
        <f t="shared" si="10"/>
        <v>2.0057207669793541E-2</v>
      </c>
      <c r="K31" s="108">
        <f t="shared" si="11"/>
        <v>1.9581816680546205E-2</v>
      </c>
    </row>
    <row r="32" spans="1:11" x14ac:dyDescent="0.2">
      <c r="A32" s="107" t="s">
        <v>41</v>
      </c>
      <c r="B32" s="73">
        <f>B8</f>
        <v>388.60800000000006</v>
      </c>
      <c r="C32" s="78">
        <f>VLOOKUP($B$3,'Data for Bill Impacts'!$A$6:$Y$18,16,0)</f>
        <v>4.1999999999999997E-3</v>
      </c>
      <c r="D32" s="22">
        <f>B32*C32</f>
        <v>1.6321536000000001</v>
      </c>
      <c r="E32" s="73">
        <f t="shared" si="6"/>
        <v>388.60800000000006</v>
      </c>
      <c r="F32" s="125">
        <f>VLOOKUP($B$3,'Data for Bill Impacts'!$A$6:$Y$18,25,0)</f>
        <v>4.8209999999999998E-3</v>
      </c>
      <c r="G32" s="22">
        <f>E32*F32</f>
        <v>1.8734791680000003</v>
      </c>
      <c r="H32" s="22">
        <f t="shared" si="2"/>
        <v>0.24132556800000016</v>
      </c>
      <c r="I32" s="23">
        <f t="shared" si="9"/>
        <v>0.14785714285714294</v>
      </c>
      <c r="J32" s="23">
        <f t="shared" si="10"/>
        <v>1.7096145363520981E-2</v>
      </c>
      <c r="K32" s="108">
        <f t="shared" si="11"/>
        <v>1.6690936742735727E-2</v>
      </c>
    </row>
    <row r="33" spans="1:11" s="1" customFormat="1" x14ac:dyDescent="0.2">
      <c r="A33" s="110" t="s">
        <v>76</v>
      </c>
      <c r="B33" s="74"/>
      <c r="C33" s="35"/>
      <c r="D33" s="35">
        <f>SUM(D31:D32)</f>
        <v>3.6140544000000006</v>
      </c>
      <c r="E33" s="73"/>
      <c r="F33" s="35"/>
      <c r="G33" s="35">
        <f>SUM(G31:G32)</f>
        <v>4.0714460160000003</v>
      </c>
      <c r="H33" s="35">
        <f t="shared" si="2"/>
        <v>0.45739161599999978</v>
      </c>
      <c r="I33" s="36">
        <f t="shared" si="9"/>
        <v>0.12655913978494615</v>
      </c>
      <c r="J33" s="36">
        <f t="shared" si="10"/>
        <v>3.7153353033314525E-2</v>
      </c>
      <c r="K33" s="111">
        <f t="shared" si="11"/>
        <v>3.6272753423281935E-2</v>
      </c>
    </row>
    <row r="34" spans="1:11" s="1" customFormat="1" x14ac:dyDescent="0.2">
      <c r="A34" s="110" t="s">
        <v>91</v>
      </c>
      <c r="B34" s="74"/>
      <c r="C34" s="35"/>
      <c r="D34" s="35">
        <f>D29+D33</f>
        <v>67.31298240000001</v>
      </c>
      <c r="E34" s="73"/>
      <c r="F34" s="35"/>
      <c r="G34" s="35">
        <f>G29+G33</f>
        <v>69.869494016000004</v>
      </c>
      <c r="H34" s="35">
        <f t="shared" si="2"/>
        <v>2.5565116159999945</v>
      </c>
      <c r="I34" s="36">
        <f t="shared" si="9"/>
        <v>3.7979473273197208E-2</v>
      </c>
      <c r="J34" s="36">
        <f t="shared" si="10"/>
        <v>0.63758329773603084</v>
      </c>
      <c r="K34" s="111">
        <f t="shared" si="11"/>
        <v>0.62247145566766626</v>
      </c>
    </row>
    <row r="35" spans="1:11" s="1" customFormat="1" x14ac:dyDescent="0.2">
      <c r="A35" s="110" t="s">
        <v>92</v>
      </c>
      <c r="B35" s="74"/>
      <c r="C35" s="35"/>
      <c r="D35" s="35">
        <f>D30+D33</f>
        <v>67.551666560000015</v>
      </c>
      <c r="E35" s="73"/>
      <c r="F35" s="35"/>
      <c r="G35" s="35">
        <f>G30+G33</f>
        <v>70.10817817600001</v>
      </c>
      <c r="H35" s="35">
        <f t="shared" si="2"/>
        <v>2.5565116159999945</v>
      </c>
      <c r="I35" s="36">
        <f t="shared" si="9"/>
        <v>3.7845278232022259E-2</v>
      </c>
      <c r="J35" s="36">
        <f t="shared" si="10"/>
        <v>0.63976137324657201</v>
      </c>
      <c r="K35" s="111">
        <f t="shared" si="11"/>
        <v>0.62459790696966078</v>
      </c>
    </row>
    <row r="36" spans="1:11" x14ac:dyDescent="0.2">
      <c r="A36" s="107" t="s">
        <v>42</v>
      </c>
      <c r="B36" s="73">
        <f>B8</f>
        <v>388.60800000000006</v>
      </c>
      <c r="C36" s="34">
        <v>3.5999999999999999E-3</v>
      </c>
      <c r="D36" s="22">
        <f>B36*C36</f>
        <v>1.3989888000000001</v>
      </c>
      <c r="E36" s="73">
        <f t="shared" si="6"/>
        <v>388.60800000000006</v>
      </c>
      <c r="F36" s="34">
        <v>3.5999999999999999E-3</v>
      </c>
      <c r="G36" s="22">
        <f>E36*F36</f>
        <v>1.3989888000000001</v>
      </c>
      <c r="H36" s="22">
        <f t="shared" si="2"/>
        <v>0</v>
      </c>
      <c r="I36" s="23">
        <f t="shared" si="9"/>
        <v>0</v>
      </c>
      <c r="J36" s="23">
        <f t="shared" si="10"/>
        <v>1.276625664979787E-2</v>
      </c>
      <c r="K36" s="108">
        <f t="shared" si="11"/>
        <v>1.2463673983374531E-2</v>
      </c>
    </row>
    <row r="37" spans="1:11" x14ac:dyDescent="0.2">
      <c r="A37" s="107" t="s">
        <v>43</v>
      </c>
      <c r="B37" s="73">
        <f>B8</f>
        <v>388.60800000000006</v>
      </c>
      <c r="C37" s="34">
        <v>2.0999999999999999E-3</v>
      </c>
      <c r="D37" s="22">
        <f>B37*C37</f>
        <v>0.81607680000000005</v>
      </c>
      <c r="E37" s="73">
        <f t="shared" si="6"/>
        <v>388.60800000000006</v>
      </c>
      <c r="F37" s="34">
        <v>2.0999999999999999E-3</v>
      </c>
      <c r="G37" s="22">
        <f>E37*F37</f>
        <v>0.81607680000000005</v>
      </c>
      <c r="H37" s="22">
        <f>G37-D37</f>
        <v>0</v>
      </c>
      <c r="I37" s="23">
        <f t="shared" si="9"/>
        <v>0</v>
      </c>
      <c r="J37" s="23">
        <f t="shared" si="10"/>
        <v>7.4469830457154235E-3</v>
      </c>
      <c r="K37" s="108">
        <f t="shared" si="11"/>
        <v>7.2704764903018092E-3</v>
      </c>
    </row>
    <row r="38" spans="1:11" x14ac:dyDescent="0.2">
      <c r="A38" s="107" t="s">
        <v>96</v>
      </c>
      <c r="B38" s="73">
        <f>B8</f>
        <v>388.60800000000006</v>
      </c>
      <c r="C38" s="34">
        <v>0</v>
      </c>
      <c r="D38" s="22">
        <f>B38*C38</f>
        <v>0</v>
      </c>
      <c r="E38" s="73">
        <f t="shared" si="6"/>
        <v>388.60800000000006</v>
      </c>
      <c r="F38" s="34">
        <v>0</v>
      </c>
      <c r="G38" s="22">
        <f>E38*F38</f>
        <v>0</v>
      </c>
      <c r="H38" s="22">
        <f>G38-D38</f>
        <v>0</v>
      </c>
      <c r="I38" s="23" t="str">
        <f t="shared" si="9"/>
        <v>N/A</v>
      </c>
      <c r="J38" s="23">
        <f t="shared" si="10"/>
        <v>0</v>
      </c>
      <c r="K38" s="108">
        <f t="shared" si="11"/>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2.2813364642014769E-3</v>
      </c>
      <c r="K39" s="108">
        <f t="shared" si="11"/>
        <v>2.2272647899994856E-3</v>
      </c>
    </row>
    <row r="40" spans="1:11" s="1" customFormat="1" x14ac:dyDescent="0.2">
      <c r="A40" s="110" t="s">
        <v>45</v>
      </c>
      <c r="B40" s="74"/>
      <c r="C40" s="35"/>
      <c r="D40" s="35">
        <f>SUM(D36:D39)</f>
        <v>2.4650656</v>
      </c>
      <c r="E40" s="73"/>
      <c r="F40" s="35"/>
      <c r="G40" s="35">
        <f>SUM(G36:G39)</f>
        <v>2.4650656</v>
      </c>
      <c r="H40" s="35">
        <f t="shared" si="2"/>
        <v>0</v>
      </c>
      <c r="I40" s="36">
        <f t="shared" si="9"/>
        <v>0</v>
      </c>
      <c r="J40" s="36">
        <f t="shared" si="10"/>
        <v>2.2494576159714768E-2</v>
      </c>
      <c r="K40" s="111">
        <f t="shared" si="11"/>
        <v>2.1961415263675822E-2</v>
      </c>
    </row>
    <row r="41" spans="1:11" s="1" customFormat="1" ht="13.5" thickBot="1" x14ac:dyDescent="0.25">
      <c r="A41" s="112" t="s">
        <v>46</v>
      </c>
      <c r="B41" s="113">
        <f>B4</f>
        <v>352</v>
      </c>
      <c r="C41" s="114">
        <v>0</v>
      </c>
      <c r="D41" s="115">
        <f>B41*C41</f>
        <v>0</v>
      </c>
      <c r="E41" s="116">
        <f t="shared" si="6"/>
        <v>352</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101.81004800000001</v>
      </c>
      <c r="E42" s="38"/>
      <c r="F42" s="39"/>
      <c r="G42" s="39">
        <f>SUM(G14,G25,G26,G27,G33,G40,G41)</f>
        <v>104.366559616</v>
      </c>
      <c r="H42" s="39">
        <f t="shared" si="2"/>
        <v>2.5565116159999945</v>
      </c>
      <c r="I42" s="40">
        <f t="shared" si="9"/>
        <v>2.511060220696482E-2</v>
      </c>
      <c r="J42" s="40">
        <f t="shared" si="10"/>
        <v>0.95238095238095244</v>
      </c>
      <c r="K42" s="41"/>
    </row>
    <row r="43" spans="1:11" x14ac:dyDescent="0.2">
      <c r="A43" s="153" t="s">
        <v>106</v>
      </c>
      <c r="B43" s="43"/>
      <c r="C43" s="26">
        <v>0.13</v>
      </c>
      <c r="D43" s="26">
        <f>D42*C43</f>
        <v>13.235306240000002</v>
      </c>
      <c r="E43" s="26"/>
      <c r="F43" s="26">
        <f>C43</f>
        <v>0.13</v>
      </c>
      <c r="G43" s="26">
        <f>G42*F43</f>
        <v>13.567652750080001</v>
      </c>
      <c r="H43" s="26">
        <f t="shared" si="2"/>
        <v>0.33234651007999894</v>
      </c>
      <c r="I43" s="44">
        <f t="shared" si="9"/>
        <v>2.5110602206964792E-2</v>
      </c>
      <c r="J43" s="44">
        <f t="shared" si="10"/>
        <v>0.12380952380952381</v>
      </c>
      <c r="K43" s="45"/>
    </row>
    <row r="44" spans="1:11" s="1" customFormat="1" x14ac:dyDescent="0.2">
      <c r="A44" s="46" t="s">
        <v>107</v>
      </c>
      <c r="B44" s="24"/>
      <c r="C44" s="25"/>
      <c r="D44" s="25">
        <f>SUM(D42:D43)</f>
        <v>115.04535424000001</v>
      </c>
      <c r="E44" s="25"/>
      <c r="F44" s="25"/>
      <c r="G44" s="25">
        <f>SUM(G42:G43)</f>
        <v>117.93421236608</v>
      </c>
      <c r="H44" s="25">
        <f t="shared" si="2"/>
        <v>2.8888581260799953</v>
      </c>
      <c r="I44" s="27">
        <f t="shared" si="9"/>
        <v>2.5110602206964833E-2</v>
      </c>
      <c r="J44" s="27">
        <f t="shared" si="10"/>
        <v>1.0761904761904761</v>
      </c>
      <c r="K44" s="47"/>
    </row>
    <row r="45" spans="1:11" x14ac:dyDescent="0.2">
      <c r="A45" s="42" t="s">
        <v>108</v>
      </c>
      <c r="B45" s="43"/>
      <c r="C45" s="26">
        <v>-0.08</v>
      </c>
      <c r="D45" s="26">
        <f>D42*C45</f>
        <v>-8.1448038400000016</v>
      </c>
      <c r="E45" s="26"/>
      <c r="F45" s="26">
        <f>C45</f>
        <v>-0.08</v>
      </c>
      <c r="G45" s="26">
        <f>G42*F45</f>
        <v>-8.3493247692800008</v>
      </c>
      <c r="H45" s="26">
        <f t="shared" si="2"/>
        <v>-0.20452092927999921</v>
      </c>
      <c r="I45" s="44">
        <f t="shared" si="9"/>
        <v>-2.5110602206964774E-2</v>
      </c>
      <c r="J45" s="44">
        <f t="shared" si="10"/>
        <v>-7.6190476190476197E-2</v>
      </c>
      <c r="K45" s="45"/>
    </row>
    <row r="46" spans="1:11" s="1" customFormat="1" ht="13.5" thickBot="1" x14ac:dyDescent="0.25">
      <c r="A46" s="48" t="s">
        <v>109</v>
      </c>
      <c r="B46" s="49"/>
      <c r="C46" s="50"/>
      <c r="D46" s="50">
        <f>SUM(D44:D45)</f>
        <v>106.90055040000001</v>
      </c>
      <c r="E46" s="50"/>
      <c r="F46" s="50"/>
      <c r="G46" s="50">
        <f>SUM(G44:G45)</f>
        <v>109.5848875968</v>
      </c>
      <c r="H46" s="50">
        <f t="shared" si="2"/>
        <v>2.6843371967999872</v>
      </c>
      <c r="I46" s="51">
        <f t="shared" si="9"/>
        <v>2.5110602206964754E-2</v>
      </c>
      <c r="J46" s="51">
        <f t="shared" si="10"/>
        <v>1</v>
      </c>
      <c r="K46" s="52"/>
    </row>
    <row r="47" spans="1:11" x14ac:dyDescent="0.2">
      <c r="A47" s="53" t="s">
        <v>110</v>
      </c>
      <c r="B47" s="54"/>
      <c r="C47" s="55"/>
      <c r="D47" s="55">
        <f>SUM(D18,D25,D26,D28,D33,D40,D41)</f>
        <v>104.34377216000001</v>
      </c>
      <c r="E47" s="55"/>
      <c r="F47" s="55"/>
      <c r="G47" s="55">
        <f>SUM(G18,G25,G26,G28,G33,G40,G41)</f>
        <v>106.90028377600001</v>
      </c>
      <c r="H47" s="55">
        <f>G47-D47</f>
        <v>2.5565116159999945</v>
      </c>
      <c r="I47" s="56">
        <f t="shared" si="9"/>
        <v>2.4500854848144241E-2</v>
      </c>
      <c r="J47" s="56"/>
      <c r="K47" s="57">
        <f>G47/$G$51</f>
        <v>0.95238095238095233</v>
      </c>
    </row>
    <row r="48" spans="1:11" x14ac:dyDescent="0.2">
      <c r="A48" s="58" t="s">
        <v>106</v>
      </c>
      <c r="B48" s="59"/>
      <c r="C48" s="31">
        <v>0.13</v>
      </c>
      <c r="D48" s="31">
        <f>D47*C48</f>
        <v>13.564690380800002</v>
      </c>
      <c r="E48" s="31"/>
      <c r="F48" s="31">
        <f>C48</f>
        <v>0.13</v>
      </c>
      <c r="G48" s="31">
        <f>G47*F48</f>
        <v>13.897036890880001</v>
      </c>
      <c r="H48" s="31">
        <f>G48-D48</f>
        <v>0.33234651007999894</v>
      </c>
      <c r="I48" s="32">
        <f t="shared" si="9"/>
        <v>2.4500854848144217E-2</v>
      </c>
      <c r="J48" s="32"/>
      <c r="K48" s="60">
        <f>G48/$G$51</f>
        <v>0.1238095238095238</v>
      </c>
    </row>
    <row r="49" spans="1:11" x14ac:dyDescent="0.2">
      <c r="A49" s="61" t="s">
        <v>111</v>
      </c>
      <c r="B49" s="29"/>
      <c r="C49" s="30"/>
      <c r="D49" s="30">
        <f>SUM(D47:D48)</f>
        <v>117.90846254080002</v>
      </c>
      <c r="E49" s="30"/>
      <c r="F49" s="30"/>
      <c r="G49" s="30">
        <f>SUM(G47:G48)</f>
        <v>120.79732066688001</v>
      </c>
      <c r="H49" s="30">
        <f>G49-D49</f>
        <v>2.8888581260799953</v>
      </c>
      <c r="I49" s="33">
        <f t="shared" si="9"/>
        <v>2.4500854848144255E-2</v>
      </c>
      <c r="J49" s="33"/>
      <c r="K49" s="62">
        <f>G49/$G$51</f>
        <v>1.0761904761904761</v>
      </c>
    </row>
    <row r="50" spans="1:11" x14ac:dyDescent="0.2">
      <c r="A50" s="58" t="s">
        <v>108</v>
      </c>
      <c r="B50" s="59"/>
      <c r="C50" s="31">
        <v>-0.08</v>
      </c>
      <c r="D50" s="31">
        <f>D47*C50</f>
        <v>-8.3475017728000012</v>
      </c>
      <c r="E50" s="31"/>
      <c r="F50" s="31">
        <f>C50</f>
        <v>-0.08</v>
      </c>
      <c r="G50" s="31">
        <f>G47*F50</f>
        <v>-8.5520227020800004</v>
      </c>
      <c r="H50" s="31">
        <f>G50-D50</f>
        <v>-0.20452092927999921</v>
      </c>
      <c r="I50" s="32">
        <f t="shared" si="9"/>
        <v>-2.45008548481442E-2</v>
      </c>
      <c r="J50" s="32"/>
      <c r="K50" s="60">
        <f>G50/$G$51</f>
        <v>-7.6190476190476183E-2</v>
      </c>
    </row>
    <row r="51" spans="1:11" ht="13.5" thickBot="1" x14ac:dyDescent="0.25">
      <c r="A51" s="63" t="s">
        <v>121</v>
      </c>
      <c r="B51" s="64"/>
      <c r="C51" s="65"/>
      <c r="D51" s="65">
        <f>SUM(D49:D50)</f>
        <v>109.56096076800002</v>
      </c>
      <c r="E51" s="65"/>
      <c r="F51" s="65"/>
      <c r="G51" s="65">
        <f>SUM(G49:G50)</f>
        <v>112.24529796480002</v>
      </c>
      <c r="H51" s="65">
        <f>G51-D51</f>
        <v>2.6843371968000014</v>
      </c>
      <c r="I51" s="66">
        <f t="shared" si="9"/>
        <v>2.4500854848144307E-2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1" tint="0.499984740745262"/>
    <pageSetUpPr fitToPage="1"/>
  </sheetPr>
  <dimension ref="A1:K68"/>
  <sheetViews>
    <sheetView tabSelected="1" view="pageLayout" topLeftCell="A2"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101</v>
      </c>
      <c r="B1" s="191"/>
      <c r="C1" s="191"/>
      <c r="D1" s="191"/>
      <c r="E1" s="191"/>
      <c r="F1" s="191"/>
      <c r="G1" s="191"/>
      <c r="H1" s="191"/>
      <c r="I1" s="191"/>
      <c r="J1" s="191"/>
      <c r="K1" s="192"/>
    </row>
    <row r="3" spans="1:11" x14ac:dyDescent="0.2">
      <c r="A3" s="13" t="s">
        <v>13</v>
      </c>
      <c r="B3" s="13" t="s">
        <v>3</v>
      </c>
    </row>
    <row r="4" spans="1:11" x14ac:dyDescent="0.2">
      <c r="A4" s="15" t="s">
        <v>62</v>
      </c>
      <c r="B4" s="15">
        <v>1000</v>
      </c>
    </row>
    <row r="5" spans="1:11" x14ac:dyDescent="0.2">
      <c r="A5" s="15" t="s">
        <v>16</v>
      </c>
      <c r="B5" s="15">
        <f>VLOOKUP($B$3,'Data for Bill Impacts'!$A$6:$Y$18,5,0)</f>
        <v>0</v>
      </c>
    </row>
    <row r="6" spans="1:11" x14ac:dyDescent="0.2">
      <c r="A6" s="15" t="s">
        <v>20</v>
      </c>
      <c r="B6" s="15">
        <f>VLOOKUP($B$3,'Data for Bill Impacts'!$A$6:$Y$18,2,0)</f>
        <v>1.1040000000000001</v>
      </c>
    </row>
    <row r="7" spans="1:11" x14ac:dyDescent="0.2">
      <c r="A7" s="15" t="s">
        <v>15</v>
      </c>
      <c r="B7" s="15">
        <f>VLOOKUP($B$3,'Data for Bill Impacts'!$A$6:$Y$18,4,0)</f>
        <v>600</v>
      </c>
    </row>
    <row r="8" spans="1:11" x14ac:dyDescent="0.2">
      <c r="A8" s="15" t="s">
        <v>82</v>
      </c>
      <c r="B8" s="168">
        <f>B4*B6</f>
        <v>1104</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0.22851979013023735</v>
      </c>
      <c r="K12" s="106"/>
    </row>
    <row r="13" spans="1:11" x14ac:dyDescent="0.2">
      <c r="A13" s="107" t="s">
        <v>32</v>
      </c>
      <c r="B13" s="73">
        <f>IF(B4&gt;B7,(B4)-B7,0)</f>
        <v>400</v>
      </c>
      <c r="C13" s="21">
        <v>0.106</v>
      </c>
      <c r="D13" s="22">
        <f>B13*C13</f>
        <v>42.4</v>
      </c>
      <c r="E13" s="73">
        <f t="shared" ref="E13:F17" si="1">B13</f>
        <v>400</v>
      </c>
      <c r="F13" s="21">
        <f t="shared" si="1"/>
        <v>0.106</v>
      </c>
      <c r="G13" s="22">
        <f>E13*F13</f>
        <v>42.4</v>
      </c>
      <c r="H13" s="22">
        <f t="shared" ref="H13:H46" si="2">G13-D13</f>
        <v>0</v>
      </c>
      <c r="I13" s="23">
        <f t="shared" si="0"/>
        <v>0</v>
      </c>
      <c r="J13" s="23">
        <f>G13/$G$46</f>
        <v>0.1774585916029682</v>
      </c>
      <c r="K13" s="108"/>
    </row>
    <row r="14" spans="1:11" s="1" customFormat="1" x14ac:dyDescent="0.2">
      <c r="A14" s="46" t="s">
        <v>33</v>
      </c>
      <c r="B14" s="24"/>
      <c r="C14" s="25"/>
      <c r="D14" s="25">
        <f>SUM(D12:D13)</f>
        <v>97</v>
      </c>
      <c r="E14" s="76"/>
      <c r="F14" s="25"/>
      <c r="G14" s="25">
        <f>SUM(G12:G13)</f>
        <v>97</v>
      </c>
      <c r="H14" s="25">
        <f t="shared" si="2"/>
        <v>0</v>
      </c>
      <c r="I14" s="27">
        <f t="shared" si="0"/>
        <v>0</v>
      </c>
      <c r="J14" s="27">
        <f>G14/$G$46</f>
        <v>0.40597838173320555</v>
      </c>
      <c r="K14" s="108"/>
    </row>
    <row r="15" spans="1:11" s="1" customFormat="1" x14ac:dyDescent="0.2">
      <c r="A15" s="109" t="s">
        <v>34</v>
      </c>
      <c r="B15" s="75">
        <f>B4*0.65</f>
        <v>650</v>
      </c>
      <c r="C15" s="28">
        <v>7.6999999999999999E-2</v>
      </c>
      <c r="D15" s="22">
        <f>B15*C15</f>
        <v>50.05</v>
      </c>
      <c r="E15" s="73">
        <f t="shared" ref="E15:E17" si="3">B15</f>
        <v>650</v>
      </c>
      <c r="F15" s="28">
        <f t="shared" si="1"/>
        <v>7.6999999999999999E-2</v>
      </c>
      <c r="G15" s="22">
        <f>E15*F15</f>
        <v>50.05</v>
      </c>
      <c r="H15" s="22">
        <f t="shared" si="2"/>
        <v>0</v>
      </c>
      <c r="I15" s="23">
        <f t="shared" si="0"/>
        <v>0</v>
      </c>
      <c r="J15" s="23"/>
      <c r="K15" s="108">
        <f t="shared" ref="K15:K26" si="4">G15/$G$51</f>
        <v>0.20981017689809078</v>
      </c>
    </row>
    <row r="16" spans="1:11" s="1" customFormat="1" x14ac:dyDescent="0.2">
      <c r="A16" s="109" t="s">
        <v>35</v>
      </c>
      <c r="B16" s="75">
        <f>B4*0.17</f>
        <v>170</v>
      </c>
      <c r="C16" s="28">
        <v>0.113</v>
      </c>
      <c r="D16" s="22">
        <f>B16*C16</f>
        <v>19.21</v>
      </c>
      <c r="E16" s="73">
        <f t="shared" si="3"/>
        <v>170</v>
      </c>
      <c r="F16" s="28">
        <f t="shared" si="1"/>
        <v>0.113</v>
      </c>
      <c r="G16" s="22">
        <f>E16*F16</f>
        <v>19.21</v>
      </c>
      <c r="H16" s="22">
        <f t="shared" si="2"/>
        <v>0</v>
      </c>
      <c r="I16" s="23">
        <f t="shared" si="0"/>
        <v>0</v>
      </c>
      <c r="J16" s="23"/>
      <c r="K16" s="108">
        <f t="shared" si="4"/>
        <v>8.052854142282366E-2</v>
      </c>
    </row>
    <row r="17" spans="1:11" s="1" customFormat="1" x14ac:dyDescent="0.2">
      <c r="A17" s="109" t="s">
        <v>36</v>
      </c>
      <c r="B17" s="75">
        <f>B4*0.18</f>
        <v>180</v>
      </c>
      <c r="C17" s="28">
        <v>0.157</v>
      </c>
      <c r="D17" s="22">
        <f>B17*C17</f>
        <v>28.26</v>
      </c>
      <c r="E17" s="73">
        <f t="shared" si="3"/>
        <v>180</v>
      </c>
      <c r="F17" s="28">
        <f t="shared" si="1"/>
        <v>0.157</v>
      </c>
      <c r="G17" s="22">
        <f>E17*F17</f>
        <v>28.26</v>
      </c>
      <c r="H17" s="22">
        <f t="shared" si="2"/>
        <v>0</v>
      </c>
      <c r="I17" s="23">
        <f t="shared" si="0"/>
        <v>0</v>
      </c>
      <c r="J17" s="23"/>
      <c r="K17" s="108">
        <f t="shared" si="4"/>
        <v>0.11846624573706385</v>
      </c>
    </row>
    <row r="18" spans="1:11" s="1" customFormat="1" x14ac:dyDescent="0.2">
      <c r="A18" s="61" t="s">
        <v>37</v>
      </c>
      <c r="B18" s="29"/>
      <c r="C18" s="30"/>
      <c r="D18" s="30">
        <f>SUM(D15:D17)</f>
        <v>97.52</v>
      </c>
      <c r="E18" s="77"/>
      <c r="F18" s="30"/>
      <c r="G18" s="30">
        <f>SUM(G15:G17)</f>
        <v>97.52</v>
      </c>
      <c r="H18" s="31">
        <f t="shared" si="2"/>
        <v>0</v>
      </c>
      <c r="I18" s="32">
        <f t="shared" si="0"/>
        <v>0</v>
      </c>
      <c r="J18" s="33">
        <f t="shared" ref="J18:J26" si="5">G18/$G$46</f>
        <v>0.40815476068682682</v>
      </c>
      <c r="K18" s="62">
        <f t="shared" si="4"/>
        <v>0.40880496405797828</v>
      </c>
    </row>
    <row r="19" spans="1:11" x14ac:dyDescent="0.2">
      <c r="A19" s="107" t="s">
        <v>38</v>
      </c>
      <c r="B19" s="73">
        <v>1</v>
      </c>
      <c r="C19" s="78">
        <f>VLOOKUP($B$3,'Data for Bill Impacts'!$A$6:$Y$18,7,0)</f>
        <v>36.28</v>
      </c>
      <c r="D19" s="22">
        <f>B19*C19</f>
        <v>36.28</v>
      </c>
      <c r="E19" s="73">
        <f t="shared" ref="E19:E41" si="6">B19</f>
        <v>1</v>
      </c>
      <c r="F19" s="78">
        <f>VLOOKUP($B$3,'Data for Bill Impacts'!$A$6:$Y$18,17,0)</f>
        <v>40.520000000000003</v>
      </c>
      <c r="G19" s="22">
        <f>E19*F19</f>
        <v>40.520000000000003</v>
      </c>
      <c r="H19" s="22">
        <f t="shared" si="2"/>
        <v>4.240000000000002</v>
      </c>
      <c r="I19" s="23">
        <f>IF(ISERROR(H19/ABS(D19)),"N/A",(H19/ABS(D19)))</f>
        <v>0.11686879823594272</v>
      </c>
      <c r="J19" s="23">
        <f t="shared" si="5"/>
        <v>0.16959014461679886</v>
      </c>
      <c r="K19" s="108">
        <f t="shared" si="4"/>
        <v>0.16986030705116162</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0.84</v>
      </c>
      <c r="D21" s="22">
        <f t="shared" si="7"/>
        <v>0.84</v>
      </c>
      <c r="E21" s="73">
        <f t="shared" si="6"/>
        <v>1</v>
      </c>
      <c r="F21" s="121">
        <f>VLOOKUP($B$3,'Data for Bill Impacts'!$A$6:$Y$18,22,0)</f>
        <v>-2E-3</v>
      </c>
      <c r="G21" s="22">
        <f t="shared" si="8"/>
        <v>-2E-3</v>
      </c>
      <c r="H21" s="22">
        <f t="shared" si="2"/>
        <v>-0.84199999999999997</v>
      </c>
      <c r="I21" s="23">
        <f t="shared" si="9"/>
        <v>-1.0023809523809524</v>
      </c>
      <c r="J21" s="23">
        <f t="shared" si="5"/>
        <v>-8.3706882831588772E-6</v>
      </c>
      <c r="K21" s="108">
        <f t="shared" si="4"/>
        <v>-8.3840230528707608E-6</v>
      </c>
    </row>
    <row r="22" spans="1:11" hidden="1" x14ac:dyDescent="0.2">
      <c r="A22" s="107" t="s">
        <v>123</v>
      </c>
      <c r="B22" s="73">
        <f>B4</f>
        <v>1000</v>
      </c>
      <c r="C22" s="78">
        <v>0</v>
      </c>
      <c r="D22" s="22">
        <f>B22*C22</f>
        <v>0</v>
      </c>
      <c r="E22" s="73">
        <f>B22</f>
        <v>1000</v>
      </c>
      <c r="F22" s="78">
        <v>0</v>
      </c>
      <c r="G22" s="22">
        <f>E22*F22</f>
        <v>0</v>
      </c>
      <c r="H22" s="22">
        <f>G22-D22</f>
        <v>0</v>
      </c>
      <c r="I22" s="23" t="str">
        <f t="shared" si="9"/>
        <v>N/A</v>
      </c>
      <c r="J22" s="23">
        <f t="shared" si="5"/>
        <v>0</v>
      </c>
      <c r="K22" s="108">
        <f t="shared" si="4"/>
        <v>0</v>
      </c>
    </row>
    <row r="23" spans="1:11" x14ac:dyDescent="0.2">
      <c r="A23" s="107" t="s">
        <v>39</v>
      </c>
      <c r="B23" s="73">
        <f>IF($B$9="kWh",$B$4,$B$5)</f>
        <v>1000</v>
      </c>
      <c r="C23" s="78">
        <f>VLOOKUP($B$3,'Data for Bill Impacts'!$A$6:$Y$18,10,0)</f>
        <v>6.3500000000000001E-2</v>
      </c>
      <c r="D23" s="22">
        <f>B23*C23</f>
        <v>63.5</v>
      </c>
      <c r="E23" s="73">
        <f t="shared" si="6"/>
        <v>1000</v>
      </c>
      <c r="F23" s="78">
        <f>VLOOKUP($B$3,'Data for Bill Impacts'!$A$6:$Y$18,19,0)</f>
        <v>6.0100000000000001E-2</v>
      </c>
      <c r="G23" s="22">
        <f>E23*F23</f>
        <v>60.1</v>
      </c>
      <c r="H23" s="22">
        <f t="shared" si="2"/>
        <v>-3.3999999999999986</v>
      </c>
      <c r="I23" s="23">
        <f t="shared" si="9"/>
        <v>-5.3543307086614152E-2</v>
      </c>
      <c r="J23" s="23">
        <f t="shared" si="5"/>
        <v>0.25153918290892424</v>
      </c>
      <c r="K23" s="108">
        <f t="shared" si="4"/>
        <v>0.25193989273876638</v>
      </c>
    </row>
    <row r="24" spans="1:11" x14ac:dyDescent="0.2">
      <c r="A24" s="107" t="s">
        <v>124</v>
      </c>
      <c r="B24" s="73">
        <f>IF($B$9="kWh",$B$4,$B$5)</f>
        <v>1000</v>
      </c>
      <c r="C24" s="78">
        <f>VLOOKUP($B$3,'Data for Bill Impacts'!$A$6:$Y$18,14,0)</f>
        <v>2.9999999999999997E-4</v>
      </c>
      <c r="D24" s="22">
        <f>B24*C24</f>
        <v>0.3</v>
      </c>
      <c r="E24" s="73">
        <f>B24</f>
        <v>1000</v>
      </c>
      <c r="F24" s="125">
        <f>VLOOKUP($B$3,'Data for Bill Impacts'!$A$6:$Y$18,23,0)</f>
        <v>1.0000000000000003E-5</v>
      </c>
      <c r="G24" s="22">
        <f>E24*F24</f>
        <v>1.0000000000000002E-2</v>
      </c>
      <c r="H24" s="22">
        <f>G24-D24</f>
        <v>-0.28999999999999998</v>
      </c>
      <c r="I24" s="23">
        <f t="shared" si="9"/>
        <v>-0.96666666666666667</v>
      </c>
      <c r="J24" s="23">
        <f t="shared" si="5"/>
        <v>4.1853441415794393E-5</v>
      </c>
      <c r="K24" s="108">
        <f t="shared" si="4"/>
        <v>4.1920115264353812E-5</v>
      </c>
    </row>
    <row r="25" spans="1:11" s="1" customFormat="1" x14ac:dyDescent="0.2">
      <c r="A25" s="110" t="s">
        <v>72</v>
      </c>
      <c r="B25" s="74"/>
      <c r="C25" s="35"/>
      <c r="D25" s="35">
        <f>SUM(D19:D24)</f>
        <v>100.92</v>
      </c>
      <c r="E25" s="73"/>
      <c r="F25" s="35"/>
      <c r="G25" s="35">
        <f>SUM(G19:G24)</f>
        <v>100.628</v>
      </c>
      <c r="H25" s="35">
        <f t="shared" si="2"/>
        <v>-0.29200000000000159</v>
      </c>
      <c r="I25" s="36">
        <f t="shared" si="9"/>
        <v>-2.8933808957590326E-3</v>
      </c>
      <c r="J25" s="36">
        <f t="shared" si="5"/>
        <v>0.42116281027885577</v>
      </c>
      <c r="K25" s="111">
        <f t="shared" si="4"/>
        <v>0.42183373588213946</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3.3064218718477567E-3</v>
      </c>
      <c r="K26" s="108">
        <f t="shared" si="4"/>
        <v>3.3116891058839505E-3</v>
      </c>
    </row>
    <row r="27" spans="1:11" s="1" customFormat="1" x14ac:dyDescent="0.2">
      <c r="A27" s="119" t="s">
        <v>75</v>
      </c>
      <c r="B27" s="120">
        <f>B8-B4</f>
        <v>104</v>
      </c>
      <c r="C27" s="176">
        <f>IF(B4&gt;B7,C13,C12)</f>
        <v>0.106</v>
      </c>
      <c r="D27" s="22">
        <f>B27*C27</f>
        <v>11.023999999999999</v>
      </c>
      <c r="E27" s="73">
        <f>B27</f>
        <v>104</v>
      </c>
      <c r="F27" s="176">
        <f>C27</f>
        <v>0.106</v>
      </c>
      <c r="G27" s="22">
        <f>E27*F27</f>
        <v>11.023999999999999</v>
      </c>
      <c r="H27" s="22">
        <f t="shared" si="2"/>
        <v>0</v>
      </c>
      <c r="I27" s="23">
        <f t="shared" si="9"/>
        <v>0</v>
      </c>
      <c r="J27" s="23">
        <f t="shared" ref="J27:J46" si="10">G27/$G$46</f>
        <v>4.6139233816771728E-2</v>
      </c>
      <c r="K27" s="108">
        <f t="shared" ref="K27:K41" si="11">G27/$G$51</f>
        <v>4.6212735067423627E-2</v>
      </c>
    </row>
    <row r="28" spans="1:11" s="1" customFormat="1" x14ac:dyDescent="0.2">
      <c r="A28" s="119" t="s">
        <v>74</v>
      </c>
      <c r="B28" s="120">
        <f>B8-B4</f>
        <v>104</v>
      </c>
      <c r="C28" s="176">
        <f>0.65*C15+0.17*C16+0.18*C17</f>
        <v>9.7519999999999996E-2</v>
      </c>
      <c r="D28" s="22">
        <f>B28*C28</f>
        <v>10.14208</v>
      </c>
      <c r="E28" s="73">
        <f>B28</f>
        <v>104</v>
      </c>
      <c r="F28" s="176">
        <f>C28</f>
        <v>9.7519999999999996E-2</v>
      </c>
      <c r="G28" s="22">
        <f>E28*F28</f>
        <v>10.14208</v>
      </c>
      <c r="H28" s="22">
        <f t="shared" si="2"/>
        <v>0</v>
      </c>
      <c r="I28" s="23">
        <f t="shared" si="9"/>
        <v>0</v>
      </c>
      <c r="J28" s="23">
        <f t="shared" si="10"/>
        <v>4.2448095111429995E-2</v>
      </c>
      <c r="K28" s="108">
        <f t="shared" si="11"/>
        <v>4.251571626202974E-2</v>
      </c>
    </row>
    <row r="29" spans="1:11" s="1" customFormat="1" x14ac:dyDescent="0.2">
      <c r="A29" s="110" t="s">
        <v>78</v>
      </c>
      <c r="B29" s="74"/>
      <c r="C29" s="35"/>
      <c r="D29" s="35">
        <f>SUM(D25,D26:D27)</f>
        <v>112.73400000000001</v>
      </c>
      <c r="E29" s="73"/>
      <c r="F29" s="35"/>
      <c r="G29" s="35">
        <f>SUM(G25,G26:G27)</f>
        <v>112.44200000000001</v>
      </c>
      <c r="H29" s="35">
        <f t="shared" si="2"/>
        <v>-0.29200000000000159</v>
      </c>
      <c r="I29" s="36">
        <f t="shared" si="9"/>
        <v>-2.5901680061028755E-3</v>
      </c>
      <c r="J29" s="36">
        <f t="shared" si="10"/>
        <v>0.47060846596747524</v>
      </c>
      <c r="K29" s="111">
        <f t="shared" si="11"/>
        <v>0.47135816005544706</v>
      </c>
    </row>
    <row r="30" spans="1:11" s="1" customFormat="1" x14ac:dyDescent="0.2">
      <c r="A30" s="110" t="s">
        <v>77</v>
      </c>
      <c r="B30" s="74"/>
      <c r="C30" s="35"/>
      <c r="D30" s="35">
        <f>SUM(D25,D26,D28)</f>
        <v>111.85208</v>
      </c>
      <c r="E30" s="73"/>
      <c r="F30" s="35"/>
      <c r="G30" s="35">
        <f>SUM(G25,G26,G28)</f>
        <v>111.56008</v>
      </c>
      <c r="H30" s="35">
        <f t="shared" si="2"/>
        <v>-0.29200000000000159</v>
      </c>
      <c r="I30" s="36">
        <f t="shared" si="9"/>
        <v>-2.6105907015765966E-3</v>
      </c>
      <c r="J30" s="36">
        <f t="shared" si="10"/>
        <v>0.46691732726213347</v>
      </c>
      <c r="K30" s="111">
        <f t="shared" si="11"/>
        <v>0.46766114125005315</v>
      </c>
    </row>
    <row r="31" spans="1:11" x14ac:dyDescent="0.2">
      <c r="A31" s="107" t="s">
        <v>40</v>
      </c>
      <c r="B31" s="73">
        <f>B8</f>
        <v>1104</v>
      </c>
      <c r="C31" s="78">
        <f>VLOOKUP($B$3,'Data for Bill Impacts'!$A$6:$Y$18,15,0)</f>
        <v>5.1000000000000004E-3</v>
      </c>
      <c r="D31" s="22">
        <f>B31*C31</f>
        <v>5.6304000000000007</v>
      </c>
      <c r="E31" s="73">
        <f t="shared" si="6"/>
        <v>1104</v>
      </c>
      <c r="F31" s="125">
        <f>VLOOKUP($B$3,'Data for Bill Impacts'!$A$6:$Y$18,24,0)</f>
        <v>5.6559999999999996E-3</v>
      </c>
      <c r="G31" s="22">
        <f>E31*F31</f>
        <v>6.2442239999999991</v>
      </c>
      <c r="H31" s="22">
        <f t="shared" si="2"/>
        <v>0.61382399999999837</v>
      </c>
      <c r="I31" s="23">
        <f t="shared" si="9"/>
        <v>0.10901960784313695</v>
      </c>
      <c r="J31" s="23">
        <f t="shared" si="10"/>
        <v>2.6134226337109726E-2</v>
      </c>
      <c r="K31" s="108">
        <f t="shared" si="11"/>
        <v>2.6175858981644432E-2</v>
      </c>
    </row>
    <row r="32" spans="1:11" x14ac:dyDescent="0.2">
      <c r="A32" s="107" t="s">
        <v>41</v>
      </c>
      <c r="B32" s="73">
        <f>B8</f>
        <v>1104</v>
      </c>
      <c r="C32" s="78">
        <f>VLOOKUP($B$3,'Data for Bill Impacts'!$A$6:$Y$18,16,0)</f>
        <v>4.1999999999999997E-3</v>
      </c>
      <c r="D32" s="22">
        <f>B32*C32</f>
        <v>4.6368</v>
      </c>
      <c r="E32" s="73">
        <f t="shared" si="6"/>
        <v>1104</v>
      </c>
      <c r="F32" s="125">
        <f>VLOOKUP($B$3,'Data for Bill Impacts'!$A$6:$Y$18,25,0)</f>
        <v>4.8209999999999998E-3</v>
      </c>
      <c r="G32" s="22">
        <f>E32*F32</f>
        <v>5.3223839999999996</v>
      </c>
      <c r="H32" s="22">
        <f t="shared" si="2"/>
        <v>0.68558399999999953</v>
      </c>
      <c r="I32" s="23">
        <f t="shared" si="9"/>
        <v>0.14785714285714274</v>
      </c>
      <c r="J32" s="23">
        <f t="shared" si="10"/>
        <v>2.2276008693636138E-2</v>
      </c>
      <c r="K32" s="108">
        <f t="shared" si="11"/>
        <v>2.2311495076115243E-2</v>
      </c>
    </row>
    <row r="33" spans="1:11" s="1" customFormat="1" x14ac:dyDescent="0.2">
      <c r="A33" s="110" t="s">
        <v>76</v>
      </c>
      <c r="B33" s="74"/>
      <c r="C33" s="35"/>
      <c r="D33" s="35">
        <f>SUM(D31:D32)</f>
        <v>10.267200000000001</v>
      </c>
      <c r="E33" s="73"/>
      <c r="F33" s="35"/>
      <c r="G33" s="35">
        <f>SUM(G31:G32)</f>
        <v>11.566607999999999</v>
      </c>
      <c r="H33" s="35">
        <f t="shared" si="2"/>
        <v>1.2994079999999979</v>
      </c>
      <c r="I33" s="36">
        <f t="shared" si="9"/>
        <v>0.12655913978494601</v>
      </c>
      <c r="J33" s="36">
        <f t="shared" si="10"/>
        <v>4.841023503074586E-2</v>
      </c>
      <c r="K33" s="111">
        <f t="shared" si="11"/>
        <v>4.8487354057759675E-2</v>
      </c>
    </row>
    <row r="34" spans="1:11" s="1" customFormat="1" x14ac:dyDescent="0.2">
      <c r="A34" s="110" t="s">
        <v>91</v>
      </c>
      <c r="B34" s="74"/>
      <c r="C34" s="35"/>
      <c r="D34" s="35">
        <f>D29+D33</f>
        <v>123.00120000000001</v>
      </c>
      <c r="E34" s="73"/>
      <c r="F34" s="35"/>
      <c r="G34" s="35">
        <f>G29+G33</f>
        <v>124.00860800000001</v>
      </c>
      <c r="H34" s="35">
        <f t="shared" si="2"/>
        <v>1.0074079999999981</v>
      </c>
      <c r="I34" s="36">
        <f t="shared" si="9"/>
        <v>8.1902290384158697E-3</v>
      </c>
      <c r="J34" s="36">
        <f t="shared" si="10"/>
        <v>0.51901870099822112</v>
      </c>
      <c r="K34" s="111">
        <f t="shared" si="11"/>
        <v>0.51984551411320679</v>
      </c>
    </row>
    <row r="35" spans="1:11" s="1" customFormat="1" x14ac:dyDescent="0.2">
      <c r="A35" s="110" t="s">
        <v>92</v>
      </c>
      <c r="B35" s="74"/>
      <c r="C35" s="35"/>
      <c r="D35" s="35">
        <f>D30+D33</f>
        <v>122.11928</v>
      </c>
      <c r="E35" s="73"/>
      <c r="F35" s="35"/>
      <c r="G35" s="35">
        <f>G30+G33</f>
        <v>123.126688</v>
      </c>
      <c r="H35" s="35">
        <f t="shared" si="2"/>
        <v>1.0074079999999981</v>
      </c>
      <c r="I35" s="36">
        <f t="shared" si="9"/>
        <v>8.2493771663245813E-3</v>
      </c>
      <c r="J35" s="36">
        <f t="shared" si="10"/>
        <v>0.51532756229287935</v>
      </c>
      <c r="K35" s="111">
        <f t="shared" si="11"/>
        <v>0.51614849530781282</v>
      </c>
    </row>
    <row r="36" spans="1:11" x14ac:dyDescent="0.2">
      <c r="A36" s="107" t="s">
        <v>42</v>
      </c>
      <c r="B36" s="73">
        <f>B8</f>
        <v>1104</v>
      </c>
      <c r="C36" s="34">
        <v>3.5999999999999999E-3</v>
      </c>
      <c r="D36" s="22">
        <f>B36*C36</f>
        <v>3.9743999999999997</v>
      </c>
      <c r="E36" s="73">
        <f t="shared" si="6"/>
        <v>1104</v>
      </c>
      <c r="F36" s="34">
        <v>3.5999999999999999E-3</v>
      </c>
      <c r="G36" s="22">
        <f>E36*F36</f>
        <v>3.9743999999999997</v>
      </c>
      <c r="H36" s="22">
        <f t="shared" si="2"/>
        <v>0</v>
      </c>
      <c r="I36" s="23">
        <f t="shared" si="9"/>
        <v>0</v>
      </c>
      <c r="J36" s="23">
        <f t="shared" si="10"/>
        <v>1.6634231756293319E-2</v>
      </c>
      <c r="K36" s="108">
        <f t="shared" si="11"/>
        <v>1.6660730610664774E-2</v>
      </c>
    </row>
    <row r="37" spans="1:11" x14ac:dyDescent="0.2">
      <c r="A37" s="107" t="s">
        <v>43</v>
      </c>
      <c r="B37" s="73">
        <f>B8</f>
        <v>1104</v>
      </c>
      <c r="C37" s="34">
        <v>2.0999999999999999E-3</v>
      </c>
      <c r="D37" s="22">
        <f>B37*C37</f>
        <v>2.3184</v>
      </c>
      <c r="E37" s="73">
        <f t="shared" si="6"/>
        <v>1104</v>
      </c>
      <c r="F37" s="34">
        <v>2.0999999999999999E-3</v>
      </c>
      <c r="G37" s="22">
        <f>E37*F37</f>
        <v>2.3184</v>
      </c>
      <c r="H37" s="22">
        <f>G37-D37</f>
        <v>0</v>
      </c>
      <c r="I37" s="23">
        <f t="shared" si="9"/>
        <v>0</v>
      </c>
      <c r="J37" s="23">
        <f t="shared" si="10"/>
        <v>9.7033018578377705E-3</v>
      </c>
      <c r="K37" s="108">
        <f t="shared" si="11"/>
        <v>9.7187595228877856E-3</v>
      </c>
    </row>
    <row r="38" spans="1:11" x14ac:dyDescent="0.2">
      <c r="A38" s="107" t="s">
        <v>96</v>
      </c>
      <c r="B38" s="73">
        <f>B8</f>
        <v>1104</v>
      </c>
      <c r="C38" s="34">
        <v>0</v>
      </c>
      <c r="D38" s="22">
        <f>B38*C38</f>
        <v>0</v>
      </c>
      <c r="E38" s="73">
        <f t="shared" si="6"/>
        <v>1104</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1.0463360353948597E-3</v>
      </c>
      <c r="K39" s="108">
        <f t="shared" si="11"/>
        <v>1.0480028816088451E-3</v>
      </c>
    </row>
    <row r="40" spans="1:11" s="1" customFormat="1" x14ac:dyDescent="0.2">
      <c r="A40" s="110" t="s">
        <v>45</v>
      </c>
      <c r="B40" s="74"/>
      <c r="C40" s="35"/>
      <c r="D40" s="35">
        <f>SUM(D36:D39)</f>
        <v>6.5427999999999997</v>
      </c>
      <c r="E40" s="73"/>
      <c r="F40" s="35"/>
      <c r="G40" s="35">
        <f>SUM(G36:G39)</f>
        <v>6.5427999999999997</v>
      </c>
      <c r="H40" s="35">
        <f t="shared" si="2"/>
        <v>0</v>
      </c>
      <c r="I40" s="36">
        <f t="shared" si="9"/>
        <v>0</v>
      </c>
      <c r="J40" s="36">
        <f t="shared" si="10"/>
        <v>2.7383869649525949E-2</v>
      </c>
      <c r="K40" s="111">
        <f t="shared" si="11"/>
        <v>2.7427493015161404E-2</v>
      </c>
    </row>
    <row r="41" spans="1:11" s="1" customFormat="1" ht="13.5" thickBot="1" x14ac:dyDescent="0.25">
      <c r="A41" s="112" t="s">
        <v>46</v>
      </c>
      <c r="B41" s="113">
        <f>B4</f>
        <v>1000</v>
      </c>
      <c r="C41" s="114">
        <v>0</v>
      </c>
      <c r="D41" s="115">
        <f>B41*C41</f>
        <v>0</v>
      </c>
      <c r="E41" s="116">
        <f t="shared" si="6"/>
        <v>1000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226.54400000000001</v>
      </c>
      <c r="E42" s="38"/>
      <c r="F42" s="39"/>
      <c r="G42" s="39">
        <f>SUM(G14,G25,G26,G27,G33,G40,G41)</f>
        <v>227.55140799999998</v>
      </c>
      <c r="H42" s="39">
        <f t="shared" si="2"/>
        <v>1.0074079999999697</v>
      </c>
      <c r="I42" s="40">
        <f t="shared" si="9"/>
        <v>4.4468535913551877E-3</v>
      </c>
      <c r="J42" s="40">
        <f t="shared" si="10"/>
        <v>0.95238095238095255</v>
      </c>
      <c r="K42" s="41"/>
    </row>
    <row r="43" spans="1:11" x14ac:dyDescent="0.2">
      <c r="A43" s="153" t="s">
        <v>106</v>
      </c>
      <c r="B43" s="43"/>
      <c r="C43" s="26">
        <v>0.13</v>
      </c>
      <c r="D43" s="26">
        <f>D42*C43</f>
        <v>29.450720000000004</v>
      </c>
      <c r="E43" s="26"/>
      <c r="F43" s="26">
        <f>C43</f>
        <v>0.13</v>
      </c>
      <c r="G43" s="26">
        <f>G42*F43</f>
        <v>29.581683039999998</v>
      </c>
      <c r="H43" s="26">
        <f t="shared" si="2"/>
        <v>0.13096303999999392</v>
      </c>
      <c r="I43" s="44">
        <f t="shared" si="9"/>
        <v>4.4468535913551148E-3</v>
      </c>
      <c r="J43" s="44">
        <f t="shared" si="10"/>
        <v>0.12380952380952383</v>
      </c>
      <c r="K43" s="45"/>
    </row>
    <row r="44" spans="1:11" s="1" customFormat="1" x14ac:dyDescent="0.2">
      <c r="A44" s="46" t="s">
        <v>107</v>
      </c>
      <c r="B44" s="24"/>
      <c r="C44" s="25"/>
      <c r="D44" s="25">
        <f>SUM(D42:D43)</f>
        <v>255.99472000000003</v>
      </c>
      <c r="E44" s="25"/>
      <c r="F44" s="25"/>
      <c r="G44" s="25">
        <f>SUM(G42:G43)</f>
        <v>257.13309103999995</v>
      </c>
      <c r="H44" s="25">
        <f t="shared" si="2"/>
        <v>1.1383710399999245</v>
      </c>
      <c r="I44" s="27">
        <f t="shared" si="9"/>
        <v>4.4468535913550263E-3</v>
      </c>
      <c r="J44" s="27">
        <f t="shared" si="10"/>
        <v>1.0761904761904761</v>
      </c>
      <c r="K44" s="47"/>
    </row>
    <row r="45" spans="1:11" x14ac:dyDescent="0.2">
      <c r="A45" s="42" t="s">
        <v>108</v>
      </c>
      <c r="B45" s="43"/>
      <c r="C45" s="26">
        <v>-0.08</v>
      </c>
      <c r="D45" s="26">
        <f>D42*C45</f>
        <v>-18.123520000000003</v>
      </c>
      <c r="E45" s="26"/>
      <c r="F45" s="26">
        <f>C45</f>
        <v>-0.08</v>
      </c>
      <c r="G45" s="26">
        <f>G42*F45</f>
        <v>-18.204112639999998</v>
      </c>
      <c r="H45" s="26">
        <f t="shared" si="2"/>
        <v>-8.0592639999995441E-2</v>
      </c>
      <c r="I45" s="44">
        <f t="shared" si="9"/>
        <v>-4.4468535913550697E-3</v>
      </c>
      <c r="J45" s="44">
        <f t="shared" si="10"/>
        <v>-7.6190476190476197E-2</v>
      </c>
      <c r="K45" s="45"/>
    </row>
    <row r="46" spans="1:11" s="1" customFormat="1" ht="13.5" thickBot="1" x14ac:dyDescent="0.25">
      <c r="A46" s="48" t="s">
        <v>109</v>
      </c>
      <c r="B46" s="49"/>
      <c r="C46" s="50"/>
      <c r="D46" s="50">
        <f>SUM(D44:D45)</f>
        <v>237.87120000000002</v>
      </c>
      <c r="E46" s="50"/>
      <c r="F46" s="50"/>
      <c r="G46" s="50">
        <f>SUM(G44:G45)</f>
        <v>238.92897839999995</v>
      </c>
      <c r="H46" s="50">
        <f t="shared" si="2"/>
        <v>1.0577783999999326</v>
      </c>
      <c r="I46" s="51">
        <f t="shared" si="9"/>
        <v>4.4468535913550385E-3</v>
      </c>
      <c r="J46" s="51">
        <f t="shared" si="10"/>
        <v>1</v>
      </c>
      <c r="K46" s="52"/>
    </row>
    <row r="47" spans="1:11" x14ac:dyDescent="0.2">
      <c r="A47" s="53" t="s">
        <v>110</v>
      </c>
      <c r="B47" s="54"/>
      <c r="C47" s="55"/>
      <c r="D47" s="55">
        <f>SUM(D18,D25,D26,D28,D33,D40,D41)</f>
        <v>226.18207999999998</v>
      </c>
      <c r="E47" s="55"/>
      <c r="F47" s="55"/>
      <c r="G47" s="55">
        <f>SUM(G18,G25,G26,G28,G33,G40,G41)</f>
        <v>227.18948799999998</v>
      </c>
      <c r="H47" s="55">
        <f>G47-D47</f>
        <v>1.0074079999999981</v>
      </c>
      <c r="I47" s="56">
        <f t="shared" si="9"/>
        <v>4.4539691208074408E-3</v>
      </c>
      <c r="J47" s="56"/>
      <c r="K47" s="57">
        <f>G47/$G$51</f>
        <v>0.95238095238095244</v>
      </c>
    </row>
    <row r="48" spans="1:11" x14ac:dyDescent="0.2">
      <c r="A48" s="58" t="s">
        <v>106</v>
      </c>
      <c r="B48" s="59"/>
      <c r="C48" s="31">
        <v>0.13</v>
      </c>
      <c r="D48" s="31">
        <f>D47*C48</f>
        <v>29.403670399999999</v>
      </c>
      <c r="E48" s="31"/>
      <c r="F48" s="31">
        <f>C48</f>
        <v>0.13</v>
      </c>
      <c r="G48" s="31">
        <f>G47*F48</f>
        <v>29.53463344</v>
      </c>
      <c r="H48" s="31">
        <f>G48-D48</f>
        <v>0.13096304000000103</v>
      </c>
      <c r="I48" s="32">
        <f t="shared" si="9"/>
        <v>4.4539691208074841E-3</v>
      </c>
      <c r="J48" s="32"/>
      <c r="K48" s="60">
        <f>G48/$G$51</f>
        <v>0.12380952380952383</v>
      </c>
    </row>
    <row r="49" spans="1:11" x14ac:dyDescent="0.2">
      <c r="A49" s="149" t="s">
        <v>111</v>
      </c>
      <c r="B49" s="29"/>
      <c r="C49" s="30"/>
      <c r="D49" s="30">
        <f>SUM(D47:D48)</f>
        <v>255.58575039999999</v>
      </c>
      <c r="E49" s="30"/>
      <c r="F49" s="30"/>
      <c r="G49" s="30">
        <f>SUM(G47:G48)</f>
        <v>256.72412143999998</v>
      </c>
      <c r="H49" s="30">
        <f>G49-D49</f>
        <v>1.1383710399999813</v>
      </c>
      <c r="I49" s="33">
        <f t="shared" si="9"/>
        <v>4.4539691208073757E-3</v>
      </c>
      <c r="J49" s="33"/>
      <c r="K49" s="62">
        <f>G49/$G$51</f>
        <v>1.0761904761904761</v>
      </c>
    </row>
    <row r="50" spans="1:11" x14ac:dyDescent="0.2">
      <c r="A50" s="58" t="s">
        <v>108</v>
      </c>
      <c r="B50" s="59"/>
      <c r="C50" s="31">
        <v>-0.08</v>
      </c>
      <c r="D50" s="31">
        <f>D47*C50</f>
        <v>-18.094566399999998</v>
      </c>
      <c r="E50" s="31"/>
      <c r="F50" s="31">
        <f>C50</f>
        <v>-0.08</v>
      </c>
      <c r="G50" s="31">
        <f>G47*F50</f>
        <v>-18.17515904</v>
      </c>
      <c r="H50" s="31">
        <f>G50-D50</f>
        <v>-8.0592640000002547E-2</v>
      </c>
      <c r="I50" s="32">
        <f t="shared" si="9"/>
        <v>-4.45396912080759E-3</v>
      </c>
      <c r="J50" s="32"/>
      <c r="K50" s="60">
        <f>G50/$G$51</f>
        <v>-7.6190476190476197E-2</v>
      </c>
    </row>
    <row r="51" spans="1:11" ht="13.5" thickBot="1" x14ac:dyDescent="0.25">
      <c r="A51" s="63" t="s">
        <v>121</v>
      </c>
      <c r="B51" s="64"/>
      <c r="C51" s="65"/>
      <c r="D51" s="65">
        <f>SUM(D49:D50)</f>
        <v>237.491184</v>
      </c>
      <c r="E51" s="65"/>
      <c r="F51" s="65"/>
      <c r="G51" s="65">
        <f>SUM(G49:G50)</f>
        <v>238.54896239999997</v>
      </c>
      <c r="H51" s="65">
        <f>G51-D51</f>
        <v>1.057778399999961</v>
      </c>
      <c r="I51" s="66">
        <f t="shared" si="9"/>
        <v>4.4539691208072846E-3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98</v>
      </c>
      <c r="B1" s="191"/>
      <c r="C1" s="191"/>
      <c r="D1" s="191"/>
      <c r="E1" s="191"/>
      <c r="F1" s="191"/>
      <c r="G1" s="191"/>
      <c r="H1" s="191"/>
      <c r="I1" s="191"/>
      <c r="J1" s="191"/>
      <c r="K1" s="192"/>
    </row>
    <row r="3" spans="1:11" x14ac:dyDescent="0.2">
      <c r="A3" s="13" t="s">
        <v>13</v>
      </c>
      <c r="B3" s="13" t="s">
        <v>6</v>
      </c>
    </row>
    <row r="4" spans="1:11" x14ac:dyDescent="0.2">
      <c r="A4" s="15" t="s">
        <v>62</v>
      </c>
      <c r="B4" s="15">
        <v>1000</v>
      </c>
    </row>
    <row r="5" spans="1:11" x14ac:dyDescent="0.2">
      <c r="A5" s="15" t="s">
        <v>16</v>
      </c>
      <c r="B5" s="15">
        <f>VLOOKUP($B$3,'Data for Bill Impacts'!$A$6:$Y$18,5,0)</f>
        <v>0</v>
      </c>
    </row>
    <row r="6" spans="1:11" x14ac:dyDescent="0.2">
      <c r="A6" s="15" t="s">
        <v>20</v>
      </c>
      <c r="B6" s="15">
        <f>VLOOKUP($B$3,'Data for Bill Impacts'!$A$6:$Y$18,2,0)</f>
        <v>1.0669999999999999</v>
      </c>
    </row>
    <row r="7" spans="1:11" x14ac:dyDescent="0.2">
      <c r="A7" s="15" t="s">
        <v>15</v>
      </c>
      <c r="B7" s="15">
        <f>VLOOKUP($B$3,'Data for Bill Impacts'!$A$6:$Y$18,4,0)</f>
        <v>750</v>
      </c>
    </row>
    <row r="8" spans="1:11" x14ac:dyDescent="0.2">
      <c r="A8" s="15" t="s">
        <v>82</v>
      </c>
      <c r="B8" s="15">
        <f>B4*B6</f>
        <v>1067</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0.36278255919609531</v>
      </c>
      <c r="K12" s="106"/>
    </row>
    <row r="13" spans="1:11" x14ac:dyDescent="0.2">
      <c r="A13" s="107" t="s">
        <v>32</v>
      </c>
      <c r="B13" s="73">
        <f>IF(B4&gt;B7,(B4)-B7,0)</f>
        <v>250</v>
      </c>
      <c r="C13" s="21">
        <v>0.106</v>
      </c>
      <c r="D13" s="22">
        <f>B13*C13</f>
        <v>26.5</v>
      </c>
      <c r="E13" s="73">
        <f t="shared" ref="E13:F17" si="1">B13</f>
        <v>250</v>
      </c>
      <c r="F13" s="21">
        <f t="shared" si="1"/>
        <v>0.106</v>
      </c>
      <c r="G13" s="22">
        <f>E13*F13</f>
        <v>26.5</v>
      </c>
      <c r="H13" s="22">
        <f t="shared" ref="H13:H46" si="2">G13-D13</f>
        <v>0</v>
      </c>
      <c r="I13" s="23">
        <f t="shared" si="0"/>
        <v>0</v>
      </c>
      <c r="J13" s="23">
        <f>G13/$G$46</f>
        <v>0.14086062738016888</v>
      </c>
      <c r="K13" s="108"/>
    </row>
    <row r="14" spans="1:11" s="1" customFormat="1" x14ac:dyDescent="0.2">
      <c r="A14" s="46" t="s">
        <v>33</v>
      </c>
      <c r="B14" s="24"/>
      <c r="C14" s="25"/>
      <c r="D14" s="25">
        <f>SUM(D12:D13)</f>
        <v>94.75</v>
      </c>
      <c r="E14" s="76"/>
      <c r="F14" s="25"/>
      <c r="G14" s="25">
        <f>SUM(G12:G13)</f>
        <v>94.75</v>
      </c>
      <c r="H14" s="25">
        <f t="shared" si="2"/>
        <v>0</v>
      </c>
      <c r="I14" s="27">
        <f t="shared" si="0"/>
        <v>0</v>
      </c>
      <c r="J14" s="27">
        <f>G14/$G$46</f>
        <v>0.50364318657626417</v>
      </c>
      <c r="K14" s="108"/>
    </row>
    <row r="15" spans="1:11" s="1" customFormat="1" x14ac:dyDescent="0.2">
      <c r="A15" s="109" t="s">
        <v>34</v>
      </c>
      <c r="B15" s="75">
        <f>B4*0.65</f>
        <v>650</v>
      </c>
      <c r="C15" s="28">
        <v>7.6999999999999999E-2</v>
      </c>
      <c r="D15" s="22">
        <f>B15*C15</f>
        <v>50.05</v>
      </c>
      <c r="E15" s="73">
        <f t="shared" ref="E15:E17" si="3">B15</f>
        <v>650</v>
      </c>
      <c r="F15" s="28">
        <f t="shared" si="1"/>
        <v>7.6999999999999999E-2</v>
      </c>
      <c r="G15" s="22">
        <f>E15*F15</f>
        <v>50.05</v>
      </c>
      <c r="H15" s="22">
        <f t="shared" si="2"/>
        <v>0</v>
      </c>
      <c r="I15" s="23">
        <f t="shared" si="0"/>
        <v>0</v>
      </c>
      <c r="J15" s="23"/>
      <c r="K15" s="108">
        <f t="shared" ref="K15:K26" si="4">G15/$G$51</f>
        <v>0.26281084416647904</v>
      </c>
    </row>
    <row r="16" spans="1:11" s="1" customFormat="1" x14ac:dyDescent="0.2">
      <c r="A16" s="109" t="s">
        <v>35</v>
      </c>
      <c r="B16" s="75">
        <f>B4*0.17</f>
        <v>170</v>
      </c>
      <c r="C16" s="28">
        <v>0.113</v>
      </c>
      <c r="D16" s="22">
        <f>B16*C16</f>
        <v>19.21</v>
      </c>
      <c r="E16" s="73">
        <f t="shared" si="3"/>
        <v>170</v>
      </c>
      <c r="F16" s="28">
        <f t="shared" si="1"/>
        <v>0.113</v>
      </c>
      <c r="G16" s="22">
        <f>E16*F16</f>
        <v>19.21</v>
      </c>
      <c r="H16" s="22">
        <f t="shared" si="2"/>
        <v>0</v>
      </c>
      <c r="I16" s="23">
        <f t="shared" si="0"/>
        <v>0</v>
      </c>
      <c r="J16" s="23"/>
      <c r="K16" s="108">
        <f t="shared" si="4"/>
        <v>0.10087105527348778</v>
      </c>
    </row>
    <row r="17" spans="1:11" s="1" customFormat="1" x14ac:dyDescent="0.2">
      <c r="A17" s="109" t="s">
        <v>36</v>
      </c>
      <c r="B17" s="75">
        <f>B4*0.18</f>
        <v>180</v>
      </c>
      <c r="C17" s="28">
        <v>0.157</v>
      </c>
      <c r="D17" s="22">
        <f>B17*C17</f>
        <v>28.26</v>
      </c>
      <c r="E17" s="73">
        <f t="shared" si="3"/>
        <v>180</v>
      </c>
      <c r="F17" s="28">
        <f t="shared" si="1"/>
        <v>0.157</v>
      </c>
      <c r="G17" s="22">
        <f>E17*F17</f>
        <v>28.26</v>
      </c>
      <c r="H17" s="22">
        <f t="shared" si="2"/>
        <v>0</v>
      </c>
      <c r="I17" s="23">
        <f t="shared" si="0"/>
        <v>0</v>
      </c>
      <c r="J17" s="23"/>
      <c r="K17" s="108">
        <f t="shared" si="4"/>
        <v>0.14839229682606792</v>
      </c>
    </row>
    <row r="18" spans="1:11" s="1" customFormat="1" x14ac:dyDescent="0.2">
      <c r="A18" s="61" t="s">
        <v>37</v>
      </c>
      <c r="B18" s="29"/>
      <c r="C18" s="30"/>
      <c r="D18" s="30">
        <f>SUM(D15:D17)</f>
        <v>97.52</v>
      </c>
      <c r="E18" s="77"/>
      <c r="F18" s="30"/>
      <c r="G18" s="30">
        <f>SUM(G15:G17)</f>
        <v>97.52</v>
      </c>
      <c r="H18" s="31">
        <f t="shared" si="2"/>
        <v>0</v>
      </c>
      <c r="I18" s="32">
        <f t="shared" si="0"/>
        <v>0</v>
      </c>
      <c r="J18" s="33">
        <f t="shared" ref="J18:J23" si="5">G18/$G$46</f>
        <v>0.51836710875902148</v>
      </c>
      <c r="K18" s="62">
        <f t="shared" si="4"/>
        <v>0.51207419626603468</v>
      </c>
    </row>
    <row r="19" spans="1:11" x14ac:dyDescent="0.2">
      <c r="A19" s="107" t="s">
        <v>38</v>
      </c>
      <c r="B19" s="73">
        <v>1</v>
      </c>
      <c r="C19" s="78">
        <f>VLOOKUP($B$3,'Data for Bill Impacts'!$A$6:$Y$18,7,0)</f>
        <v>23.3</v>
      </c>
      <c r="D19" s="22">
        <f>B19*C19</f>
        <v>23.3</v>
      </c>
      <c r="E19" s="73">
        <f t="shared" ref="E19:E41" si="6">B19</f>
        <v>1</v>
      </c>
      <c r="F19" s="78">
        <f>VLOOKUP($B$3,'Data for Bill Impacts'!$A$6:$Y$18,17,0)</f>
        <v>23.88</v>
      </c>
      <c r="G19" s="22">
        <f>E19*F19</f>
        <v>23.88</v>
      </c>
      <c r="H19" s="22">
        <f t="shared" si="2"/>
        <v>0.57999999999999829</v>
      </c>
      <c r="I19" s="23">
        <f>IF(ISERROR(H19/ABS(D19)),"N/A",(H19/ABS(D19)))</f>
        <v>2.4892703862660872E-2</v>
      </c>
      <c r="J19" s="23">
        <f t="shared" si="5"/>
        <v>0.12693402950333707</v>
      </c>
      <c r="K19" s="108">
        <f t="shared" si="4"/>
        <v>0.1253930661078026</v>
      </c>
    </row>
    <row r="20" spans="1:11" hidden="1" x14ac:dyDescent="0.2">
      <c r="A20" s="107" t="s">
        <v>114</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0.67</v>
      </c>
      <c r="D21" s="22">
        <f t="shared" si="7"/>
        <v>0.67</v>
      </c>
      <c r="E21" s="73">
        <f t="shared" si="6"/>
        <v>1</v>
      </c>
      <c r="F21" s="121">
        <f>VLOOKUP($B$3,'Data for Bill Impacts'!$A$6:$Y$18,22,0)</f>
        <v>8.0000000000000002E-3</v>
      </c>
      <c r="G21" s="22">
        <f t="shared" si="8"/>
        <v>8.0000000000000002E-3</v>
      </c>
      <c r="H21" s="22">
        <f t="shared" si="2"/>
        <v>-0.66200000000000003</v>
      </c>
      <c r="I21" s="23">
        <f t="shared" si="9"/>
        <v>-0.9880597014925373</v>
      </c>
      <c r="J21" s="23">
        <f t="shared" si="5"/>
        <v>4.2523962982692488E-5</v>
      </c>
      <c r="K21" s="108">
        <f t="shared" si="4"/>
        <v>4.2007727339297358E-5</v>
      </c>
    </row>
    <row r="22" spans="1:11" hidden="1" x14ac:dyDescent="0.2">
      <c r="A22" s="107" t="s">
        <v>123</v>
      </c>
      <c r="B22" s="73">
        <f>B4</f>
        <v>1000</v>
      </c>
      <c r="C22" s="78">
        <v>0</v>
      </c>
      <c r="D22" s="22">
        <f>B22*C22</f>
        <v>0</v>
      </c>
      <c r="E22" s="73">
        <f>B22</f>
        <v>1000</v>
      </c>
      <c r="F22" s="78">
        <f>C22</f>
        <v>0</v>
      </c>
      <c r="G22" s="22">
        <f>E22*F22</f>
        <v>0</v>
      </c>
      <c r="H22" s="22">
        <f>G22-D22</f>
        <v>0</v>
      </c>
      <c r="I22" s="23" t="str">
        <f t="shared" si="9"/>
        <v>N/A</v>
      </c>
      <c r="J22" s="23">
        <f t="shared" si="5"/>
        <v>0</v>
      </c>
      <c r="K22" s="108">
        <f t="shared" si="4"/>
        <v>0</v>
      </c>
    </row>
    <row r="23" spans="1:11" x14ac:dyDescent="0.2">
      <c r="A23" s="107" t="s">
        <v>39</v>
      </c>
      <c r="B23" s="73">
        <f>IF($B$9="kWh",$B$4,$B$5)</f>
        <v>1000</v>
      </c>
      <c r="C23" s="78">
        <f>VLOOKUP($B$3,'Data for Bill Impacts'!$A$6:$Y$18,10,0)</f>
        <v>2.6200000000000001E-2</v>
      </c>
      <c r="D23" s="22">
        <f>B23*C23</f>
        <v>26.200000000000003</v>
      </c>
      <c r="E23" s="73">
        <f t="shared" si="6"/>
        <v>1000</v>
      </c>
      <c r="F23" s="125">
        <f>VLOOKUP($B$3,'Data for Bill Impacts'!$A$6:$Y$18,19,0)</f>
        <v>2.7799999999999998E-2</v>
      </c>
      <c r="G23" s="22">
        <f>E23*F23</f>
        <v>27.799999999999997</v>
      </c>
      <c r="H23" s="22">
        <f t="shared" si="2"/>
        <v>1.5999999999999943</v>
      </c>
      <c r="I23" s="23">
        <f t="shared" si="9"/>
        <v>6.1068702290076111E-2</v>
      </c>
      <c r="J23" s="23">
        <f t="shared" si="5"/>
        <v>0.14777077136485639</v>
      </c>
      <c r="K23" s="108">
        <f t="shared" si="4"/>
        <v>0.14597685250405829</v>
      </c>
    </row>
    <row r="24" spans="1:11" x14ac:dyDescent="0.2">
      <c r="A24" s="107" t="s">
        <v>124</v>
      </c>
      <c r="B24" s="73">
        <f>IF($B$9="kWh",$B$4,$B$5)</f>
        <v>1000</v>
      </c>
      <c r="C24" s="78">
        <f>VLOOKUP($B$3,'Data for Bill Impacts'!$A$6:$Y$18,14,0)</f>
        <v>-1E-4</v>
      </c>
      <c r="D24" s="22">
        <f>B24*C24</f>
        <v>-0.1</v>
      </c>
      <c r="E24" s="73">
        <f t="shared" si="6"/>
        <v>1000</v>
      </c>
      <c r="F24" s="125">
        <f>VLOOKUP($B$3,'Data for Bill Impacts'!$A$6:$Y$18,23,0)</f>
        <v>3.0000000000000004E-5</v>
      </c>
      <c r="G24" s="22">
        <f>E24*F24</f>
        <v>3.0000000000000006E-2</v>
      </c>
      <c r="H24" s="22">
        <f t="shared" si="2"/>
        <v>0.13</v>
      </c>
      <c r="I24" s="23">
        <f t="shared" si="9"/>
        <v>1.3</v>
      </c>
      <c r="J24" s="23">
        <f t="shared" ref="J24" si="10">G24/$G$46</f>
        <v>1.5946486118509687E-4</v>
      </c>
      <c r="K24" s="108">
        <f t="shared" si="4"/>
        <v>1.5752897752236512E-4</v>
      </c>
    </row>
    <row r="25" spans="1:11" s="1" customFormat="1" x14ac:dyDescent="0.2">
      <c r="A25" s="110" t="s">
        <v>72</v>
      </c>
      <c r="B25" s="74"/>
      <c r="C25" s="35"/>
      <c r="D25" s="35">
        <f>SUM(D19:D24)</f>
        <v>50.07</v>
      </c>
      <c r="E25" s="73"/>
      <c r="F25" s="35"/>
      <c r="G25" s="35">
        <f>SUM(G19:G24)</f>
        <v>51.717999999999996</v>
      </c>
      <c r="H25" s="35">
        <f t="shared" si="2"/>
        <v>1.6479999999999961</v>
      </c>
      <c r="I25" s="36">
        <f t="shared" si="9"/>
        <v>3.2913920511284125E-2</v>
      </c>
      <c r="J25" s="36">
        <f>G25/$G$46</f>
        <v>0.27490678969236126</v>
      </c>
      <c r="K25" s="111">
        <f t="shared" si="4"/>
        <v>0.27156945531672255</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G26/$G$46</f>
        <v>4.1992413445408839E-3</v>
      </c>
      <c r="K26" s="108">
        <f t="shared" si="4"/>
        <v>4.1482630747556141E-3</v>
      </c>
    </row>
    <row r="27" spans="1:11" s="1" customFormat="1" x14ac:dyDescent="0.2">
      <c r="A27" s="119" t="s">
        <v>75</v>
      </c>
      <c r="B27" s="120">
        <f>B8-B4</f>
        <v>67</v>
      </c>
      <c r="C27" s="176">
        <f>IF(B4&gt;B7,C13,C12)</f>
        <v>0.106</v>
      </c>
      <c r="D27" s="22">
        <f>B27*C27</f>
        <v>7.1019999999999994</v>
      </c>
      <c r="E27" s="73">
        <f>B27</f>
        <v>67</v>
      </c>
      <c r="F27" s="176">
        <f>C27</f>
        <v>0.106</v>
      </c>
      <c r="G27" s="22">
        <f>E27*F27</f>
        <v>7.1019999999999994</v>
      </c>
      <c r="H27" s="22">
        <f t="shared" si="2"/>
        <v>0</v>
      </c>
      <c r="I27" s="23">
        <f t="shared" si="9"/>
        <v>0</v>
      </c>
      <c r="J27" s="23">
        <f t="shared" ref="J27:J46" si="11">G27/$G$46</f>
        <v>3.7750648137885257E-2</v>
      </c>
      <c r="K27" s="108">
        <f t="shared" ref="K27:K41" si="12">G27/$G$51</f>
        <v>3.729235994546122E-2</v>
      </c>
    </row>
    <row r="28" spans="1:11" s="1" customFormat="1" x14ac:dyDescent="0.2">
      <c r="A28" s="119" t="s">
        <v>74</v>
      </c>
      <c r="B28" s="120">
        <f>B8-B4</f>
        <v>67</v>
      </c>
      <c r="C28" s="176">
        <f>0.65*C15+0.17*C16+0.18*C17</f>
        <v>9.7519999999999996E-2</v>
      </c>
      <c r="D28" s="22">
        <f>B28*C28</f>
        <v>6.5338399999999996</v>
      </c>
      <c r="E28" s="73">
        <f>B28</f>
        <v>67</v>
      </c>
      <c r="F28" s="176">
        <f>C28</f>
        <v>9.7519999999999996E-2</v>
      </c>
      <c r="G28" s="22">
        <f>E28*F28</f>
        <v>6.5338399999999996</v>
      </c>
      <c r="H28" s="22">
        <f t="shared" si="2"/>
        <v>0</v>
      </c>
      <c r="I28" s="23">
        <f t="shared" si="9"/>
        <v>0</v>
      </c>
      <c r="J28" s="23">
        <f t="shared" si="11"/>
        <v>3.4730596286854439E-2</v>
      </c>
      <c r="K28" s="108">
        <f t="shared" si="12"/>
        <v>3.4308971149824327E-2</v>
      </c>
    </row>
    <row r="29" spans="1:11" s="1" customFormat="1" x14ac:dyDescent="0.2">
      <c r="A29" s="110" t="s">
        <v>78</v>
      </c>
      <c r="B29" s="74"/>
      <c r="C29" s="35"/>
      <c r="D29" s="35">
        <f>SUM(D25,D26:D27)</f>
        <v>57.961999999999996</v>
      </c>
      <c r="E29" s="73"/>
      <c r="F29" s="35"/>
      <c r="G29" s="35">
        <f>SUM(G25,G26:G27)</f>
        <v>59.609999999999992</v>
      </c>
      <c r="H29" s="35">
        <f t="shared" si="2"/>
        <v>1.6479999999999961</v>
      </c>
      <c r="I29" s="36">
        <f t="shared" si="9"/>
        <v>2.8432421241502991E-2</v>
      </c>
      <c r="J29" s="36">
        <f t="shared" si="11"/>
        <v>0.31685667917478738</v>
      </c>
      <c r="K29" s="111">
        <f t="shared" si="12"/>
        <v>0.31301007833693939</v>
      </c>
    </row>
    <row r="30" spans="1:11" s="1" customFormat="1" x14ac:dyDescent="0.2">
      <c r="A30" s="110" t="s">
        <v>77</v>
      </c>
      <c r="B30" s="74"/>
      <c r="C30" s="35"/>
      <c r="D30" s="35">
        <f>SUM(D25,D26,D28)</f>
        <v>57.393839999999997</v>
      </c>
      <c r="E30" s="73"/>
      <c r="F30" s="35"/>
      <c r="G30" s="35">
        <f>SUM(G25,G26,G28)</f>
        <v>59.041839999999993</v>
      </c>
      <c r="H30" s="35">
        <f t="shared" si="2"/>
        <v>1.6479999999999961</v>
      </c>
      <c r="I30" s="36">
        <f t="shared" si="9"/>
        <v>2.8713882883598593E-2</v>
      </c>
      <c r="J30" s="36">
        <f t="shared" si="11"/>
        <v>0.31383662732375656</v>
      </c>
      <c r="K30" s="111">
        <f t="shared" si="12"/>
        <v>0.31002668954130247</v>
      </c>
    </row>
    <row r="31" spans="1:11" x14ac:dyDescent="0.2">
      <c r="A31" s="107" t="s">
        <v>40</v>
      </c>
      <c r="B31" s="73">
        <f>B8</f>
        <v>1067</v>
      </c>
      <c r="C31" s="78">
        <f>VLOOKUP($B$3,'Data for Bill Impacts'!$A$6:$Y$18,15,0)</f>
        <v>6.4000000000000003E-3</v>
      </c>
      <c r="D31" s="22">
        <f>B31*C31</f>
        <v>6.8288000000000002</v>
      </c>
      <c r="E31" s="73">
        <f t="shared" si="6"/>
        <v>1067</v>
      </c>
      <c r="F31" s="125">
        <f>VLOOKUP($B$3,'Data for Bill Impacts'!$A$6:$Y$18,24,0)</f>
        <v>6.1060000000000003E-3</v>
      </c>
      <c r="G31" s="22">
        <f>E31*F31</f>
        <v>6.5151020000000006</v>
      </c>
      <c r="H31" s="22">
        <f t="shared" si="2"/>
        <v>-0.31369799999999959</v>
      </c>
      <c r="I31" s="23">
        <f t="shared" si="9"/>
        <v>-4.5937499999999937E-2</v>
      </c>
      <c r="J31" s="23">
        <f t="shared" si="11"/>
        <v>3.4630994534558229E-2</v>
      </c>
      <c r="K31" s="108">
        <f t="shared" si="12"/>
        <v>3.421057855046386E-2</v>
      </c>
    </row>
    <row r="32" spans="1:11" x14ac:dyDescent="0.2">
      <c r="A32" s="107" t="s">
        <v>41</v>
      </c>
      <c r="B32" s="73">
        <f>B8</f>
        <v>1067</v>
      </c>
      <c r="C32" s="125">
        <f>VLOOKUP($B$3,'Data for Bill Impacts'!$A$6:$Y$18,16,0)</f>
        <v>4.0000000000000001E-3</v>
      </c>
      <c r="D32" s="22">
        <f>B32*C32</f>
        <v>4.2679999999999998</v>
      </c>
      <c r="E32" s="73">
        <f t="shared" si="6"/>
        <v>1067</v>
      </c>
      <c r="F32" s="125">
        <f>VLOOKUP($B$3,'Data for Bill Impacts'!$A$6:$Y$18,25,0)</f>
        <v>4.6519999999999999E-3</v>
      </c>
      <c r="G32" s="22">
        <f>E32*F32</f>
        <v>4.9636839999999998</v>
      </c>
      <c r="H32" s="22">
        <f t="shared" si="2"/>
        <v>0.69568399999999997</v>
      </c>
      <c r="I32" s="23">
        <f t="shared" si="9"/>
        <v>0.16300000000000001</v>
      </c>
      <c r="J32" s="23">
        <f t="shared" si="11"/>
        <v>2.6384439334222874E-2</v>
      </c>
      <c r="K32" s="108">
        <f t="shared" si="12"/>
        <v>2.6064135508804105E-2</v>
      </c>
    </row>
    <row r="33" spans="1:11" s="1" customFormat="1" x14ac:dyDescent="0.2">
      <c r="A33" s="110" t="s">
        <v>76</v>
      </c>
      <c r="B33" s="74"/>
      <c r="C33" s="35"/>
      <c r="D33" s="35">
        <f>SUM(D31:D32)</f>
        <v>11.0968</v>
      </c>
      <c r="E33" s="73"/>
      <c r="F33" s="35"/>
      <c r="G33" s="35">
        <f>SUM(G31:G32)</f>
        <v>11.478785999999999</v>
      </c>
      <c r="H33" s="35">
        <f t="shared" si="2"/>
        <v>0.38198599999999949</v>
      </c>
      <c r="I33" s="36">
        <f t="shared" si="9"/>
        <v>3.4423076923076876E-2</v>
      </c>
      <c r="J33" s="36">
        <f t="shared" si="11"/>
        <v>6.1015433868781097E-2</v>
      </c>
      <c r="K33" s="111">
        <f t="shared" si="12"/>
        <v>6.0274714059267966E-2</v>
      </c>
    </row>
    <row r="34" spans="1:11" s="1" customFormat="1" x14ac:dyDescent="0.2">
      <c r="A34" s="110" t="s">
        <v>91</v>
      </c>
      <c r="B34" s="74"/>
      <c r="C34" s="35"/>
      <c r="D34" s="35">
        <f>D29+D33</f>
        <v>69.058799999999991</v>
      </c>
      <c r="E34" s="73"/>
      <c r="F34" s="35"/>
      <c r="G34" s="35">
        <f>G29+G33</f>
        <v>71.088785999999999</v>
      </c>
      <c r="H34" s="35">
        <f t="shared" si="2"/>
        <v>2.0299860000000081</v>
      </c>
      <c r="I34" s="36">
        <f t="shared" si="9"/>
        <v>2.9395037272585221E-2</v>
      </c>
      <c r="J34" s="36">
        <f t="shared" si="11"/>
        <v>0.37787211304356849</v>
      </c>
      <c r="K34" s="111">
        <f t="shared" si="12"/>
        <v>0.37328479239620738</v>
      </c>
    </row>
    <row r="35" spans="1:11" s="1" customFormat="1" x14ac:dyDescent="0.2">
      <c r="A35" s="110" t="s">
        <v>92</v>
      </c>
      <c r="B35" s="74"/>
      <c r="C35" s="35"/>
      <c r="D35" s="35">
        <f>D30+D33</f>
        <v>68.490639999999999</v>
      </c>
      <c r="E35" s="73"/>
      <c r="F35" s="35"/>
      <c r="G35" s="35">
        <f>G30+G33</f>
        <v>70.520625999999993</v>
      </c>
      <c r="H35" s="35">
        <f t="shared" si="2"/>
        <v>2.0299859999999939</v>
      </c>
      <c r="I35" s="36">
        <f t="shared" si="9"/>
        <v>2.9638882042860075E-2</v>
      </c>
      <c r="J35" s="36">
        <f t="shared" si="11"/>
        <v>0.37485206119253767</v>
      </c>
      <c r="K35" s="111">
        <f t="shared" si="12"/>
        <v>0.37030140360057046</v>
      </c>
    </row>
    <row r="36" spans="1:11" x14ac:dyDescent="0.2">
      <c r="A36" s="107" t="s">
        <v>42</v>
      </c>
      <c r="B36" s="73">
        <f>B8</f>
        <v>1067</v>
      </c>
      <c r="C36" s="34">
        <v>3.5999999999999999E-3</v>
      </c>
      <c r="D36" s="22">
        <f>B36*C36</f>
        <v>3.8411999999999997</v>
      </c>
      <c r="E36" s="73">
        <f t="shared" si="6"/>
        <v>1067</v>
      </c>
      <c r="F36" s="34">
        <v>3.5999999999999999E-3</v>
      </c>
      <c r="G36" s="22">
        <f>E36*F36</f>
        <v>3.8411999999999997</v>
      </c>
      <c r="H36" s="22">
        <f t="shared" si="2"/>
        <v>0</v>
      </c>
      <c r="I36" s="23">
        <f t="shared" si="9"/>
        <v>0</v>
      </c>
      <c r="J36" s="23">
        <f t="shared" si="11"/>
        <v>2.0417880826139798E-2</v>
      </c>
      <c r="K36" s="108">
        <f t="shared" si="12"/>
        <v>2.0170010281963625E-2</v>
      </c>
    </row>
    <row r="37" spans="1:11" x14ac:dyDescent="0.2">
      <c r="A37" s="107" t="s">
        <v>43</v>
      </c>
      <c r="B37" s="73">
        <f>B8</f>
        <v>1067</v>
      </c>
      <c r="C37" s="34">
        <v>2.0999999999999999E-3</v>
      </c>
      <c r="D37" s="22">
        <f>B37*C37</f>
        <v>2.2406999999999999</v>
      </c>
      <c r="E37" s="73">
        <f t="shared" si="6"/>
        <v>1067</v>
      </c>
      <c r="F37" s="34">
        <v>2.0999999999999999E-3</v>
      </c>
      <c r="G37" s="22">
        <f>E37*F37</f>
        <v>2.2406999999999999</v>
      </c>
      <c r="H37" s="22">
        <f>G37-D37</f>
        <v>0</v>
      </c>
      <c r="I37" s="23">
        <f t="shared" si="9"/>
        <v>0</v>
      </c>
      <c r="J37" s="23">
        <f t="shared" si="11"/>
        <v>1.1910430481914883E-2</v>
      </c>
      <c r="K37" s="108">
        <f t="shared" si="12"/>
        <v>1.1765839331145448E-2</v>
      </c>
    </row>
    <row r="38" spans="1:11" x14ac:dyDescent="0.2">
      <c r="A38" s="107" t="s">
        <v>96</v>
      </c>
      <c r="B38" s="73">
        <f>B8</f>
        <v>1067</v>
      </c>
      <c r="C38" s="34">
        <v>0</v>
      </c>
      <c r="D38" s="22">
        <f>B38*C38</f>
        <v>0</v>
      </c>
      <c r="E38" s="73">
        <f t="shared" si="6"/>
        <v>1067</v>
      </c>
      <c r="F38" s="34">
        <v>0</v>
      </c>
      <c r="G38" s="22">
        <f>E38*F38</f>
        <v>0</v>
      </c>
      <c r="H38" s="22">
        <f>G38-D38</f>
        <v>0</v>
      </c>
      <c r="I38" s="23" t="str">
        <f t="shared" si="9"/>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1"/>
        <v>1.3288738432091403E-3</v>
      </c>
      <c r="K39" s="108">
        <f t="shared" si="12"/>
        <v>1.3127414793530424E-3</v>
      </c>
    </row>
    <row r="40" spans="1:11" s="1" customFormat="1" x14ac:dyDescent="0.2">
      <c r="A40" s="110" t="s">
        <v>45</v>
      </c>
      <c r="B40" s="74"/>
      <c r="C40" s="35"/>
      <c r="D40" s="35">
        <f>SUM(D36:D39)</f>
        <v>6.3318999999999992</v>
      </c>
      <c r="E40" s="73"/>
      <c r="F40" s="35"/>
      <c r="G40" s="35">
        <f>SUM(G36:G39)</f>
        <v>6.3318999999999992</v>
      </c>
      <c r="H40" s="35">
        <f t="shared" si="2"/>
        <v>0</v>
      </c>
      <c r="I40" s="36">
        <f t="shared" si="9"/>
        <v>0</v>
      </c>
      <c r="J40" s="36">
        <f t="shared" si="11"/>
        <v>3.365718515126382E-2</v>
      </c>
      <c r="K40" s="111">
        <f t="shared" si="12"/>
        <v>3.3248591092462108E-2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2"/>
        <v>0</v>
      </c>
      <c r="I41" s="117">
        <f t="shared" si="9"/>
        <v>0</v>
      </c>
      <c r="J41" s="117">
        <f t="shared" si="11"/>
        <v>3.7208467609855932E-2</v>
      </c>
      <c r="K41" s="118">
        <f t="shared" si="12"/>
        <v>3.6756761421885185E-2</v>
      </c>
    </row>
    <row r="42" spans="1:11" s="1" customFormat="1" x14ac:dyDescent="0.2">
      <c r="A42" s="37" t="s">
        <v>105</v>
      </c>
      <c r="B42" s="38"/>
      <c r="C42" s="39"/>
      <c r="D42" s="39">
        <f>SUM(D14,D25,D26,D27,D33,D40,D41)</f>
        <v>177.14069999999998</v>
      </c>
      <c r="E42" s="38"/>
      <c r="F42" s="39"/>
      <c r="G42" s="39">
        <f>SUM(G14,G25,G26,G27,G33,G40,G41)</f>
        <v>179.17068599999996</v>
      </c>
      <c r="H42" s="39">
        <f t="shared" si="2"/>
        <v>2.0299859999999796</v>
      </c>
      <c r="I42" s="40">
        <f t="shared" si="9"/>
        <v>1.1459737937131217E-2</v>
      </c>
      <c r="J42" s="40">
        <f t="shared" si="11"/>
        <v>0.95238095238095222</v>
      </c>
      <c r="K42" s="41"/>
    </row>
    <row r="43" spans="1:11" x14ac:dyDescent="0.2">
      <c r="A43" s="153" t="s">
        <v>106</v>
      </c>
      <c r="B43" s="43"/>
      <c r="C43" s="26">
        <v>0.13</v>
      </c>
      <c r="D43" s="26">
        <f>D42*C43</f>
        <v>23.028290999999999</v>
      </c>
      <c r="E43" s="26"/>
      <c r="F43" s="26">
        <f>C43</f>
        <v>0.13</v>
      </c>
      <c r="G43" s="26">
        <f>G42*F43</f>
        <v>23.292189179999994</v>
      </c>
      <c r="H43" s="26">
        <f t="shared" si="2"/>
        <v>0.26389817999999465</v>
      </c>
      <c r="I43" s="44">
        <f t="shared" si="9"/>
        <v>1.14597379371311E-2</v>
      </c>
      <c r="J43" s="44">
        <f t="shared" si="11"/>
        <v>0.12380952380952379</v>
      </c>
      <c r="K43" s="45"/>
    </row>
    <row r="44" spans="1:11" s="1" customFormat="1" x14ac:dyDescent="0.2">
      <c r="A44" s="46" t="s">
        <v>107</v>
      </c>
      <c r="B44" s="24"/>
      <c r="C44" s="25"/>
      <c r="D44" s="25">
        <f>SUM(D42:D43)</f>
        <v>200.16899099999998</v>
      </c>
      <c r="E44" s="25"/>
      <c r="F44" s="25"/>
      <c r="G44" s="25">
        <f>SUM(G42:G43)</f>
        <v>202.46287517999997</v>
      </c>
      <c r="H44" s="25">
        <f t="shared" si="2"/>
        <v>2.2938841799999921</v>
      </c>
      <c r="I44" s="27">
        <f t="shared" si="9"/>
        <v>1.1459737937131292E-2</v>
      </c>
      <c r="J44" s="27">
        <f t="shared" si="11"/>
        <v>1.0761904761904761</v>
      </c>
      <c r="K44" s="47"/>
    </row>
    <row r="45" spans="1:11" x14ac:dyDescent="0.2">
      <c r="A45" s="42" t="s">
        <v>108</v>
      </c>
      <c r="B45" s="43"/>
      <c r="C45" s="26">
        <v>-0.08</v>
      </c>
      <c r="D45" s="26">
        <f>D42*C45</f>
        <v>-14.171256</v>
      </c>
      <c r="E45" s="26"/>
      <c r="F45" s="26">
        <f>C45</f>
        <v>-0.08</v>
      </c>
      <c r="G45" s="26">
        <f>G42*F45</f>
        <v>-14.333654879999997</v>
      </c>
      <c r="H45" s="26">
        <f t="shared" si="2"/>
        <v>-0.1623988799999978</v>
      </c>
      <c r="I45" s="44">
        <f t="shared" si="9"/>
        <v>-1.1459737937131176E-2</v>
      </c>
      <c r="J45" s="44">
        <f t="shared" si="11"/>
        <v>-7.6190476190476183E-2</v>
      </c>
      <c r="K45" s="45"/>
    </row>
    <row r="46" spans="1:11" s="1" customFormat="1" ht="13.5" thickBot="1" x14ac:dyDescent="0.25">
      <c r="A46" s="48" t="s">
        <v>109</v>
      </c>
      <c r="B46" s="49"/>
      <c r="C46" s="50"/>
      <c r="D46" s="50">
        <f>SUM(D44:D45)</f>
        <v>185.99773499999998</v>
      </c>
      <c r="E46" s="50"/>
      <c r="F46" s="50"/>
      <c r="G46" s="50">
        <f>SUM(G44:G45)</f>
        <v>188.12922029999999</v>
      </c>
      <c r="H46" s="50">
        <f t="shared" si="2"/>
        <v>2.1314853000000085</v>
      </c>
      <c r="I46" s="51">
        <f t="shared" si="9"/>
        <v>1.1459737937131379E-2</v>
      </c>
      <c r="J46" s="51">
        <f t="shared" si="11"/>
        <v>1</v>
      </c>
      <c r="K46" s="52"/>
    </row>
    <row r="47" spans="1:11" x14ac:dyDescent="0.2">
      <c r="A47" s="53" t="s">
        <v>110</v>
      </c>
      <c r="B47" s="54"/>
      <c r="C47" s="55"/>
      <c r="D47" s="55">
        <f>SUM(D18,D25,D26,D28,D33,D40,D41)</f>
        <v>179.34253999999999</v>
      </c>
      <c r="E47" s="55"/>
      <c r="F47" s="55"/>
      <c r="G47" s="55">
        <f>SUM(G18,G25,G26,G28,G33,G40,G41)</f>
        <v>181.37252599999997</v>
      </c>
      <c r="H47" s="55">
        <f>G47-D47</f>
        <v>2.0299859999999796</v>
      </c>
      <c r="I47" s="56">
        <f t="shared" si="9"/>
        <v>1.1319043434981906E-2</v>
      </c>
      <c r="J47" s="56"/>
      <c r="K47" s="57">
        <f>G47/$G$51</f>
        <v>0.95238095238095233</v>
      </c>
    </row>
    <row r="48" spans="1:11" x14ac:dyDescent="0.2">
      <c r="A48" s="154" t="s">
        <v>106</v>
      </c>
      <c r="B48" s="59"/>
      <c r="C48" s="31">
        <v>0.13</v>
      </c>
      <c r="D48" s="31">
        <f>D47*C48</f>
        <v>23.3145302</v>
      </c>
      <c r="E48" s="31"/>
      <c r="F48" s="31">
        <f>C48</f>
        <v>0.13</v>
      </c>
      <c r="G48" s="31">
        <f>G47*F48</f>
        <v>23.578428379999995</v>
      </c>
      <c r="H48" s="31">
        <f>G48-D48</f>
        <v>0.26389817999999465</v>
      </c>
      <c r="I48" s="32">
        <f t="shared" si="9"/>
        <v>1.1319043434981789E-2</v>
      </c>
      <c r="J48" s="32"/>
      <c r="K48" s="60">
        <f>G48/$G$51</f>
        <v>0.1238095238095238</v>
      </c>
    </row>
    <row r="49" spans="1:11" x14ac:dyDescent="0.2">
      <c r="A49" s="149" t="s">
        <v>111</v>
      </c>
      <c r="B49" s="29"/>
      <c r="C49" s="30"/>
      <c r="D49" s="30">
        <f>SUM(D47:D48)</f>
        <v>202.65707019999999</v>
      </c>
      <c r="E49" s="30"/>
      <c r="F49" s="30"/>
      <c r="G49" s="30">
        <f>SUM(G47:G48)</f>
        <v>204.95095437999996</v>
      </c>
      <c r="H49" s="30">
        <f>G49-D49</f>
        <v>2.2938841799999636</v>
      </c>
      <c r="I49" s="33">
        <f t="shared" si="9"/>
        <v>1.131904343498184E-2</v>
      </c>
      <c r="J49" s="33"/>
      <c r="K49" s="62">
        <f>G49/$G$51</f>
        <v>1.0761904761904761</v>
      </c>
    </row>
    <row r="50" spans="1:11" x14ac:dyDescent="0.2">
      <c r="A50" s="58" t="s">
        <v>108</v>
      </c>
      <c r="B50" s="59"/>
      <c r="C50" s="31">
        <v>-0.08</v>
      </c>
      <c r="D50" s="31">
        <f>D47*C50</f>
        <v>-14.347403199999999</v>
      </c>
      <c r="E50" s="31"/>
      <c r="F50" s="31">
        <f>C50</f>
        <v>-0.08</v>
      </c>
      <c r="G50" s="31">
        <f>G47*F50</f>
        <v>-14.509802079999998</v>
      </c>
      <c r="H50" s="31">
        <f>G50-D50</f>
        <v>-0.16239887999999958</v>
      </c>
      <c r="I50" s="32">
        <f t="shared" si="9"/>
        <v>-1.1319043434981991E-2</v>
      </c>
      <c r="J50" s="32"/>
      <c r="K50" s="60">
        <f>G50/$G$51</f>
        <v>-7.6190476190476197E-2</v>
      </c>
    </row>
    <row r="51" spans="1:11" ht="13.5" thickBot="1" x14ac:dyDescent="0.25">
      <c r="A51" s="63" t="s">
        <v>121</v>
      </c>
      <c r="B51" s="64"/>
      <c r="C51" s="65"/>
      <c r="D51" s="65">
        <f>SUM(D49:D50)</f>
        <v>188.30966699999999</v>
      </c>
      <c r="E51" s="65"/>
      <c r="F51" s="65"/>
      <c r="G51" s="65">
        <f>SUM(G49:G50)</f>
        <v>190.44115229999997</v>
      </c>
      <c r="H51" s="65">
        <f>G51-D51</f>
        <v>2.13148529999998</v>
      </c>
      <c r="I51" s="66">
        <f t="shared" si="9"/>
        <v>1.1319043434981912E-2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4"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100</v>
      </c>
      <c r="B1" s="191"/>
      <c r="C1" s="191"/>
      <c r="D1" s="191"/>
      <c r="E1" s="191"/>
      <c r="F1" s="191"/>
      <c r="G1" s="191"/>
      <c r="H1" s="191"/>
      <c r="I1" s="191"/>
      <c r="J1" s="191"/>
      <c r="K1" s="192"/>
    </row>
    <row r="3" spans="1:11" x14ac:dyDescent="0.2">
      <c r="A3" s="13" t="s">
        <v>13</v>
      </c>
      <c r="B3" s="13" t="s">
        <v>6</v>
      </c>
    </row>
    <row r="4" spans="1:11" x14ac:dyDescent="0.2">
      <c r="A4" s="15" t="s">
        <v>62</v>
      </c>
      <c r="B4" s="15">
        <v>2000</v>
      </c>
    </row>
    <row r="5" spans="1:11" x14ac:dyDescent="0.2">
      <c r="A5" s="15" t="s">
        <v>16</v>
      </c>
      <c r="B5" s="15">
        <f>VLOOKUP($B$3,'Data for Bill Impacts'!$A$6:$Y$18,5,0)</f>
        <v>0</v>
      </c>
    </row>
    <row r="6" spans="1:11" x14ac:dyDescent="0.2">
      <c r="A6" s="15" t="s">
        <v>20</v>
      </c>
      <c r="B6" s="15">
        <f>VLOOKUP($B$3,'Data for Bill Impacts'!$A$6:$Y$18,2,0)</f>
        <v>1.0669999999999999</v>
      </c>
    </row>
    <row r="7" spans="1:11" x14ac:dyDescent="0.2">
      <c r="A7" s="15" t="s">
        <v>15</v>
      </c>
      <c r="B7" s="15">
        <f>VLOOKUP($B$3,'Data for Bill Impacts'!$A$6:$Y$18,4,0)</f>
        <v>750</v>
      </c>
    </row>
    <row r="8" spans="1:11" x14ac:dyDescent="0.2">
      <c r="A8" s="15" t="s">
        <v>82</v>
      </c>
      <c r="B8" s="15">
        <f>B4*B6</f>
        <v>2134</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0.1885898104658478</v>
      </c>
      <c r="K12" s="106"/>
    </row>
    <row r="13" spans="1:11" x14ac:dyDescent="0.2">
      <c r="A13" s="107" t="s">
        <v>32</v>
      </c>
      <c r="B13" s="73">
        <f>IF(B4&gt;B7,(B4)-B7,0)</f>
        <v>1250</v>
      </c>
      <c r="C13" s="21">
        <v>0.106</v>
      </c>
      <c r="D13" s="22">
        <f>B13*C13</f>
        <v>132.5</v>
      </c>
      <c r="E13" s="73">
        <f t="shared" ref="E13:F17" si="1">B13</f>
        <v>1250</v>
      </c>
      <c r="F13" s="21">
        <f t="shared" si="1"/>
        <v>0.106</v>
      </c>
      <c r="G13" s="22">
        <f>E13*F13</f>
        <v>132.5</v>
      </c>
      <c r="H13" s="22">
        <f t="shared" ref="H13:H46" si="2">G13-D13</f>
        <v>0</v>
      </c>
      <c r="I13" s="23">
        <f t="shared" si="0"/>
        <v>0</v>
      </c>
      <c r="J13" s="23">
        <f>G13/$G$46</f>
        <v>0.36612673826703052</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G14/$G$46</f>
        <v>0.55471654873287835</v>
      </c>
      <c r="K14" s="108"/>
    </row>
    <row r="15" spans="1:11" s="1" customFormat="1" x14ac:dyDescent="0.2">
      <c r="A15" s="109" t="s">
        <v>34</v>
      </c>
      <c r="B15" s="75">
        <f>B4*0.65</f>
        <v>1300</v>
      </c>
      <c r="C15" s="28">
        <v>7.6999999999999999E-2</v>
      </c>
      <c r="D15" s="22">
        <f>B15*C15</f>
        <v>100.1</v>
      </c>
      <c r="E15" s="73">
        <f t="shared" ref="E15:E17" si="3">B15</f>
        <v>1300</v>
      </c>
      <c r="F15" s="28">
        <f t="shared" si="1"/>
        <v>7.6999999999999999E-2</v>
      </c>
      <c r="G15" s="22">
        <f>E15*F15</f>
        <v>100.1</v>
      </c>
      <c r="H15" s="22">
        <f t="shared" si="2"/>
        <v>0</v>
      </c>
      <c r="I15" s="23">
        <f t="shared" si="0"/>
        <v>0</v>
      </c>
      <c r="J15" s="23"/>
      <c r="K15" s="108">
        <f t="shared" ref="K15:K26" si="4">G15/$G$51</f>
        <v>0.28220402957436663</v>
      </c>
    </row>
    <row r="16" spans="1:11" s="1" customFormat="1" x14ac:dyDescent="0.2">
      <c r="A16" s="109" t="s">
        <v>35</v>
      </c>
      <c r="B16" s="75">
        <f>B4*0.17</f>
        <v>340</v>
      </c>
      <c r="C16" s="28">
        <v>0.113</v>
      </c>
      <c r="D16" s="22">
        <f>B16*C16</f>
        <v>38.42</v>
      </c>
      <c r="E16" s="73">
        <f t="shared" si="3"/>
        <v>340</v>
      </c>
      <c r="F16" s="28">
        <f t="shared" si="1"/>
        <v>0.113</v>
      </c>
      <c r="G16" s="22">
        <f>E16*F16</f>
        <v>38.42</v>
      </c>
      <c r="H16" s="22">
        <f t="shared" si="2"/>
        <v>0</v>
      </c>
      <c r="I16" s="23">
        <f t="shared" si="0"/>
        <v>0</v>
      </c>
      <c r="J16" s="23"/>
      <c r="K16" s="108">
        <f t="shared" si="4"/>
        <v>0.10831447368878287</v>
      </c>
    </row>
    <row r="17" spans="1:11" s="1" customFormat="1" x14ac:dyDescent="0.2">
      <c r="A17" s="109" t="s">
        <v>36</v>
      </c>
      <c r="B17" s="75">
        <f>B4*0.18</f>
        <v>360</v>
      </c>
      <c r="C17" s="28">
        <v>0.157</v>
      </c>
      <c r="D17" s="22">
        <f>B17*C17</f>
        <v>56.52</v>
      </c>
      <c r="E17" s="73">
        <f t="shared" si="3"/>
        <v>360</v>
      </c>
      <c r="F17" s="28">
        <f t="shared" si="1"/>
        <v>0.157</v>
      </c>
      <c r="G17" s="22">
        <f>E17*F17</f>
        <v>56.52</v>
      </c>
      <c r="H17" s="22">
        <f t="shared" si="2"/>
        <v>0</v>
      </c>
      <c r="I17" s="23">
        <f t="shared" si="0"/>
        <v>0</v>
      </c>
      <c r="J17" s="23"/>
      <c r="K17" s="108">
        <f t="shared" si="4"/>
        <v>0.15934237514029173</v>
      </c>
    </row>
    <row r="18" spans="1:11" s="1" customFormat="1" x14ac:dyDescent="0.2">
      <c r="A18" s="61" t="s">
        <v>37</v>
      </c>
      <c r="B18" s="29"/>
      <c r="C18" s="30"/>
      <c r="D18" s="30">
        <f>SUM(D15:D17)</f>
        <v>195.04</v>
      </c>
      <c r="E18" s="77"/>
      <c r="F18" s="30"/>
      <c r="G18" s="30">
        <f>SUM(G15:G17)</f>
        <v>195.04</v>
      </c>
      <c r="H18" s="31">
        <f t="shared" si="2"/>
        <v>0</v>
      </c>
      <c r="I18" s="32">
        <f t="shared" si="0"/>
        <v>0</v>
      </c>
      <c r="J18" s="33">
        <f t="shared" ref="J18:J23" si="5">G18/$G$46</f>
        <v>0.53893855872906893</v>
      </c>
      <c r="K18" s="62">
        <f t="shared" si="4"/>
        <v>0.54986087840344122</v>
      </c>
    </row>
    <row r="19" spans="1:11" x14ac:dyDescent="0.2">
      <c r="A19" s="107" t="s">
        <v>38</v>
      </c>
      <c r="B19" s="73">
        <v>1</v>
      </c>
      <c r="C19" s="78">
        <f>VLOOKUP($B$3,'Data for Bill Impacts'!$A$6:$Y$18,7,0)</f>
        <v>23.3</v>
      </c>
      <c r="D19" s="22">
        <f>B19*C19</f>
        <v>23.3</v>
      </c>
      <c r="E19" s="73">
        <f t="shared" ref="E19:E41" si="6">B19</f>
        <v>1</v>
      </c>
      <c r="F19" s="78">
        <f>VLOOKUP($B$3,'Data for Bill Impacts'!$A$6:$Y$18,17,0)</f>
        <v>23.88</v>
      </c>
      <c r="G19" s="22">
        <f>E19*F19</f>
        <v>23.88</v>
      </c>
      <c r="H19" s="22">
        <f t="shared" si="2"/>
        <v>0.57999999999999829</v>
      </c>
      <c r="I19" s="23">
        <f>IF(ISERROR(H19/ABS(D19)),"N/A",(H19/ABS(D19)))</f>
        <v>2.4892703862660872E-2</v>
      </c>
      <c r="J19" s="23">
        <f t="shared" si="5"/>
        <v>6.598570950805048E-2</v>
      </c>
      <c r="K19" s="108">
        <f t="shared" si="4"/>
        <v>6.7322999263095651E-2</v>
      </c>
    </row>
    <row r="20" spans="1:11" hidden="1" x14ac:dyDescent="0.2">
      <c r="A20" s="107" t="s">
        <v>114</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0.67</v>
      </c>
      <c r="D21" s="22">
        <f t="shared" si="7"/>
        <v>0.67</v>
      </c>
      <c r="E21" s="73">
        <f t="shared" si="6"/>
        <v>1</v>
      </c>
      <c r="F21" s="121">
        <f>VLOOKUP($B$3,'Data for Bill Impacts'!$A$6:$Y$18,22,0)</f>
        <v>8.0000000000000002E-3</v>
      </c>
      <c r="G21" s="22">
        <f t="shared" si="8"/>
        <v>8.0000000000000002E-3</v>
      </c>
      <c r="H21" s="22">
        <f t="shared" si="2"/>
        <v>-0.66200000000000003</v>
      </c>
      <c r="I21" s="23">
        <f t="shared" si="9"/>
        <v>-0.9880597014925373</v>
      </c>
      <c r="J21" s="23">
        <f t="shared" si="5"/>
        <v>2.2105765329330146E-5</v>
      </c>
      <c r="K21" s="108">
        <f t="shared" si="4"/>
        <v>2.2553768597351978E-5</v>
      </c>
    </row>
    <row r="22" spans="1:11" hidden="1" x14ac:dyDescent="0.2">
      <c r="A22" s="107" t="s">
        <v>123</v>
      </c>
      <c r="B22" s="73">
        <f>B4</f>
        <v>2000</v>
      </c>
      <c r="C22" s="78">
        <v>0</v>
      </c>
      <c r="D22" s="22">
        <f>B22*C22</f>
        <v>0</v>
      </c>
      <c r="E22" s="73">
        <f>B22</f>
        <v>2000</v>
      </c>
      <c r="F22" s="78">
        <f>C22</f>
        <v>0</v>
      </c>
      <c r="G22" s="22">
        <f>E22*F22</f>
        <v>0</v>
      </c>
      <c r="H22" s="22">
        <f>G22-D22</f>
        <v>0</v>
      </c>
      <c r="I22" s="23" t="str">
        <f t="shared" si="9"/>
        <v>N/A</v>
      </c>
      <c r="J22" s="23">
        <f t="shared" si="5"/>
        <v>0</v>
      </c>
      <c r="K22" s="108">
        <f t="shared" si="4"/>
        <v>0</v>
      </c>
    </row>
    <row r="23" spans="1:11" x14ac:dyDescent="0.2">
      <c r="A23" s="107" t="s">
        <v>39</v>
      </c>
      <c r="B23" s="73">
        <f>IF($B$9="kWh",$B$4,$B$5)</f>
        <v>2000</v>
      </c>
      <c r="C23" s="78">
        <f>VLOOKUP($B$3,'Data for Bill Impacts'!$A$6:$Y$18,10,0)</f>
        <v>2.6200000000000001E-2</v>
      </c>
      <c r="D23" s="22">
        <f>B23*C23</f>
        <v>52.400000000000006</v>
      </c>
      <c r="E23" s="73">
        <f t="shared" si="6"/>
        <v>2000</v>
      </c>
      <c r="F23" s="125">
        <f>VLOOKUP($B$3,'Data for Bill Impacts'!$A$6:$Y$18,19,0)</f>
        <v>2.7799999999999998E-2</v>
      </c>
      <c r="G23" s="22">
        <f>E23*F23</f>
        <v>55.599999999999994</v>
      </c>
      <c r="H23" s="22">
        <f t="shared" si="2"/>
        <v>3.1999999999999886</v>
      </c>
      <c r="I23" s="23">
        <f t="shared" si="9"/>
        <v>6.1068702290076111E-2</v>
      </c>
      <c r="J23" s="23">
        <f t="shared" si="5"/>
        <v>0.1536350690388445</v>
      </c>
      <c r="K23" s="108">
        <f t="shared" si="4"/>
        <v>0.15674869175159623</v>
      </c>
    </row>
    <row r="24" spans="1:11" x14ac:dyDescent="0.2">
      <c r="A24" s="107" t="s">
        <v>124</v>
      </c>
      <c r="B24" s="73">
        <f>IF($B$9="kWh",$B$4,$B$5)</f>
        <v>2000</v>
      </c>
      <c r="C24" s="78">
        <f>VLOOKUP($B$3,'Data for Bill Impacts'!$A$6:$Y$18,14,0)</f>
        <v>-1E-4</v>
      </c>
      <c r="D24" s="22">
        <f>B24*C24</f>
        <v>-0.2</v>
      </c>
      <c r="E24" s="73">
        <f t="shared" si="6"/>
        <v>2000</v>
      </c>
      <c r="F24" s="125">
        <f>VLOOKUP($B$3,'Data for Bill Impacts'!$A$6:$Y$18,23,0)</f>
        <v>3.0000000000000004E-5</v>
      </c>
      <c r="G24" s="22">
        <f>E24*F24</f>
        <v>6.0000000000000012E-2</v>
      </c>
      <c r="H24" s="22">
        <f t="shared" si="2"/>
        <v>0.26</v>
      </c>
      <c r="I24" s="23">
        <f t="shared" si="9"/>
        <v>1.3</v>
      </c>
      <c r="J24" s="23">
        <f t="shared" ref="J24" si="10">G24/$G$46</f>
        <v>1.6579323996997612E-4</v>
      </c>
      <c r="K24" s="108">
        <f t="shared" si="4"/>
        <v>1.6915326448013987E-4</v>
      </c>
    </row>
    <row r="25" spans="1:11" s="1" customFormat="1" x14ac:dyDescent="0.2">
      <c r="A25" s="110" t="s">
        <v>72</v>
      </c>
      <c r="B25" s="74"/>
      <c r="C25" s="35"/>
      <c r="D25" s="35">
        <f>SUM(D19:D24)</f>
        <v>76.17</v>
      </c>
      <c r="E25" s="73"/>
      <c r="F25" s="35"/>
      <c r="G25" s="35">
        <f>SUM(G19:G24)</f>
        <v>79.548000000000002</v>
      </c>
      <c r="H25" s="35">
        <f t="shared" si="2"/>
        <v>3.3780000000000001</v>
      </c>
      <c r="I25" s="36">
        <f t="shared" si="9"/>
        <v>4.434816857030327E-2</v>
      </c>
      <c r="J25" s="36">
        <f>G25/$G$46</f>
        <v>0.2198086775521943</v>
      </c>
      <c r="K25" s="111">
        <f t="shared" si="4"/>
        <v>0.2242633980477694</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G26/$G$46</f>
        <v>2.182944326271352E-3</v>
      </c>
      <c r="K26" s="108">
        <f t="shared" si="4"/>
        <v>2.227184648988508E-3</v>
      </c>
    </row>
    <row r="27" spans="1:11" s="1" customFormat="1" x14ac:dyDescent="0.2">
      <c r="A27" s="119" t="s">
        <v>75</v>
      </c>
      <c r="B27" s="120">
        <f>B8-B4</f>
        <v>134</v>
      </c>
      <c r="C27" s="176">
        <f>IF(B4&gt;B7,C13,C12)</f>
        <v>0.106</v>
      </c>
      <c r="D27" s="22">
        <f>B27*C27</f>
        <v>14.203999999999999</v>
      </c>
      <c r="E27" s="73">
        <f>B27</f>
        <v>134</v>
      </c>
      <c r="F27" s="176">
        <f>C27</f>
        <v>0.106</v>
      </c>
      <c r="G27" s="22">
        <f>E27*F27</f>
        <v>14.203999999999999</v>
      </c>
      <c r="H27" s="22">
        <f t="shared" si="2"/>
        <v>0</v>
      </c>
      <c r="I27" s="23">
        <f t="shared" si="9"/>
        <v>0</v>
      </c>
      <c r="J27" s="23">
        <f t="shared" ref="J27:J46" si="11">G27/$G$46</f>
        <v>3.9248786342225672E-2</v>
      </c>
      <c r="K27" s="108">
        <f t="shared" ref="K27:K41" si="12">G27/$G$51</f>
        <v>4.0044216144598431E-2</v>
      </c>
    </row>
    <row r="28" spans="1:11" s="1" customFormat="1" x14ac:dyDescent="0.2">
      <c r="A28" s="119" t="s">
        <v>74</v>
      </c>
      <c r="B28" s="120">
        <f>B8-B4</f>
        <v>134</v>
      </c>
      <c r="C28" s="176">
        <f>0.65*C15+0.17*C16+0.18*C17</f>
        <v>9.7519999999999996E-2</v>
      </c>
      <c r="D28" s="22">
        <f>B28*C28</f>
        <v>13.067679999999999</v>
      </c>
      <c r="E28" s="73">
        <f>B28</f>
        <v>134</v>
      </c>
      <c r="F28" s="176">
        <f>C28</f>
        <v>9.7519999999999996E-2</v>
      </c>
      <c r="G28" s="22">
        <f>E28*F28</f>
        <v>13.067679999999999</v>
      </c>
      <c r="H28" s="22">
        <f t="shared" si="2"/>
        <v>0</v>
      </c>
      <c r="I28" s="23">
        <f t="shared" si="9"/>
        <v>0</v>
      </c>
      <c r="J28" s="23">
        <f t="shared" si="11"/>
        <v>3.6108883434847618E-2</v>
      </c>
      <c r="K28" s="108">
        <f t="shared" si="12"/>
        <v>3.6840678853030558E-2</v>
      </c>
    </row>
    <row r="29" spans="1:11" s="1" customFormat="1" x14ac:dyDescent="0.2">
      <c r="A29" s="110" t="s">
        <v>78</v>
      </c>
      <c r="B29" s="74"/>
      <c r="C29" s="35"/>
      <c r="D29" s="35">
        <f>SUM(D25,D26:D27)</f>
        <v>91.164000000000001</v>
      </c>
      <c r="E29" s="73"/>
      <c r="F29" s="35"/>
      <c r="G29" s="35">
        <f>SUM(G25,G26:G27)</f>
        <v>94.542000000000002</v>
      </c>
      <c r="H29" s="35">
        <f t="shared" si="2"/>
        <v>3.3780000000000001</v>
      </c>
      <c r="I29" s="36">
        <f t="shared" si="9"/>
        <v>3.7054100302751088E-2</v>
      </c>
      <c r="J29" s="36">
        <f t="shared" si="11"/>
        <v>0.26124040822069133</v>
      </c>
      <c r="K29" s="111">
        <f t="shared" si="12"/>
        <v>0.26653479884135634</v>
      </c>
    </row>
    <row r="30" spans="1:11" s="1" customFormat="1" x14ac:dyDescent="0.2">
      <c r="A30" s="110" t="s">
        <v>77</v>
      </c>
      <c r="B30" s="74"/>
      <c r="C30" s="35"/>
      <c r="D30" s="35">
        <f>SUM(D25,D26,D28)</f>
        <v>90.027680000000004</v>
      </c>
      <c r="E30" s="73"/>
      <c r="F30" s="35"/>
      <c r="G30" s="35">
        <f>SUM(G25,G26,G28)</f>
        <v>93.405680000000004</v>
      </c>
      <c r="H30" s="35">
        <f t="shared" si="2"/>
        <v>3.3780000000000001</v>
      </c>
      <c r="I30" s="36">
        <f t="shared" si="9"/>
        <v>3.7521793297350323E-2</v>
      </c>
      <c r="J30" s="36">
        <f t="shared" si="11"/>
        <v>0.2581005053133133</v>
      </c>
      <c r="K30" s="111">
        <f t="shared" si="12"/>
        <v>0.26333126154978848</v>
      </c>
    </row>
    <row r="31" spans="1:11" x14ac:dyDescent="0.2">
      <c r="A31" s="107" t="s">
        <v>40</v>
      </c>
      <c r="B31" s="73">
        <f>B8</f>
        <v>2134</v>
      </c>
      <c r="C31" s="78">
        <f>VLOOKUP($B$3,'Data for Bill Impacts'!$A$6:$Y$18,15,0)</f>
        <v>6.4000000000000003E-3</v>
      </c>
      <c r="D31" s="22">
        <f>B31*C31</f>
        <v>13.6576</v>
      </c>
      <c r="E31" s="73">
        <f t="shared" si="6"/>
        <v>2134</v>
      </c>
      <c r="F31" s="125">
        <f>VLOOKUP($B$3,'Data for Bill Impacts'!$A$6:$Y$18,24,0)</f>
        <v>6.1060000000000003E-3</v>
      </c>
      <c r="G31" s="22">
        <f>E31*F31</f>
        <v>13.030204000000001</v>
      </c>
      <c r="H31" s="22">
        <f t="shared" si="2"/>
        <v>-0.62739599999999918</v>
      </c>
      <c r="I31" s="23">
        <f t="shared" si="9"/>
        <v>-4.5937499999999937E-2</v>
      </c>
      <c r="J31" s="23">
        <f t="shared" si="11"/>
        <v>3.6005328977162375E-2</v>
      </c>
      <c r="K31" s="108">
        <f t="shared" si="12"/>
        <v>3.6735025724036273E-2</v>
      </c>
    </row>
    <row r="32" spans="1:11" x14ac:dyDescent="0.2">
      <c r="A32" s="107" t="s">
        <v>41</v>
      </c>
      <c r="B32" s="73">
        <f>B8</f>
        <v>2134</v>
      </c>
      <c r="C32" s="125">
        <f>VLOOKUP($B$3,'Data for Bill Impacts'!$A$6:$Y$18,16,0)</f>
        <v>4.0000000000000001E-3</v>
      </c>
      <c r="D32" s="22">
        <f>B32*C32</f>
        <v>8.5359999999999996</v>
      </c>
      <c r="E32" s="73">
        <f t="shared" si="6"/>
        <v>2134</v>
      </c>
      <c r="F32" s="125">
        <f>VLOOKUP($B$3,'Data for Bill Impacts'!$A$6:$Y$18,25,0)</f>
        <v>4.6519999999999999E-3</v>
      </c>
      <c r="G32" s="22">
        <f>E32*F32</f>
        <v>9.9273679999999995</v>
      </c>
      <c r="H32" s="22">
        <f t="shared" si="2"/>
        <v>1.3913679999999999</v>
      </c>
      <c r="I32" s="23">
        <f t="shared" si="9"/>
        <v>0.16300000000000001</v>
      </c>
      <c r="J32" s="23">
        <f t="shared" si="11"/>
        <v>2.7431508418237691E-2</v>
      </c>
      <c r="K32" s="108">
        <f t="shared" si="12"/>
        <v>2.7987445081594613E-2</v>
      </c>
    </row>
    <row r="33" spans="1:11" s="1" customFormat="1" x14ac:dyDescent="0.2">
      <c r="A33" s="110" t="s">
        <v>76</v>
      </c>
      <c r="B33" s="74"/>
      <c r="C33" s="35"/>
      <c r="D33" s="35">
        <f>SUM(D31:D32)</f>
        <v>22.1936</v>
      </c>
      <c r="E33" s="73"/>
      <c r="F33" s="35"/>
      <c r="G33" s="35">
        <f>SUM(G31:G32)</f>
        <v>22.957571999999999</v>
      </c>
      <c r="H33" s="35">
        <f t="shared" si="2"/>
        <v>0.76397199999999899</v>
      </c>
      <c r="I33" s="36">
        <f t="shared" si="9"/>
        <v>3.4423076923076876E-2</v>
      </c>
      <c r="J33" s="36">
        <f t="shared" si="11"/>
        <v>6.3436837395400056E-2</v>
      </c>
      <c r="K33" s="111">
        <f t="shared" si="12"/>
        <v>6.4722470805630872E-2</v>
      </c>
    </row>
    <row r="34" spans="1:11" s="1" customFormat="1" ht="13.5" customHeight="1" x14ac:dyDescent="0.2">
      <c r="A34" s="110" t="s">
        <v>91</v>
      </c>
      <c r="B34" s="74"/>
      <c r="C34" s="35"/>
      <c r="D34" s="35">
        <f>D29+D33</f>
        <v>113.35760000000001</v>
      </c>
      <c r="E34" s="73"/>
      <c r="F34" s="35"/>
      <c r="G34" s="35">
        <f>G29+G33</f>
        <v>117.499572</v>
      </c>
      <c r="H34" s="35">
        <f t="shared" si="2"/>
        <v>4.1419719999999955</v>
      </c>
      <c r="I34" s="36">
        <f t="shared" si="9"/>
        <v>3.653898812254313E-2</v>
      </c>
      <c r="J34" s="36">
        <f t="shared" si="11"/>
        <v>0.3246772456160914</v>
      </c>
      <c r="K34" s="111">
        <f t="shared" si="12"/>
        <v>0.33125726964698721</v>
      </c>
    </row>
    <row r="35" spans="1:11" s="1" customFormat="1" ht="13.5" customHeight="1" x14ac:dyDescent="0.2">
      <c r="A35" s="110" t="s">
        <v>92</v>
      </c>
      <c r="B35" s="74"/>
      <c r="C35" s="35"/>
      <c r="D35" s="35">
        <f>D30+D33</f>
        <v>112.22128000000001</v>
      </c>
      <c r="E35" s="73"/>
      <c r="F35" s="35"/>
      <c r="G35" s="35">
        <f>G30+G33</f>
        <v>116.363252</v>
      </c>
      <c r="H35" s="35">
        <f t="shared" si="2"/>
        <v>4.1419719999999955</v>
      </c>
      <c r="I35" s="36">
        <f t="shared" si="9"/>
        <v>3.6908971275323138E-2</v>
      </c>
      <c r="J35" s="36">
        <f t="shared" si="11"/>
        <v>0.32153734270871331</v>
      </c>
      <c r="K35" s="111">
        <f t="shared" si="12"/>
        <v>0.32805373235541935</v>
      </c>
    </row>
    <row r="36" spans="1:11" x14ac:dyDescent="0.2">
      <c r="A36" s="107" t="s">
        <v>42</v>
      </c>
      <c r="B36" s="73">
        <f>B8</f>
        <v>2134</v>
      </c>
      <c r="C36" s="34">
        <v>3.5999999999999999E-3</v>
      </c>
      <c r="D36" s="22">
        <f>B36*C36</f>
        <v>7.6823999999999995</v>
      </c>
      <c r="E36" s="73">
        <f t="shared" si="6"/>
        <v>2134</v>
      </c>
      <c r="F36" s="34">
        <v>3.5999999999999999E-3</v>
      </c>
      <c r="G36" s="22">
        <f>E36*F36</f>
        <v>7.6823999999999995</v>
      </c>
      <c r="H36" s="22">
        <f t="shared" si="2"/>
        <v>0</v>
      </c>
      <c r="I36" s="23">
        <f t="shared" si="9"/>
        <v>0</v>
      </c>
      <c r="J36" s="23">
        <f t="shared" si="11"/>
        <v>2.1228166445755738E-2</v>
      </c>
      <c r="K36" s="108">
        <f t="shared" si="12"/>
        <v>2.1658383984037102E-2</v>
      </c>
    </row>
    <row r="37" spans="1:11" x14ac:dyDescent="0.2">
      <c r="A37" s="107" t="s">
        <v>43</v>
      </c>
      <c r="B37" s="73">
        <f>B8</f>
        <v>2134</v>
      </c>
      <c r="C37" s="34">
        <v>2.0999999999999999E-3</v>
      </c>
      <c r="D37" s="22">
        <f>B37*C37</f>
        <v>4.4813999999999998</v>
      </c>
      <c r="E37" s="73">
        <f t="shared" si="6"/>
        <v>2134</v>
      </c>
      <c r="F37" s="34">
        <v>2.0999999999999999E-3</v>
      </c>
      <c r="G37" s="22">
        <f>E37*F37</f>
        <v>4.4813999999999998</v>
      </c>
      <c r="H37" s="22">
        <f>G37-D37</f>
        <v>0</v>
      </c>
      <c r="I37" s="23">
        <f t="shared" si="9"/>
        <v>0</v>
      </c>
      <c r="J37" s="23">
        <f t="shared" si="11"/>
        <v>1.2383097093357514E-2</v>
      </c>
      <c r="K37" s="108">
        <f t="shared" si="12"/>
        <v>1.2634057324021643E-2</v>
      </c>
    </row>
    <row r="38" spans="1:11" x14ac:dyDescent="0.2">
      <c r="A38" s="107" t="s">
        <v>96</v>
      </c>
      <c r="B38" s="73">
        <f>B8</f>
        <v>2134</v>
      </c>
      <c r="C38" s="34">
        <v>0</v>
      </c>
      <c r="D38" s="22">
        <f>B38*C38</f>
        <v>0</v>
      </c>
      <c r="E38" s="73">
        <f t="shared" si="6"/>
        <v>2134</v>
      </c>
      <c r="F38" s="34">
        <v>0</v>
      </c>
      <c r="G38" s="22">
        <f>E38*F38</f>
        <v>0</v>
      </c>
      <c r="H38" s="22">
        <f>G38-D38</f>
        <v>0</v>
      </c>
      <c r="I38" s="23" t="str">
        <f t="shared" si="9"/>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1"/>
        <v>6.9080516654156706E-4</v>
      </c>
      <c r="K39" s="108">
        <f t="shared" si="12"/>
        <v>7.0480526866724934E-4</v>
      </c>
    </row>
    <row r="40" spans="1:11" s="1" customFormat="1" x14ac:dyDescent="0.2">
      <c r="A40" s="110" t="s">
        <v>45</v>
      </c>
      <c r="B40" s="74"/>
      <c r="C40" s="35"/>
      <c r="D40" s="35">
        <f>SUM(D36:D39)</f>
        <v>12.413799999999998</v>
      </c>
      <c r="E40" s="73"/>
      <c r="F40" s="35"/>
      <c r="G40" s="35">
        <f>SUM(G36:G39)</f>
        <v>12.413799999999998</v>
      </c>
      <c r="H40" s="35">
        <f t="shared" si="2"/>
        <v>0</v>
      </c>
      <c r="I40" s="36">
        <f t="shared" si="9"/>
        <v>0</v>
      </c>
      <c r="J40" s="36">
        <f t="shared" si="11"/>
        <v>3.4302068705654817E-2</v>
      </c>
      <c r="K40" s="111">
        <f t="shared" si="12"/>
        <v>3.4997246576725996E-2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2"/>
        <v>0</v>
      </c>
      <c r="I41" s="117">
        <f t="shared" si="9"/>
        <v>0</v>
      </c>
      <c r="J41" s="117">
        <f t="shared" si="11"/>
        <v>3.8685089326327755E-2</v>
      </c>
      <c r="K41" s="118">
        <f t="shared" si="12"/>
        <v>3.9469095045365964E-2</v>
      </c>
    </row>
    <row r="42" spans="1:11" s="1" customFormat="1" x14ac:dyDescent="0.2">
      <c r="A42" s="37" t="s">
        <v>105</v>
      </c>
      <c r="B42" s="38"/>
      <c r="C42" s="39"/>
      <c r="D42" s="39">
        <f>SUM(D14,D25,D26,D27,D33,D40,D41)</f>
        <v>340.52140000000003</v>
      </c>
      <c r="E42" s="38"/>
      <c r="F42" s="39"/>
      <c r="G42" s="39">
        <f>SUM(G14,G25,G26,G27,G33,G40,G41)</f>
        <v>344.66337200000004</v>
      </c>
      <c r="H42" s="39">
        <f t="shared" si="2"/>
        <v>4.1419720000000098</v>
      </c>
      <c r="I42" s="40">
        <f t="shared" si="9"/>
        <v>1.2163617323316564E-2</v>
      </c>
      <c r="J42" s="40">
        <f t="shared" si="11"/>
        <v>0.95238095238095244</v>
      </c>
      <c r="K42" s="41"/>
    </row>
    <row r="43" spans="1:11" x14ac:dyDescent="0.2">
      <c r="A43" s="153" t="s">
        <v>106</v>
      </c>
      <c r="B43" s="43"/>
      <c r="C43" s="26">
        <v>0.13</v>
      </c>
      <c r="D43" s="26">
        <f>D42*C43</f>
        <v>44.267782000000004</v>
      </c>
      <c r="E43" s="26"/>
      <c r="F43" s="26">
        <f>C43</f>
        <v>0.13</v>
      </c>
      <c r="G43" s="26">
        <f>G42*F43</f>
        <v>44.806238360000009</v>
      </c>
      <c r="H43" s="26">
        <f t="shared" si="2"/>
        <v>0.53845636000000496</v>
      </c>
      <c r="I43" s="44">
        <f t="shared" si="9"/>
        <v>1.2163617323316649E-2</v>
      </c>
      <c r="J43" s="44">
        <f t="shared" si="11"/>
        <v>0.12380952380952383</v>
      </c>
      <c r="K43" s="45"/>
    </row>
    <row r="44" spans="1:11" s="1" customFormat="1" x14ac:dyDescent="0.2">
      <c r="A44" s="46" t="s">
        <v>107</v>
      </c>
      <c r="B44" s="24"/>
      <c r="C44" s="25"/>
      <c r="D44" s="25">
        <f>SUM(D42:D43)</f>
        <v>384.78918200000004</v>
      </c>
      <c r="E44" s="25"/>
      <c r="F44" s="25"/>
      <c r="G44" s="25">
        <f>SUM(G42:G43)</f>
        <v>389.46961036000005</v>
      </c>
      <c r="H44" s="25">
        <f t="shared" si="2"/>
        <v>4.6804283600000076</v>
      </c>
      <c r="I44" s="27">
        <f t="shared" si="9"/>
        <v>1.2163617323316556E-2</v>
      </c>
      <c r="J44" s="27">
        <f t="shared" si="11"/>
        <v>1.0761904761904761</v>
      </c>
      <c r="K44" s="47"/>
    </row>
    <row r="45" spans="1:11" x14ac:dyDescent="0.2">
      <c r="A45" s="42" t="s">
        <v>108</v>
      </c>
      <c r="B45" s="43"/>
      <c r="C45" s="26">
        <v>-0.08</v>
      </c>
      <c r="D45" s="26">
        <f>D42*C45</f>
        <v>-27.241712000000003</v>
      </c>
      <c r="E45" s="26"/>
      <c r="F45" s="26">
        <f>C45</f>
        <v>-0.08</v>
      </c>
      <c r="G45" s="26">
        <f>G42*F45</f>
        <v>-27.573069760000003</v>
      </c>
      <c r="H45" s="26">
        <f t="shared" si="2"/>
        <v>-0.3313577599999995</v>
      </c>
      <c r="I45" s="44">
        <f t="shared" si="9"/>
        <v>-1.2163617323316517E-2</v>
      </c>
      <c r="J45" s="44">
        <f t="shared" si="11"/>
        <v>-7.6190476190476183E-2</v>
      </c>
      <c r="K45" s="45"/>
    </row>
    <row r="46" spans="1:11" s="1" customFormat="1" ht="13.5" thickBot="1" x14ac:dyDescent="0.25">
      <c r="A46" s="48" t="s">
        <v>109</v>
      </c>
      <c r="B46" s="49"/>
      <c r="C46" s="50"/>
      <c r="D46" s="50">
        <f>SUM(D44:D45)</f>
        <v>357.54747000000003</v>
      </c>
      <c r="E46" s="50"/>
      <c r="F46" s="50"/>
      <c r="G46" s="50">
        <f>SUM(G44:G45)</f>
        <v>361.89654060000004</v>
      </c>
      <c r="H46" s="50">
        <f t="shared" si="2"/>
        <v>4.3490706000000046</v>
      </c>
      <c r="I46" s="51">
        <f t="shared" si="9"/>
        <v>1.2163617323316549E-2</v>
      </c>
      <c r="J46" s="51">
        <f t="shared" si="11"/>
        <v>1</v>
      </c>
      <c r="K46" s="52"/>
    </row>
    <row r="47" spans="1:11" x14ac:dyDescent="0.2">
      <c r="A47" s="53" t="s">
        <v>110</v>
      </c>
      <c r="B47" s="54"/>
      <c r="C47" s="55"/>
      <c r="D47" s="55">
        <f>SUM(D18,D25,D26,D28,D33,D40,D41)</f>
        <v>333.67507999999998</v>
      </c>
      <c r="E47" s="55"/>
      <c r="F47" s="55"/>
      <c r="G47" s="55">
        <f>SUM(G18,G25,G26,G28,G33,G40,G41)</f>
        <v>337.81705199999993</v>
      </c>
      <c r="H47" s="55">
        <f>G47-D47</f>
        <v>4.1419719999999529</v>
      </c>
      <c r="I47" s="56">
        <f t="shared" si="9"/>
        <v>1.2413189501595244E-2</v>
      </c>
      <c r="J47" s="56"/>
      <c r="K47" s="57">
        <f>G47/$G$51</f>
        <v>0.95238095238095233</v>
      </c>
    </row>
    <row r="48" spans="1:11" x14ac:dyDescent="0.2">
      <c r="A48" s="58" t="s">
        <v>106</v>
      </c>
      <c r="B48" s="59"/>
      <c r="C48" s="31">
        <v>0.13</v>
      </c>
      <c r="D48" s="31">
        <f>D47*C48</f>
        <v>43.3777604</v>
      </c>
      <c r="E48" s="31"/>
      <c r="F48" s="31">
        <f>C48</f>
        <v>0.13</v>
      </c>
      <c r="G48" s="31">
        <f>G47*F48</f>
        <v>43.91621675999999</v>
      </c>
      <c r="H48" s="31">
        <f>G48-D48</f>
        <v>0.53845635999999075</v>
      </c>
      <c r="I48" s="32">
        <f t="shared" si="9"/>
        <v>1.2413189501595171E-2</v>
      </c>
      <c r="J48" s="32"/>
      <c r="K48" s="60">
        <f>G48/$G$51</f>
        <v>0.1238095238095238</v>
      </c>
    </row>
    <row r="49" spans="1:11" x14ac:dyDescent="0.2">
      <c r="A49" s="149" t="s">
        <v>111</v>
      </c>
      <c r="B49" s="29"/>
      <c r="C49" s="30"/>
      <c r="D49" s="30">
        <f>SUM(D47:D48)</f>
        <v>377.05284039999998</v>
      </c>
      <c r="E49" s="30"/>
      <c r="F49" s="30"/>
      <c r="G49" s="30">
        <f>SUM(G47:G48)</f>
        <v>381.73326875999993</v>
      </c>
      <c r="H49" s="30">
        <f>G49-D49</f>
        <v>4.6804283599999508</v>
      </c>
      <c r="I49" s="33">
        <f t="shared" si="9"/>
        <v>1.2413189501595255E-2</v>
      </c>
      <c r="J49" s="33"/>
      <c r="K49" s="62">
        <f>G49/$G$51</f>
        <v>1.0761904761904761</v>
      </c>
    </row>
    <row r="50" spans="1:11" x14ac:dyDescent="0.2">
      <c r="A50" s="58" t="s">
        <v>108</v>
      </c>
      <c r="B50" s="59"/>
      <c r="C50" s="31">
        <v>-0.08</v>
      </c>
      <c r="D50" s="31">
        <f>D47*C50</f>
        <v>-26.694006399999999</v>
      </c>
      <c r="E50" s="31"/>
      <c r="F50" s="31">
        <f>C50</f>
        <v>-0.08</v>
      </c>
      <c r="G50" s="31">
        <f>G47*F50</f>
        <v>-27.025364159999995</v>
      </c>
      <c r="H50" s="31">
        <f>G50-D50</f>
        <v>-0.33135775999999595</v>
      </c>
      <c r="I50" s="32">
        <f t="shared" si="9"/>
        <v>-1.2413189501595232E-2</v>
      </c>
      <c r="J50" s="32"/>
      <c r="K50" s="60">
        <f>G50/$G$51</f>
        <v>-7.6190476190476183E-2</v>
      </c>
    </row>
    <row r="51" spans="1:11" ht="13.5" thickBot="1" x14ac:dyDescent="0.25">
      <c r="A51" s="63" t="s">
        <v>121</v>
      </c>
      <c r="B51" s="64"/>
      <c r="C51" s="65"/>
      <c r="D51" s="65">
        <f>SUM(D49:D50)</f>
        <v>350.358834</v>
      </c>
      <c r="E51" s="65"/>
      <c r="F51" s="65"/>
      <c r="G51" s="65">
        <f>SUM(G49:G50)</f>
        <v>354.70790459999995</v>
      </c>
      <c r="H51" s="65">
        <f>G51-D51</f>
        <v>4.3490705999999477</v>
      </c>
      <c r="I51" s="66">
        <f t="shared" si="9"/>
        <v>1.2413189501595236E-2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4"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5"/>
  <sheetViews>
    <sheetView tabSelected="1" view="pageLayout" topLeftCell="E1" zoomScaleNormal="120" zoomScaleSheetLayoutView="100" workbookViewId="0">
      <selection sqref="A1:XFD1"/>
    </sheetView>
  </sheetViews>
  <sheetFormatPr defaultRowHeight="12.75" x14ac:dyDescent="0.2"/>
  <cols>
    <col min="1" max="1" width="10.5703125" customWidth="1"/>
    <col min="2" max="2" width="13.42578125" customWidth="1"/>
    <col min="3" max="5" width="13.7109375" customWidth="1"/>
    <col min="6" max="6" width="12.140625" customWidth="1"/>
    <col min="7" max="7" width="13" customWidth="1"/>
    <col min="8" max="8" width="11.85546875" bestFit="1" customWidth="1"/>
    <col min="9" max="9" width="12.28515625" bestFit="1" customWidth="1"/>
    <col min="10" max="10" width="19.42578125" customWidth="1"/>
  </cols>
  <sheetData>
    <row r="1" spans="1:10" ht="39" thickBot="1" x14ac:dyDescent="0.25">
      <c r="A1" s="95" t="s">
        <v>13</v>
      </c>
      <c r="B1" s="89" t="s">
        <v>67</v>
      </c>
      <c r="C1" s="96" t="s">
        <v>62</v>
      </c>
      <c r="D1" s="97" t="s">
        <v>68</v>
      </c>
      <c r="E1" s="99" t="s">
        <v>99</v>
      </c>
      <c r="F1" s="87" t="s">
        <v>63</v>
      </c>
      <c r="G1" s="88" t="s">
        <v>65</v>
      </c>
      <c r="H1" s="86" t="s">
        <v>64</v>
      </c>
      <c r="I1" s="142" t="s">
        <v>66</v>
      </c>
      <c r="J1" s="99" t="s">
        <v>69</v>
      </c>
    </row>
    <row r="2" spans="1:10" x14ac:dyDescent="0.2">
      <c r="A2" s="180" t="s">
        <v>0</v>
      </c>
      <c r="B2" s="90" t="s">
        <v>60</v>
      </c>
      <c r="C2" s="98">
        <f>BI_UR_Low!B4</f>
        <v>350</v>
      </c>
      <c r="D2" s="83"/>
      <c r="E2" s="146">
        <f>BI_UR_Low!D51</f>
        <v>75.735102449999985</v>
      </c>
      <c r="F2" s="132">
        <f>BI_UR_Low!H$25</f>
        <v>1.7725000000000044</v>
      </c>
      <c r="G2" s="133">
        <f>BI_UR_Low!I$25</f>
        <v>6.1791877287781224E-2</v>
      </c>
      <c r="H2" s="134">
        <f>BI_UR_Low!H$51</f>
        <v>2.9744155350000199</v>
      </c>
      <c r="I2" s="143">
        <f>BI_UR_Low!I$51</f>
        <v>3.9273935583089982E-2</v>
      </c>
      <c r="J2" s="177" t="s">
        <v>50</v>
      </c>
    </row>
    <row r="3" spans="1:10" x14ac:dyDescent="0.2">
      <c r="A3" s="181"/>
      <c r="B3" s="91" t="s">
        <v>90</v>
      </c>
      <c r="C3" s="93">
        <f>BI_UR_Typical!B4</f>
        <v>750</v>
      </c>
      <c r="D3" s="84"/>
      <c r="E3" s="147">
        <f>BI_UR_Typical!D51</f>
        <v>130.44150525000001</v>
      </c>
      <c r="F3" s="135">
        <f>BI_UR_Typical!H$25</f>
        <v>1.2645000000000053</v>
      </c>
      <c r="G3" s="136">
        <f>BI_UR_Typical!I$25</f>
        <v>3.9118329466357481E-2</v>
      </c>
      <c r="H3" s="137">
        <f>BI_UR_Typical!H$51</f>
        <v>3.7133475750000287</v>
      </c>
      <c r="I3" s="144">
        <f>BI_UR_Typical!I$51</f>
        <v>2.8467530851343258E-2</v>
      </c>
      <c r="J3" s="178"/>
    </row>
    <row r="4" spans="1:10" x14ac:dyDescent="0.2">
      <c r="A4" s="181"/>
      <c r="B4" s="158" t="s">
        <v>117</v>
      </c>
      <c r="C4" s="159">
        <f>BI_UR_Avg!$B$4</f>
        <v>755</v>
      </c>
      <c r="D4" s="160"/>
      <c r="E4" s="161">
        <f>BI_UR_Avg!$D$51</f>
        <v>131.12533528500001</v>
      </c>
      <c r="F4" s="162">
        <f>BI_UR_Avg!$H$25</f>
        <v>1.2581500000000005</v>
      </c>
      <c r="G4" s="163">
        <f>BI_UR_Avg!$I$25</f>
        <v>3.8867178449514234E-2</v>
      </c>
      <c r="H4" s="164">
        <f>BI_UR_Avg!$H$51</f>
        <v>3.7225842254999861</v>
      </c>
      <c r="I4" s="165">
        <f>BI_UR_Avg!$I$51</f>
        <v>2.838951158758889E-2</v>
      </c>
      <c r="J4" s="178"/>
    </row>
    <row r="5" spans="1:10" ht="13.5" thickBot="1" x14ac:dyDescent="0.25">
      <c r="A5" s="182"/>
      <c r="B5" s="92" t="s">
        <v>61</v>
      </c>
      <c r="C5" s="94">
        <f>BI_UR_High!B4</f>
        <v>1400</v>
      </c>
      <c r="D5" s="85"/>
      <c r="E5" s="148">
        <f>BI_UR_High!D51</f>
        <v>219.33940979999994</v>
      </c>
      <c r="F5" s="138">
        <f>BI_UR_High!H$25</f>
        <v>0.43900000000000716</v>
      </c>
      <c r="G5" s="139">
        <f>BI_UR_High!I$25</f>
        <v>1.1480125523012742E-2</v>
      </c>
      <c r="H5" s="140">
        <f>BI_UR_High!H$51</f>
        <v>4.9141121400000429</v>
      </c>
      <c r="I5" s="145">
        <f>BI_UR_High!I$51</f>
        <v>2.2404145905566508E-2</v>
      </c>
      <c r="J5" s="179"/>
    </row>
    <row r="6" spans="1:10" x14ac:dyDescent="0.2">
      <c r="A6" s="183" t="s">
        <v>1</v>
      </c>
      <c r="B6" s="90" t="s">
        <v>60</v>
      </c>
      <c r="C6" s="98">
        <f>BI_R1_Low!B4</f>
        <v>400</v>
      </c>
      <c r="D6" s="83"/>
      <c r="E6" s="146">
        <f>BI_R1_Low!D51</f>
        <v>98.65099440000003</v>
      </c>
      <c r="F6" s="132">
        <f>BI_R1_Low!H$25</f>
        <v>2.8119999999999905</v>
      </c>
      <c r="G6" s="133">
        <f>BI_R1_Low!I$25</f>
        <v>6.4333104552733694E-2</v>
      </c>
      <c r="H6" s="134">
        <f>BI_R1_Low!H$51</f>
        <v>3.9192568799999776</v>
      </c>
      <c r="I6" s="143">
        <f>BI_R1_Low!I$51</f>
        <v>3.9728508605889695E-2</v>
      </c>
      <c r="J6" s="177" t="s">
        <v>50</v>
      </c>
    </row>
    <row r="7" spans="1:10" x14ac:dyDescent="0.2">
      <c r="A7" s="184"/>
      <c r="B7" s="91" t="s">
        <v>90</v>
      </c>
      <c r="C7" s="93">
        <f>BI_R1_Typical!B4</f>
        <v>750</v>
      </c>
      <c r="D7" s="84"/>
      <c r="E7" s="147">
        <f>BI_R1_Typical!D51</f>
        <v>152.23555200000001</v>
      </c>
      <c r="F7" s="135">
        <f>BI_R1_Typical!H$25</f>
        <v>2.4689999999999941</v>
      </c>
      <c r="G7" s="141">
        <f>BI_R1_Typical!I$25</f>
        <v>4.776552524666268E-2</v>
      </c>
      <c r="H7" s="137">
        <f>BI_R1_Typical!H$51</f>
        <v>4.404931649999952</v>
      </c>
      <c r="I7" s="144">
        <f>BI_R1_Typical!I$51</f>
        <v>2.893497341540793E-2</v>
      </c>
      <c r="J7" s="178"/>
    </row>
    <row r="8" spans="1:10" x14ac:dyDescent="0.2">
      <c r="A8" s="185"/>
      <c r="B8" s="158" t="s">
        <v>117</v>
      </c>
      <c r="C8" s="159">
        <f>BI_R1_Avg!$B$4</f>
        <v>920</v>
      </c>
      <c r="D8" s="160"/>
      <c r="E8" s="161">
        <f>BI_R1_Avg!$D$51</f>
        <v>178.26233711999998</v>
      </c>
      <c r="F8" s="162">
        <f>BI_R1_Avg!$H$25</f>
        <v>2.3023999999999916</v>
      </c>
      <c r="G8" s="163">
        <f>BI_R1_Avg!$I$25</f>
        <v>4.1435410142892981E-2</v>
      </c>
      <c r="H8" s="164">
        <f>BI_R1_Avg!$H$51</f>
        <v>4.6408308240000054</v>
      </c>
      <c r="I8" s="165">
        <f>BI_R1_Avg!$I$51</f>
        <v>2.6033714686888459E-2</v>
      </c>
      <c r="J8" s="178"/>
    </row>
    <row r="9" spans="1:10" ht="13.5" thickBot="1" x14ac:dyDescent="0.25">
      <c r="A9" s="186"/>
      <c r="B9" s="92" t="s">
        <v>61</v>
      </c>
      <c r="C9" s="94">
        <f>BI_R1_High!B4</f>
        <v>1800</v>
      </c>
      <c r="D9" s="85"/>
      <c r="E9" s="148">
        <f>BI_R1_High!D51</f>
        <v>312.98922479999999</v>
      </c>
      <c r="F9" s="138">
        <f>BI_R1_High!H$25</f>
        <v>1.4399999999999835</v>
      </c>
      <c r="G9" s="139">
        <f>BI_R1_High!I$25</f>
        <v>1.9040063466878001E-2</v>
      </c>
      <c r="H9" s="140">
        <f>BI_R1_High!H$51</f>
        <v>5.8619559599999889</v>
      </c>
      <c r="I9" s="145">
        <f>BI_R1_High!I$51</f>
        <v>1.8728938556098144E-2</v>
      </c>
      <c r="J9" s="179"/>
    </row>
    <row r="10" spans="1:10" x14ac:dyDescent="0.2">
      <c r="A10" s="183" t="s">
        <v>2</v>
      </c>
      <c r="B10" s="90" t="s">
        <v>60</v>
      </c>
      <c r="C10" s="98">
        <f>BI_R2_Low!B4</f>
        <v>450</v>
      </c>
      <c r="D10" s="83"/>
      <c r="E10" s="146">
        <f>BI_R2_Low!D51</f>
        <v>100.43984474999999</v>
      </c>
      <c r="F10" s="132">
        <f>BI_R2_Low!H$25</f>
        <v>3.1381783079039351</v>
      </c>
      <c r="G10" s="133">
        <f>BI_R2_Low!I$25</f>
        <v>8.2540197472486462E-2</v>
      </c>
      <c r="H10" s="134">
        <f>BI_R2_Low!H$51</f>
        <v>4.2192263482991308</v>
      </c>
      <c r="I10" s="143">
        <f>BI_R2_Low!I$51</f>
        <v>4.200749571846716E-2</v>
      </c>
      <c r="J10" s="177" t="s">
        <v>50</v>
      </c>
    </row>
    <row r="11" spans="1:10" x14ac:dyDescent="0.2">
      <c r="A11" s="184"/>
      <c r="B11" s="91" t="s">
        <v>90</v>
      </c>
      <c r="C11" s="93">
        <f>BI_R2_Typical!B4</f>
        <v>750</v>
      </c>
      <c r="D11" s="84"/>
      <c r="E11" s="147">
        <f>BI_R2_Typical!D51</f>
        <v>151.83874125</v>
      </c>
      <c r="F11" s="135">
        <f>BI_R2_Typical!H$25</f>
        <v>2.6911783079039324</v>
      </c>
      <c r="G11" s="141">
        <f>BI_R2_Typical!I$25</f>
        <v>5.4654311695855662E-2</v>
      </c>
      <c r="H11" s="137">
        <f>BI_R2_Typical!H$51</f>
        <v>4.3659690982991606</v>
      </c>
      <c r="I11" s="144">
        <f>BI_R2_Typical!I$51</f>
        <v>2.8753986382899895E-2</v>
      </c>
      <c r="J11" s="178"/>
    </row>
    <row r="12" spans="1:10" x14ac:dyDescent="0.2">
      <c r="A12" s="185"/>
      <c r="B12" s="158" t="s">
        <v>117</v>
      </c>
      <c r="C12" s="159">
        <f>BI_R2_Avg!$B$4</f>
        <v>1152</v>
      </c>
      <c r="D12" s="160"/>
      <c r="E12" s="161">
        <f>BI_R2_Avg!$D$51</f>
        <v>220.71326256000006</v>
      </c>
      <c r="F12" s="162">
        <f>BI_R2_Avg!$H$25</f>
        <v>2.0921983079039279</v>
      </c>
      <c r="G12" s="163">
        <f>BI_R2_Avg!$I$25</f>
        <v>3.2550833420001743E-2</v>
      </c>
      <c r="H12" s="164">
        <f>BI_R2_Avg!$H$51</f>
        <v>4.5626043832990888</v>
      </c>
      <c r="I12" s="165">
        <f>BI_R2_Avg!$I$51</f>
        <v>2.0672089798222985E-2</v>
      </c>
      <c r="J12" s="178"/>
    </row>
    <row r="13" spans="1:10" ht="13.5" thickBot="1" x14ac:dyDescent="0.25">
      <c r="A13" s="186"/>
      <c r="B13" s="92" t="s">
        <v>61</v>
      </c>
      <c r="C13" s="94">
        <f>BI_R2_High!B4</f>
        <v>2300</v>
      </c>
      <c r="D13" s="85"/>
      <c r="E13" s="148">
        <f>BI_R2_High!D51</f>
        <v>417.39970650000004</v>
      </c>
      <c r="F13" s="138">
        <f>BI_R2_High!H$25</f>
        <v>0.38167830790392543</v>
      </c>
      <c r="G13" s="139">
        <f>BI_R2_High!I$25</f>
        <v>3.56009987784652E-3</v>
      </c>
      <c r="H13" s="140">
        <f>BI_R2_High!H$51</f>
        <v>5.1241399732991226</v>
      </c>
      <c r="I13" s="145">
        <f>BI_R2_High!I$51</f>
        <v>1.2276338228089104E-2</v>
      </c>
      <c r="J13" s="179"/>
    </row>
    <row r="14" spans="1:10" x14ac:dyDescent="0.2">
      <c r="A14" s="180" t="s">
        <v>3</v>
      </c>
      <c r="B14" s="90" t="s">
        <v>60</v>
      </c>
      <c r="C14" s="98">
        <f>BI_Seas_Low!B4</f>
        <v>50</v>
      </c>
      <c r="D14" s="83"/>
      <c r="E14" s="146">
        <f>BI_Seas_Low!D51</f>
        <v>49.939159199999999</v>
      </c>
      <c r="F14" s="132">
        <f>BI_Seas_Low!H$25</f>
        <v>3.2135000000000034</v>
      </c>
      <c r="G14" s="133">
        <f>BI_Seas_Low!I$25</f>
        <v>7.9719672537831882E-2</v>
      </c>
      <c r="H14" s="134">
        <f>BI_Seas_Low!H$51</f>
        <v>3.4423939199999936</v>
      </c>
      <c r="I14" s="143">
        <f>BI_Seas_Low!I$51</f>
        <v>6.8931755663198938E-2</v>
      </c>
      <c r="J14" s="177" t="s">
        <v>50</v>
      </c>
    </row>
    <row r="15" spans="1:10" x14ac:dyDescent="0.2">
      <c r="A15" s="181"/>
      <c r="B15" s="158" t="s">
        <v>117</v>
      </c>
      <c r="C15" s="159">
        <f>BI_Seas_Avg!$B$4</f>
        <v>352</v>
      </c>
      <c r="D15" s="160"/>
      <c r="E15" s="161">
        <f>BI_Seas_Avg!$D$51</f>
        <v>109.56096076800002</v>
      </c>
      <c r="F15" s="162">
        <f>BI_Seas_Avg!$H$25</f>
        <v>2.0991199999999921</v>
      </c>
      <c r="G15" s="163">
        <f>BI_Seas_Avg!$I$25</f>
        <v>3.5233376302502818E-2</v>
      </c>
      <c r="H15" s="164">
        <f>BI_Seas_Avg!$H$51</f>
        <v>2.6843371968000014</v>
      </c>
      <c r="I15" s="165">
        <f>BI_Seas_Avg!$I$51</f>
        <v>2.4500854848144307E-2</v>
      </c>
      <c r="J15" s="178"/>
    </row>
    <row r="16" spans="1:10" ht="13.5" thickBot="1" x14ac:dyDescent="0.25">
      <c r="A16" s="181"/>
      <c r="B16" s="92" t="s">
        <v>61</v>
      </c>
      <c r="C16" s="94">
        <f>BI_Seas_High!B4</f>
        <v>1000</v>
      </c>
      <c r="D16" s="85"/>
      <c r="E16" s="148">
        <f>BI_Seas_High!D51</f>
        <v>237.491184</v>
      </c>
      <c r="F16" s="138">
        <f>BI_Seas_High!H$25</f>
        <v>-0.29200000000000159</v>
      </c>
      <c r="G16" s="139">
        <f>BI_Seas_High!I$25</f>
        <v>-2.8933808957590326E-3</v>
      </c>
      <c r="H16" s="140">
        <f>BI_Seas_High!H$51</f>
        <v>1.057778399999961</v>
      </c>
      <c r="I16" s="145">
        <f>BI_Seas_High!I$51</f>
        <v>4.4539691208072846E-3</v>
      </c>
      <c r="J16" s="178"/>
    </row>
    <row r="17" spans="1:10" x14ac:dyDescent="0.2">
      <c r="A17" s="180" t="s">
        <v>4</v>
      </c>
      <c r="B17" s="90" t="s">
        <v>60</v>
      </c>
      <c r="C17" s="98">
        <f>BI_GSe_Low!B4</f>
        <v>1000</v>
      </c>
      <c r="D17" s="83"/>
      <c r="E17" s="146">
        <f>BI_GSe_Low!D51</f>
        <v>227.43033599999998</v>
      </c>
      <c r="F17" s="132">
        <f>BI_GSe_Low!H$25</f>
        <v>3.6819999999999879</v>
      </c>
      <c r="G17" s="133">
        <f>BI_GSe_Low!I$25</f>
        <v>4.3419811320754578E-2</v>
      </c>
      <c r="H17" s="134">
        <f>BI_GSe_Low!H$51</f>
        <v>4.4035235999999998</v>
      </c>
      <c r="I17" s="143">
        <f>BI_GSe_Low!I$51</f>
        <v>1.9362076658058492E-2</v>
      </c>
      <c r="J17" s="177" t="s">
        <v>50</v>
      </c>
    </row>
    <row r="18" spans="1:10" x14ac:dyDescent="0.2">
      <c r="A18" s="181"/>
      <c r="B18" s="91" t="s">
        <v>90</v>
      </c>
      <c r="C18" s="93">
        <f>BI_GSe_Typical!B4</f>
        <v>2000</v>
      </c>
      <c r="D18" s="84"/>
      <c r="E18" s="147">
        <f>BI_GSe_Typical!D51</f>
        <v>423.73867200000001</v>
      </c>
      <c r="F18" s="135">
        <f>BI_GSe_Typical!H$25</f>
        <v>6.4019999999999868</v>
      </c>
      <c r="G18" s="141">
        <f>BI_GSe_Typical!I$25</f>
        <v>4.5404255319148844E-2</v>
      </c>
      <c r="H18" s="137">
        <f>BI_GSe_Typical!H$51</f>
        <v>7.7969472000000337</v>
      </c>
      <c r="I18" s="144">
        <f>BI_GSe_Typical!I$51</f>
        <v>1.8400367290526728E-2</v>
      </c>
      <c r="J18" s="178"/>
    </row>
    <row r="19" spans="1:10" x14ac:dyDescent="0.2">
      <c r="A19" s="181"/>
      <c r="B19" s="158" t="s">
        <v>117</v>
      </c>
      <c r="C19" s="159">
        <f>BI_GSe_Avg!$B$4</f>
        <v>1982</v>
      </c>
      <c r="D19" s="160"/>
      <c r="E19" s="161">
        <f>BI_GSe_Avg!$D$51</f>
        <v>420.20512195200013</v>
      </c>
      <c r="F19" s="162">
        <f>BI_GSe_Avg!$H$25</f>
        <v>6.3530399999999929</v>
      </c>
      <c r="G19" s="163">
        <f>BI_GSe_Avg!$I$25</f>
        <v>4.5382617416871628E-2</v>
      </c>
      <c r="H19" s="164">
        <f>BI_GSe_Avg!$H$51</f>
        <v>7.7358655751999663</v>
      </c>
      <c r="I19" s="165">
        <f>BI_GSe_Avg!$I$51</f>
        <v>1.8409736509788738E-2</v>
      </c>
      <c r="J19" s="178"/>
    </row>
    <row r="20" spans="1:10" ht="13.5" thickBot="1" x14ac:dyDescent="0.25">
      <c r="A20" s="182"/>
      <c r="B20" s="92" t="s">
        <v>61</v>
      </c>
      <c r="C20" s="94">
        <f>BI_GSe_High!B4</f>
        <v>15000</v>
      </c>
      <c r="D20" s="85"/>
      <c r="E20" s="148">
        <f>BI_GSe_High!D51</f>
        <v>2975.7470400000002</v>
      </c>
      <c r="F20" s="138">
        <f>BI_GSe_High!H$25</f>
        <v>41.761999999999944</v>
      </c>
      <c r="G20" s="139">
        <f>BI_GSe_High!I$25</f>
        <v>4.7914180816888412E-2</v>
      </c>
      <c r="H20" s="140">
        <f>BI_GSe_High!H$51</f>
        <v>51.911454000000504</v>
      </c>
      <c r="I20" s="145">
        <f>BI_GSe_High!I$51</f>
        <v>1.7444847731412177E-2</v>
      </c>
      <c r="J20" s="179"/>
    </row>
    <row r="21" spans="1:10" x14ac:dyDescent="0.2">
      <c r="A21" s="180" t="s">
        <v>6</v>
      </c>
      <c r="B21" s="90" t="s">
        <v>60</v>
      </c>
      <c r="C21" s="98">
        <f>BI_UGe_Low!B4</f>
        <v>1000</v>
      </c>
      <c r="D21" s="83"/>
      <c r="E21" s="146">
        <f>BI_UGe_Low!D51</f>
        <v>188.30966699999999</v>
      </c>
      <c r="F21" s="132">
        <f>BI_UGe_Low!H$25</f>
        <v>1.6479999999999961</v>
      </c>
      <c r="G21" s="133">
        <f>BI_UGe_Low!I$25</f>
        <v>3.2913920511284125E-2</v>
      </c>
      <c r="H21" s="134">
        <f>BI_UGe_Low!H$51</f>
        <v>2.13148529999998</v>
      </c>
      <c r="I21" s="143">
        <f>BI_UGe_Low!I$51</f>
        <v>1.1319043434981912E-2</v>
      </c>
      <c r="J21" s="177" t="s">
        <v>50</v>
      </c>
    </row>
    <row r="22" spans="1:10" x14ac:dyDescent="0.2">
      <c r="A22" s="181"/>
      <c r="B22" s="91" t="s">
        <v>90</v>
      </c>
      <c r="C22" s="93">
        <f>BI_UGe_Typical!B4</f>
        <v>2000</v>
      </c>
      <c r="D22" s="84"/>
      <c r="E22" s="147">
        <f>BI_UGe_Typical!D51</f>
        <v>350.358834</v>
      </c>
      <c r="F22" s="135">
        <f>BI_UGe_Typical!H$25</f>
        <v>3.3780000000000001</v>
      </c>
      <c r="G22" s="141">
        <f>BI_UGe_Typical!I$25</f>
        <v>4.434816857030327E-2</v>
      </c>
      <c r="H22" s="137">
        <f>BI_UGe_Typical!H$51</f>
        <v>4.3490705999999477</v>
      </c>
      <c r="I22" s="144">
        <f>BI_UGe_Typical!I$51</f>
        <v>1.2413189501595236E-2</v>
      </c>
      <c r="J22" s="178"/>
    </row>
    <row r="23" spans="1:10" x14ac:dyDescent="0.2">
      <c r="A23" s="181"/>
      <c r="B23" s="158" t="s">
        <v>117</v>
      </c>
      <c r="C23" s="159">
        <f>BI_UGe_Avg!$B$4</f>
        <v>2759</v>
      </c>
      <c r="D23" s="160"/>
      <c r="E23" s="161">
        <f>BI_UGe_Avg!$D$51</f>
        <v>473.35415175300005</v>
      </c>
      <c r="F23" s="162">
        <f>BI_UGe_Avg!$H$25</f>
        <v>4.6910699999999821</v>
      </c>
      <c r="G23" s="163">
        <f>BI_UGe_Avg!$I$25</f>
        <v>4.8875545817405323E-2</v>
      </c>
      <c r="H23" s="164">
        <f>BI_UGe_Avg!$H$51</f>
        <v>6.0322178426998789</v>
      </c>
      <c r="I23" s="165">
        <f>BI_UGe_Avg!$I$51</f>
        <v>1.2743561708206032E-2</v>
      </c>
      <c r="J23" s="178"/>
    </row>
    <row r="24" spans="1:10" ht="13.5" thickBot="1" x14ac:dyDescent="0.25">
      <c r="A24" s="182"/>
      <c r="B24" s="92" t="s">
        <v>61</v>
      </c>
      <c r="C24" s="94">
        <f>BI_UGe_High!B4</f>
        <v>15000</v>
      </c>
      <c r="D24" s="85"/>
      <c r="E24" s="148">
        <f>BI_UGe_High!D51</f>
        <v>2456.9980049999999</v>
      </c>
      <c r="F24" s="138">
        <f>BI_UGe_High!H$25</f>
        <v>25.867999999999938</v>
      </c>
      <c r="G24" s="139">
        <f>BI_UGe_High!I$25</f>
        <v>6.2262016511420645E-2</v>
      </c>
      <c r="H24" s="140">
        <f>BI_UGe_High!H$51</f>
        <v>33.177679500000522</v>
      </c>
      <c r="I24" s="145">
        <f>BI_UGe_High!I$51</f>
        <v>1.350334002407972E-2</v>
      </c>
      <c r="J24" s="179"/>
    </row>
    <row r="25" spans="1:10" x14ac:dyDescent="0.2">
      <c r="A25" s="180" t="s">
        <v>5</v>
      </c>
      <c r="B25" s="90" t="s">
        <v>60</v>
      </c>
      <c r="C25" s="98">
        <f>BI_GSd_Low!B4</f>
        <v>15000</v>
      </c>
      <c r="D25" s="83">
        <f>BI_GSd_Low!B5</f>
        <v>60</v>
      </c>
      <c r="E25" s="146">
        <f>BI_GSd_Low!D38</f>
        <v>3224.6804350000002</v>
      </c>
      <c r="F25" s="132">
        <f>BI_GSd_Low!H$23</f>
        <v>70.035599999999931</v>
      </c>
      <c r="G25" s="133">
        <f>BI_GSd_Low!I$23</f>
        <v>6.7411992657752842E-2</v>
      </c>
      <c r="H25" s="134">
        <f>BI_GSd_Low!H$38</f>
        <v>86.342703359999177</v>
      </c>
      <c r="I25" s="143">
        <f>BI_GSd_Low!I$38</f>
        <v>2.6775584465007357E-2</v>
      </c>
      <c r="J25" s="187" t="s">
        <v>70</v>
      </c>
    </row>
    <row r="26" spans="1:10" x14ac:dyDescent="0.2">
      <c r="A26" s="181"/>
      <c r="B26" s="158" t="s">
        <v>117</v>
      </c>
      <c r="C26" s="93">
        <f>BI_GSd_Avg!B4</f>
        <v>36104</v>
      </c>
      <c r="D26" s="84">
        <f>BI_GSd_Avg!B5</f>
        <v>124</v>
      </c>
      <c r="E26" s="147">
        <f>BI_GSd_Avg!D38</f>
        <v>7180.5270545040003</v>
      </c>
      <c r="F26" s="135">
        <f>BI_GSd_Avg!H$23</f>
        <v>137.71718399999918</v>
      </c>
      <c r="G26" s="141">
        <f>BI_GSd_Avg!I$23</f>
        <v>6.7350702183279348E-2</v>
      </c>
      <c r="H26" s="137">
        <f>BI_GSd_Avg!H$38</f>
        <v>170.5055336639989</v>
      </c>
      <c r="I26" s="144">
        <f>BI_GSd_Avg!I$38</f>
        <v>2.3745545747515702E-2</v>
      </c>
      <c r="J26" s="188"/>
    </row>
    <row r="27" spans="1:10" ht="13.5" thickBot="1" x14ac:dyDescent="0.25">
      <c r="A27" s="182"/>
      <c r="B27" s="92" t="s">
        <v>61</v>
      </c>
      <c r="C27" s="94">
        <f>BI_GSd_High!B4</f>
        <v>175000</v>
      </c>
      <c r="D27" s="85">
        <f>BI_GSd_High!B5</f>
        <v>500</v>
      </c>
      <c r="E27" s="148">
        <f>BI_GSd_High!D38</f>
        <v>32249.801674999999</v>
      </c>
      <c r="F27" s="138">
        <f>BI_GSd_High!H$23</f>
        <v>551.16599999999835</v>
      </c>
      <c r="G27" s="139">
        <f>BI_GSd_High!I$23</f>
        <v>6.9430582455477133E-2</v>
      </c>
      <c r="H27" s="140">
        <f>BI_GSd_High!H$38</f>
        <v>682.83820800000467</v>
      </c>
      <c r="I27" s="145">
        <f>BI_GSd_High!I$38</f>
        <v>2.1173407975694308E-2</v>
      </c>
      <c r="J27" s="189"/>
    </row>
    <row r="28" spans="1:10" x14ac:dyDescent="0.2">
      <c r="A28" s="180" t="s">
        <v>7</v>
      </c>
      <c r="B28" s="90" t="s">
        <v>60</v>
      </c>
      <c r="C28" s="98">
        <f>BI_UGd_Low!B4</f>
        <v>15000</v>
      </c>
      <c r="D28" s="83">
        <f>BI_UGd_Low!B5</f>
        <v>60</v>
      </c>
      <c r="E28" s="146">
        <f>BI_UGd_Low!D38</f>
        <v>2785.8782700000002</v>
      </c>
      <c r="F28" s="132">
        <f>BI_UGd_Low!H$23</f>
        <v>51.840800000000058</v>
      </c>
      <c r="G28" s="133">
        <f>BI_UGd_Low!I$23</f>
        <v>8.2690724872552426E-2</v>
      </c>
      <c r="H28" s="134">
        <f>BI_UGd_Low!H$38</f>
        <v>87.918180999999549</v>
      </c>
      <c r="I28" s="143">
        <f>BI_UGd_Low!I$38</f>
        <v>3.1558514938270991E-2</v>
      </c>
      <c r="J28" s="187" t="s">
        <v>70</v>
      </c>
    </row>
    <row r="29" spans="1:10" ht="12.75" customHeight="1" x14ac:dyDescent="0.2">
      <c r="A29" s="181"/>
      <c r="B29" s="158" t="s">
        <v>117</v>
      </c>
      <c r="C29" s="93">
        <f>BI_UGd_Avg!B4</f>
        <v>50525</v>
      </c>
      <c r="D29" s="84">
        <f>BI_UGd_Avg!B5</f>
        <v>135</v>
      </c>
      <c r="E29" s="147">
        <f>BI_UGd_Avg!D38</f>
        <v>8170.5933962500003</v>
      </c>
      <c r="F29" s="135">
        <f>BI_UGd_Avg!H$23</f>
        <v>127.57054999999968</v>
      </c>
      <c r="G29" s="141">
        <f>BI_UGd_Avg!I$23</f>
        <v>0.10015527258474165</v>
      </c>
      <c r="H29" s="137">
        <f>BI_UGd_Avg!H$38</f>
        <v>210.1653947499999</v>
      </c>
      <c r="I29" s="144">
        <f>BI_UGd_Avg!I$38</f>
        <v>2.5722170295055684E-2</v>
      </c>
      <c r="J29" s="188"/>
    </row>
    <row r="30" spans="1:10" ht="13.5" thickBot="1" x14ac:dyDescent="0.25">
      <c r="A30" s="182"/>
      <c r="B30" s="92" t="s">
        <v>61</v>
      </c>
      <c r="C30" s="94">
        <f>BI_UGd_High!B4</f>
        <v>175000</v>
      </c>
      <c r="D30" s="85">
        <f>BI_UGd_High!B5</f>
        <v>500</v>
      </c>
      <c r="E30" s="148">
        <f>BI_UGd_High!D38</f>
        <v>28496.017950000001</v>
      </c>
      <c r="F30" s="138">
        <f>BI_UGd_High!H$23</f>
        <v>445.28799999999956</v>
      </c>
      <c r="G30" s="139">
        <f>BI_UGd_High!I$23</f>
        <v>9.9564881024251164E-2</v>
      </c>
      <c r="H30" s="140">
        <f>BI_UGd_High!H$38</f>
        <v>747.6594150000019</v>
      </c>
      <c r="I30" s="145">
        <f>BI_UGd_High!I$38</f>
        <v>2.6237329591519361E-2</v>
      </c>
      <c r="J30" s="189"/>
    </row>
    <row r="31" spans="1:10" x14ac:dyDescent="0.2">
      <c r="A31" s="181" t="s">
        <v>8</v>
      </c>
      <c r="B31" s="90" t="s">
        <v>60</v>
      </c>
      <c r="C31" s="98">
        <f>BI_StLgt_Low!B4</f>
        <v>100</v>
      </c>
      <c r="D31" s="83"/>
      <c r="E31" s="146">
        <f>BI_StLgt_Low!D36</f>
        <v>27.232674000000003</v>
      </c>
      <c r="F31" s="132">
        <f>BI_StLgt_Low!H$19</f>
        <v>0.19599999999999973</v>
      </c>
      <c r="G31" s="133">
        <f>BI_StLgt_Low!I$19</f>
        <v>1.4369501466275639E-2</v>
      </c>
      <c r="H31" s="134">
        <f>BI_StLgt_Low!H$36</f>
        <v>0.41081207999999947</v>
      </c>
      <c r="I31" s="143">
        <f>BI_StLgt_Low!I$36</f>
        <v>1.5085264120592764E-2</v>
      </c>
      <c r="J31" s="177" t="s">
        <v>95</v>
      </c>
    </row>
    <row r="32" spans="1:10" x14ac:dyDescent="0.2">
      <c r="A32" s="181"/>
      <c r="B32" s="158" t="s">
        <v>117</v>
      </c>
      <c r="C32" s="93">
        <f>BI_StLgt_Avg!B4</f>
        <v>517</v>
      </c>
      <c r="D32" s="84"/>
      <c r="E32" s="147">
        <f>BI_StLgt_Avg!D36</f>
        <v>120.73939458000001</v>
      </c>
      <c r="F32" s="135">
        <f>BI_StLgt_Avg!H$19</f>
        <v>2.0683300000000031</v>
      </c>
      <c r="G32" s="141">
        <f>BI_StLgt_Avg!I$19</f>
        <v>3.9424772266772455E-2</v>
      </c>
      <c r="H32" s="137">
        <f>BI_StLgt_Avg!H$36</f>
        <v>3.2316589536000038</v>
      </c>
      <c r="I32" s="144">
        <f>BI_StLgt_Avg!I$36</f>
        <v>2.676557195637384E-2</v>
      </c>
      <c r="J32" s="178"/>
    </row>
    <row r="33" spans="1:10" ht="13.5" thickBot="1" x14ac:dyDescent="0.25">
      <c r="A33" s="182"/>
      <c r="B33" s="92" t="s">
        <v>61</v>
      </c>
      <c r="C33" s="94">
        <f>BI_StLgt_High!B4</f>
        <v>2000</v>
      </c>
      <c r="D33" s="85"/>
      <c r="E33" s="148">
        <f>BI_StLgt_High!D36</f>
        <v>475.86797999999999</v>
      </c>
      <c r="F33" s="138">
        <f>BI_StLgt_High!H$19</f>
        <v>8.7270000000000039</v>
      </c>
      <c r="G33" s="139">
        <f>BI_StLgt_High!I$19</f>
        <v>4.5803810423555365E-2</v>
      </c>
      <c r="H33" s="140">
        <f>BI_StLgt_High!H$36</f>
        <v>13.263591599999927</v>
      </c>
      <c r="I33" s="145">
        <f>BI_StLgt_High!I$36</f>
        <v>2.7872418732607155E-2</v>
      </c>
      <c r="J33" s="179"/>
    </row>
    <row r="34" spans="1:10" x14ac:dyDescent="0.2">
      <c r="A34" s="181" t="s">
        <v>9</v>
      </c>
      <c r="B34" s="90" t="s">
        <v>60</v>
      </c>
      <c r="C34" s="98">
        <f>BI_SenLgt_Low!B4</f>
        <v>20</v>
      </c>
      <c r="D34" s="83"/>
      <c r="E34" s="146">
        <f>BI_SenLgt_Low!D36</f>
        <v>8.1828348000000002</v>
      </c>
      <c r="F34" s="132">
        <f>BI_SenLgt_Low!H$19</f>
        <v>0.41880000000000095</v>
      </c>
      <c r="G34" s="133">
        <f>BI_SenLgt_Low!I$19</f>
        <v>8.1573821581612971E-2</v>
      </c>
      <c r="H34" s="134">
        <f>BI_SenLgt_Low!H$36</f>
        <v>0.48074241600000178</v>
      </c>
      <c r="I34" s="143">
        <f>BI_SenLgt_Low!I$36</f>
        <v>5.8750106503433479E-2</v>
      </c>
      <c r="J34" s="177" t="s">
        <v>95</v>
      </c>
    </row>
    <row r="35" spans="1:10" x14ac:dyDescent="0.2">
      <c r="A35" s="181"/>
      <c r="B35" s="158" t="s">
        <v>117</v>
      </c>
      <c r="C35" s="93">
        <f>BI_SenLgt_Avg!B4</f>
        <v>71</v>
      </c>
      <c r="D35" s="84"/>
      <c r="E35" s="147">
        <f>BI_SenLgt_Avg!D36</f>
        <v>20.989788539999999</v>
      </c>
      <c r="F35" s="135">
        <f>BI_SenLgt_Avg!H$19</f>
        <v>0.47694000000000081</v>
      </c>
      <c r="G35" s="141">
        <f>BI_SenLgt_Avg!I$19</f>
        <v>4.2630746265988617E-2</v>
      </c>
      <c r="H35" s="137">
        <f>BI_SenLgt_Avg!H$36</f>
        <v>0.6463455767999946</v>
      </c>
      <c r="I35" s="144">
        <f>BI_SenLgt_Avg!I$36</f>
        <v>3.079333436676893E-2</v>
      </c>
      <c r="J35" s="178"/>
    </row>
    <row r="36" spans="1:10" ht="13.5" thickBot="1" x14ac:dyDescent="0.25">
      <c r="A36" s="182"/>
      <c r="B36" s="92" t="s">
        <v>61</v>
      </c>
      <c r="C36" s="94">
        <f>BI_SenLgt_High!B4</f>
        <v>200</v>
      </c>
      <c r="D36" s="85"/>
      <c r="E36" s="148">
        <f>BI_SenLgt_High!D36</f>
        <v>53.383848</v>
      </c>
      <c r="F36" s="138">
        <f>BI_SenLgt_High!H$19</f>
        <v>0.62399999999999878</v>
      </c>
      <c r="G36" s="139">
        <f>BI_SenLgt_High!I$19</f>
        <v>2.3547169811320708E-2</v>
      </c>
      <c r="H36" s="140">
        <f>BI_SenLgt_High!H$36</f>
        <v>1.0652241599999996</v>
      </c>
      <c r="I36" s="145">
        <f>BI_SenLgt_High!I$36</f>
        <v>1.9954053518210221E-2</v>
      </c>
      <c r="J36" s="179"/>
    </row>
    <row r="37" spans="1:10" x14ac:dyDescent="0.2">
      <c r="A37" s="181" t="s">
        <v>12</v>
      </c>
      <c r="B37" s="90" t="s">
        <v>60</v>
      </c>
      <c r="C37" s="98">
        <f>BI_USL_Low!B4</f>
        <v>100</v>
      </c>
      <c r="D37" s="83"/>
      <c r="E37" s="146">
        <f>BI_USL_Low!D36</f>
        <v>53.435970000000005</v>
      </c>
      <c r="F37" s="132">
        <f>BI_USL_Low!H$19</f>
        <v>-0.92599999999999483</v>
      </c>
      <c r="G37" s="133">
        <f>BI_USL_Low!I$19</f>
        <v>-2.4033220866856858E-2</v>
      </c>
      <c r="H37" s="134">
        <f>BI_USL_Low!H$36</f>
        <v>-0.88458509999998824</v>
      </c>
      <c r="I37" s="143">
        <f>BI_USL_Low!I$36</f>
        <v>-1.6554113268646347E-2</v>
      </c>
      <c r="J37" s="177" t="s">
        <v>95</v>
      </c>
    </row>
    <row r="38" spans="1:10" x14ac:dyDescent="0.2">
      <c r="A38" s="181"/>
      <c r="B38" s="158" t="s">
        <v>117</v>
      </c>
      <c r="C38" s="93">
        <f>BI_USL_Avg!B4</f>
        <v>364</v>
      </c>
      <c r="D38" s="84"/>
      <c r="E38" s="147">
        <f>BI_USL_Avg!D36</f>
        <v>94.881250800000004</v>
      </c>
      <c r="F38" s="135">
        <f>BI_USL_Avg!H$19</f>
        <v>-0.92071999999999576</v>
      </c>
      <c r="G38" s="141">
        <f>BI_USL_Avg!I$19</f>
        <v>-2.0003649983922598E-2</v>
      </c>
      <c r="H38" s="137">
        <f>BI_USL_Avg!H$36</f>
        <v>-0.64747376399999723</v>
      </c>
      <c r="I38" s="144">
        <f>BI_USL_Avg!I$36</f>
        <v>-6.8240433019249071E-3</v>
      </c>
      <c r="J38" s="178"/>
    </row>
    <row r="39" spans="1:10" ht="13.5" thickBot="1" x14ac:dyDescent="0.25">
      <c r="A39" s="182"/>
      <c r="B39" s="92" t="s">
        <v>61</v>
      </c>
      <c r="C39" s="94">
        <f>BI_USL_High!B4</f>
        <v>1000</v>
      </c>
      <c r="D39" s="85"/>
      <c r="E39" s="148">
        <f>BI_USL_High!D36</f>
        <v>200.11319999999998</v>
      </c>
      <c r="F39" s="138">
        <f>BI_USL_High!H$19</f>
        <v>-0.90799999999999415</v>
      </c>
      <c r="G39" s="139">
        <f>BI_USL_High!I$19</f>
        <v>-1.4167576845061539E-2</v>
      </c>
      <c r="H39" s="140">
        <f>BI_USL_High!H$36</f>
        <v>-7.6250999999928126E-2</v>
      </c>
      <c r="I39" s="145">
        <f>BI_USL_High!I$36</f>
        <v>-3.8103933173787703E-4</v>
      </c>
      <c r="J39" s="179"/>
    </row>
    <row r="40" spans="1:10" x14ac:dyDescent="0.2">
      <c r="A40" s="181" t="s">
        <v>47</v>
      </c>
      <c r="B40" s="90" t="s">
        <v>60</v>
      </c>
      <c r="C40" s="98">
        <f>BI_DGen_Low!B4</f>
        <v>300</v>
      </c>
      <c r="D40" s="83">
        <f>BI_DGen_Low!B5</f>
        <v>10</v>
      </c>
      <c r="E40" s="146">
        <f>BI_DGen_Low!D38</f>
        <v>299.57465030000003</v>
      </c>
      <c r="F40" s="132">
        <f>BI_DGen_Low!H$23</f>
        <v>37.630499999999984</v>
      </c>
      <c r="G40" s="133">
        <f>BI_DGen_Low!I$23</f>
        <v>0.16883847581666608</v>
      </c>
      <c r="H40" s="134">
        <f>BI_DGen_Low!H$38</f>
        <v>45.554919440000049</v>
      </c>
      <c r="I40" s="143">
        <f>BI_DGen_Low!I$38</f>
        <v>0.15206533461486291</v>
      </c>
      <c r="J40" s="187" t="s">
        <v>70</v>
      </c>
    </row>
    <row r="41" spans="1:10" ht="12.75" customHeight="1" x14ac:dyDescent="0.2">
      <c r="A41" s="181"/>
      <c r="B41" s="158" t="s">
        <v>117</v>
      </c>
      <c r="C41" s="93">
        <f>BI_DGen_Avg!B4</f>
        <v>1328</v>
      </c>
      <c r="D41" s="84">
        <f>BI_DGen_Avg!B5</f>
        <v>13</v>
      </c>
      <c r="E41" s="147">
        <f>BI_DGen_Avg!D38</f>
        <v>452.85740512799998</v>
      </c>
      <c r="F41" s="135">
        <f>BI_DGen_Avg!H$23</f>
        <v>36.68156799999997</v>
      </c>
      <c r="G41" s="141">
        <f>BI_DGen_Avg!I$23</f>
        <v>0.15087280464157687</v>
      </c>
      <c r="H41" s="137">
        <f>BI_DGen_Avg!H$38</f>
        <v>45.392362611999999</v>
      </c>
      <c r="I41" s="144">
        <f>BI_DGen_Avg!I$38</f>
        <v>0.10023544298490573</v>
      </c>
      <c r="J41" s="188"/>
    </row>
    <row r="42" spans="1:10" ht="13.5" thickBot="1" x14ac:dyDescent="0.25">
      <c r="A42" s="182"/>
      <c r="B42" s="92" t="s">
        <v>61</v>
      </c>
      <c r="C42" s="94">
        <f>BI_DGen_High!B4</f>
        <v>5000</v>
      </c>
      <c r="D42" s="85">
        <f>BI_DGen_High!B5</f>
        <v>100</v>
      </c>
      <c r="E42" s="148">
        <f>BI_DGen_High!D38</f>
        <v>1692.0490050000001</v>
      </c>
      <c r="F42" s="138">
        <f>BI_DGen_High!H$23</f>
        <v>-18.57200000000023</v>
      </c>
      <c r="G42" s="139">
        <f>BI_DGen_High!I$23</f>
        <v>-2.1642534595775937E-2</v>
      </c>
      <c r="H42" s="140">
        <f>BI_DGen_High!H$38</f>
        <v>9.3381843999998182</v>
      </c>
      <c r="I42" s="145">
        <f>BI_DGen_High!I$38</f>
        <v>5.5188616715033129E-3</v>
      </c>
      <c r="J42" s="189"/>
    </row>
    <row r="43" spans="1:10" x14ac:dyDescent="0.2">
      <c r="A43" s="181" t="s">
        <v>11</v>
      </c>
      <c r="B43" s="90" t="s">
        <v>60</v>
      </c>
      <c r="C43" s="98">
        <f>BI_ST_Low!B4</f>
        <v>200000</v>
      </c>
      <c r="D43" s="83">
        <f>BI_ST_Low!B5</f>
        <v>500</v>
      </c>
      <c r="E43" s="146">
        <f>BI_ST_Low!D36</f>
        <v>29575.1849</v>
      </c>
      <c r="F43" s="132">
        <f>BI_ST_Low!H$21</f>
        <v>-30.696748034412394</v>
      </c>
      <c r="G43" s="133">
        <f>BI_ST_Low!I$21</f>
        <v>-1.68615274945688E-2</v>
      </c>
      <c r="H43" s="134">
        <f>BI_ST_Low!H$36</f>
        <v>67.01968072111049</v>
      </c>
      <c r="I43" s="143">
        <f>BI_ST_Low!I$36</f>
        <v>2.2660781647762577E-3</v>
      </c>
      <c r="J43" s="187" t="s">
        <v>70</v>
      </c>
    </row>
    <row r="44" spans="1:10" x14ac:dyDescent="0.2">
      <c r="A44" s="181"/>
      <c r="B44" s="158" t="s">
        <v>117</v>
      </c>
      <c r="C44" s="93">
        <f>BI_ST_Avg!B4</f>
        <v>1601036</v>
      </c>
      <c r="D44" s="84">
        <f>BI_ST_Avg!B5</f>
        <v>3091</v>
      </c>
      <c r="E44" s="147">
        <f>BI_ST_Avg!D36</f>
        <v>219061.95677258403</v>
      </c>
      <c r="F44" s="135">
        <f>BI_ST_Avg!H$21</f>
        <v>526.12248965126309</v>
      </c>
      <c r="G44" s="141">
        <f>BI_ST_Avg!I$21</f>
        <v>0.1222270485571</v>
      </c>
      <c r="H44" s="137">
        <f>BI_ST_Avg!H$36</f>
        <v>1223.2711243979284</v>
      </c>
      <c r="I44" s="144">
        <f>BI_ST_Avg!I$36</f>
        <v>5.5841331028912951E-3</v>
      </c>
      <c r="J44" s="188"/>
    </row>
    <row r="45" spans="1:10" ht="13.5" thickBot="1" x14ac:dyDescent="0.25">
      <c r="A45" s="182"/>
      <c r="B45" s="92" t="s">
        <v>61</v>
      </c>
      <c r="C45" s="94">
        <f>BI_ST_High!B4</f>
        <v>4000000</v>
      </c>
      <c r="D45" s="85">
        <f>BI_ST_High!B5</f>
        <v>10000</v>
      </c>
      <c r="E45" s="148">
        <f>BI_ST_High!D36</f>
        <v>564265.35309999995</v>
      </c>
      <c r="F45" s="138">
        <f>BI_ST_High!H$21</f>
        <v>628.49403931175766</v>
      </c>
      <c r="G45" s="139">
        <f>BI_ST_High!I$21</f>
        <v>5.1053825889917463E-2</v>
      </c>
      <c r="H45" s="140">
        <f>BI_ST_High!H$36</f>
        <v>2744.3383844223572</v>
      </c>
      <c r="I45" s="145">
        <f>BI_ST_High!I$36</f>
        <v>4.8635599711116789E-3</v>
      </c>
      <c r="J45" s="189"/>
    </row>
  </sheetData>
  <mergeCells count="26">
    <mergeCell ref="A43:A45"/>
    <mergeCell ref="J43:J45"/>
    <mergeCell ref="A40:A42"/>
    <mergeCell ref="A37:A39"/>
    <mergeCell ref="A21:A24"/>
    <mergeCell ref="A25:A27"/>
    <mergeCell ref="A28:A30"/>
    <mergeCell ref="A31:A33"/>
    <mergeCell ref="A34:A36"/>
    <mergeCell ref="J31:J33"/>
    <mergeCell ref="J28:J30"/>
    <mergeCell ref="J25:J27"/>
    <mergeCell ref="J40:J42"/>
    <mergeCell ref="J37:J39"/>
    <mergeCell ref="J34:J36"/>
    <mergeCell ref="A2:A5"/>
    <mergeCell ref="A6:A9"/>
    <mergeCell ref="A10:A13"/>
    <mergeCell ref="A17:A20"/>
    <mergeCell ref="A14:A16"/>
    <mergeCell ref="J2:J5"/>
    <mergeCell ref="J21:J24"/>
    <mergeCell ref="J17:J20"/>
    <mergeCell ref="J10:J13"/>
    <mergeCell ref="J6:J9"/>
    <mergeCell ref="J14:J16"/>
  </mergeCells>
  <pageMargins left="0.7" right="0.7" top="0.76947916666666705" bottom="0.75" header="1.05" footer="0.3"/>
  <pageSetup paperSize="32767" scale="83" orientation="landscape" r:id="rId1"/>
  <headerFooter>
    <oddHeader>&amp;RUpdated: 2017-06-07
EB-2017-0049
Exhibit H1-4-1
Attachment 1
Page &amp;P of &amp;N</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120</v>
      </c>
      <c r="B1" s="191"/>
      <c r="C1" s="191"/>
      <c r="D1" s="191"/>
      <c r="E1" s="191"/>
      <c r="F1" s="191"/>
      <c r="G1" s="191"/>
      <c r="H1" s="191"/>
      <c r="I1" s="191"/>
      <c r="J1" s="191"/>
      <c r="K1" s="192"/>
    </row>
    <row r="3" spans="1:11" x14ac:dyDescent="0.2">
      <c r="A3" s="13" t="s">
        <v>13</v>
      </c>
      <c r="B3" s="13" t="s">
        <v>6</v>
      </c>
    </row>
    <row r="4" spans="1:11" x14ac:dyDescent="0.2">
      <c r="A4" s="15" t="s">
        <v>62</v>
      </c>
      <c r="B4" s="168">
        <f>VLOOKUP(B3,'Data for Bill Impacts'!A22:D35,3,FALSE)</f>
        <v>2759</v>
      </c>
    </row>
    <row r="5" spans="1:11" x14ac:dyDescent="0.2">
      <c r="A5" s="15" t="s">
        <v>16</v>
      </c>
      <c r="B5" s="168">
        <f>VLOOKUP($B$3,'Data for Bill Impacts'!$A$6:$Y$18,5,0)</f>
        <v>0</v>
      </c>
    </row>
    <row r="6" spans="1:11" x14ac:dyDescent="0.2">
      <c r="A6" s="15" t="s">
        <v>20</v>
      </c>
      <c r="B6" s="15">
        <f>VLOOKUP($B$3,'Data for Bill Impacts'!$A$6:$Y$18,2,0)</f>
        <v>1.0669999999999999</v>
      </c>
    </row>
    <row r="7" spans="1:11" x14ac:dyDescent="0.2">
      <c r="A7" s="15" t="s">
        <v>15</v>
      </c>
      <c r="B7" s="15">
        <f>VLOOKUP($B$3,'Data for Bill Impacts'!$A$6:$Y$18,4,0)</f>
        <v>750</v>
      </c>
    </row>
    <row r="8" spans="1:11" x14ac:dyDescent="0.2">
      <c r="A8" s="15" t="s">
        <v>82</v>
      </c>
      <c r="B8" s="168">
        <f>B4*B6</f>
        <v>2943.8530000000001</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0.13821778816759026</v>
      </c>
      <c r="K12" s="106"/>
    </row>
    <row r="13" spans="1:11" x14ac:dyDescent="0.2">
      <c r="A13" s="107" t="s">
        <v>32</v>
      </c>
      <c r="B13" s="73">
        <f>IF(B4&gt;B7,(B4)-B7,0)</f>
        <v>2009</v>
      </c>
      <c r="C13" s="21">
        <v>0.106</v>
      </c>
      <c r="D13" s="22">
        <f>B13*C13</f>
        <v>212.95400000000001</v>
      </c>
      <c r="E13" s="73">
        <f t="shared" ref="E13:F17" si="1">B13</f>
        <v>2009</v>
      </c>
      <c r="F13" s="21">
        <f t="shared" si="1"/>
        <v>0.106</v>
      </c>
      <c r="G13" s="22">
        <f>E13*F13</f>
        <v>212.95400000000001</v>
      </c>
      <c r="H13" s="22">
        <f t="shared" ref="H13:H46" si="2">G13-D13</f>
        <v>0</v>
      </c>
      <c r="I13" s="23">
        <f t="shared" si="0"/>
        <v>0</v>
      </c>
      <c r="J13" s="23">
        <f>G13/$G$46</f>
        <v>0.43126785144968516</v>
      </c>
      <c r="K13" s="108"/>
    </row>
    <row r="14" spans="1:11" s="1" customFormat="1" x14ac:dyDescent="0.2">
      <c r="A14" s="46" t="s">
        <v>33</v>
      </c>
      <c r="B14" s="24"/>
      <c r="C14" s="25"/>
      <c r="D14" s="25">
        <f>SUM(D12:D13)</f>
        <v>281.20400000000001</v>
      </c>
      <c r="E14" s="76"/>
      <c r="F14" s="25"/>
      <c r="G14" s="25">
        <f>SUM(G12:G13)</f>
        <v>281.20400000000001</v>
      </c>
      <c r="H14" s="25">
        <f t="shared" si="2"/>
        <v>0</v>
      </c>
      <c r="I14" s="27">
        <f t="shared" si="0"/>
        <v>0</v>
      </c>
      <c r="J14" s="27">
        <f>G14/$G$46</f>
        <v>0.56948563961727539</v>
      </c>
      <c r="K14" s="108"/>
    </row>
    <row r="15" spans="1:11" s="1" customFormat="1" x14ac:dyDescent="0.2">
      <c r="A15" s="109" t="s">
        <v>34</v>
      </c>
      <c r="B15" s="75">
        <f>B4*0.65</f>
        <v>1793.3500000000001</v>
      </c>
      <c r="C15" s="28">
        <v>7.6999999999999999E-2</v>
      </c>
      <c r="D15" s="22">
        <f>B15*C15</f>
        <v>138.08795000000001</v>
      </c>
      <c r="E15" s="73">
        <f t="shared" ref="E15:E17" si="3">B15</f>
        <v>1793.3500000000001</v>
      </c>
      <c r="F15" s="28">
        <f t="shared" si="1"/>
        <v>7.6999999999999999E-2</v>
      </c>
      <c r="G15" s="22">
        <f>E15*F15</f>
        <v>138.08795000000001</v>
      </c>
      <c r="H15" s="22">
        <f t="shared" si="2"/>
        <v>0</v>
      </c>
      <c r="I15" s="23">
        <f t="shared" si="0"/>
        <v>0</v>
      </c>
      <c r="J15" s="23"/>
      <c r="K15" s="108">
        <f t="shared" ref="K15:K26" si="4">G15/$G$51</f>
        <v>0.28805147321243035</v>
      </c>
    </row>
    <row r="16" spans="1:11" s="1" customFormat="1" x14ac:dyDescent="0.2">
      <c r="A16" s="109" t="s">
        <v>35</v>
      </c>
      <c r="B16" s="75">
        <f>B4*0.17</f>
        <v>469.03000000000003</v>
      </c>
      <c r="C16" s="28">
        <v>0.113</v>
      </c>
      <c r="D16" s="22">
        <f>B16*C16</f>
        <v>53.000390000000003</v>
      </c>
      <c r="E16" s="73">
        <f t="shared" si="3"/>
        <v>469.03000000000003</v>
      </c>
      <c r="F16" s="28">
        <f t="shared" si="1"/>
        <v>0.113</v>
      </c>
      <c r="G16" s="22">
        <f>E16*F16</f>
        <v>53.000390000000003</v>
      </c>
      <c r="H16" s="22">
        <f t="shared" si="2"/>
        <v>0</v>
      </c>
      <c r="I16" s="23">
        <f t="shared" si="0"/>
        <v>0</v>
      </c>
      <c r="J16" s="23"/>
      <c r="K16" s="108">
        <f t="shared" si="4"/>
        <v>0.11055881719102473</v>
      </c>
    </row>
    <row r="17" spans="1:11" s="1" customFormat="1" x14ac:dyDescent="0.2">
      <c r="A17" s="109" t="s">
        <v>36</v>
      </c>
      <c r="B17" s="75">
        <f>B4*0.18</f>
        <v>496.62</v>
      </c>
      <c r="C17" s="28">
        <v>0.157</v>
      </c>
      <c r="D17" s="22">
        <f>B17*C17</f>
        <v>77.969340000000003</v>
      </c>
      <c r="E17" s="73">
        <f t="shared" si="3"/>
        <v>496.62</v>
      </c>
      <c r="F17" s="28">
        <f t="shared" si="1"/>
        <v>0.157</v>
      </c>
      <c r="G17" s="22">
        <f>E17*F17</f>
        <v>77.969340000000003</v>
      </c>
      <c r="H17" s="22">
        <f t="shared" si="2"/>
        <v>0</v>
      </c>
      <c r="I17" s="23">
        <f t="shared" si="0"/>
        <v>0</v>
      </c>
      <c r="J17" s="23"/>
      <c r="K17" s="108">
        <f t="shared" si="4"/>
        <v>0.16264404861105458</v>
      </c>
    </row>
    <row r="18" spans="1:11" s="1" customFormat="1" x14ac:dyDescent="0.2">
      <c r="A18" s="61" t="s">
        <v>37</v>
      </c>
      <c r="B18" s="29"/>
      <c r="C18" s="30"/>
      <c r="D18" s="30">
        <f>SUM(D15:D17)</f>
        <v>269.05768</v>
      </c>
      <c r="E18" s="77"/>
      <c r="F18" s="30"/>
      <c r="G18" s="30">
        <f>SUM(G15:G17)</f>
        <v>269.05768</v>
      </c>
      <c r="H18" s="31">
        <f t="shared" si="2"/>
        <v>0</v>
      </c>
      <c r="I18" s="32">
        <f t="shared" si="0"/>
        <v>0</v>
      </c>
      <c r="J18" s="33">
        <f t="shared" ref="J18:J23" si="5">G18/$G$46</f>
        <v>0.54488728819198951</v>
      </c>
      <c r="K18" s="62">
        <f t="shared" si="4"/>
        <v>0.56125433901450972</v>
      </c>
    </row>
    <row r="19" spans="1:11" x14ac:dyDescent="0.2">
      <c r="A19" s="107" t="s">
        <v>38</v>
      </c>
      <c r="B19" s="73">
        <v>1</v>
      </c>
      <c r="C19" s="78">
        <f>VLOOKUP($B$3,'Data for Bill Impacts'!$A$6:$Y$18,7,0)</f>
        <v>23.3</v>
      </c>
      <c r="D19" s="22">
        <f>B19*C19</f>
        <v>23.3</v>
      </c>
      <c r="E19" s="73">
        <f t="shared" ref="E19:E41" si="6">B19</f>
        <v>1</v>
      </c>
      <c r="F19" s="78">
        <f>VLOOKUP($B$3,'Data for Bill Impacts'!$A$6:$Y$18,17,0)</f>
        <v>23.88</v>
      </c>
      <c r="G19" s="22">
        <f>E19*F19</f>
        <v>23.88</v>
      </c>
      <c r="H19" s="22">
        <f t="shared" si="2"/>
        <v>0.57999999999999829</v>
      </c>
      <c r="I19" s="23">
        <f>IF(ISERROR(H19/ABS(D19)),"N/A",(H19/ABS(D19)))</f>
        <v>2.4892703862660872E-2</v>
      </c>
      <c r="J19" s="23">
        <f t="shared" si="5"/>
        <v>4.8361037090726082E-2</v>
      </c>
      <c r="K19" s="108">
        <f t="shared" si="4"/>
        <v>4.9813681645015637E-2</v>
      </c>
    </row>
    <row r="20" spans="1:11" hidden="1" x14ac:dyDescent="0.2">
      <c r="A20" s="107" t="s">
        <v>114</v>
      </c>
      <c r="B20" s="73">
        <v>1</v>
      </c>
      <c r="C20" s="78">
        <f>VLOOKUP($B$3,'Data for Bill Impacts'!$A$6:$Y$18,11,0)</f>
        <v>0</v>
      </c>
      <c r="D20" s="22">
        <f t="shared" ref="D20:D21" si="7">B20*C20</f>
        <v>0</v>
      </c>
      <c r="E20" s="73">
        <f t="shared" si="6"/>
        <v>1</v>
      </c>
      <c r="F20" s="121">
        <f>VLOOKUP($B$3,'Data for Bill Impacts'!$A$6:$Y$18,12,0)</f>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0.67</v>
      </c>
      <c r="D21" s="22">
        <f t="shared" si="7"/>
        <v>0.67</v>
      </c>
      <c r="E21" s="73">
        <f t="shared" si="6"/>
        <v>1</v>
      </c>
      <c r="F21" s="121">
        <f>VLOOKUP($B$3,'Data for Bill Impacts'!$A$6:$Y$18,22,0)</f>
        <v>8.0000000000000002E-3</v>
      </c>
      <c r="G21" s="22">
        <f t="shared" si="8"/>
        <v>8.0000000000000002E-3</v>
      </c>
      <c r="H21" s="22">
        <f t="shared" si="2"/>
        <v>-0.66200000000000003</v>
      </c>
      <c r="I21" s="23">
        <f t="shared" si="9"/>
        <v>-0.9880597014925373</v>
      </c>
      <c r="J21" s="23">
        <f t="shared" si="5"/>
        <v>1.6201352459204719E-5</v>
      </c>
      <c r="K21" s="108">
        <f t="shared" si="4"/>
        <v>1.6688000551094015E-5</v>
      </c>
    </row>
    <row r="22" spans="1:11" hidden="1" x14ac:dyDescent="0.2">
      <c r="A22" s="107" t="s">
        <v>123</v>
      </c>
      <c r="B22" s="73">
        <f>B4</f>
        <v>2759</v>
      </c>
      <c r="C22" s="78">
        <v>0</v>
      </c>
      <c r="D22" s="22">
        <f>B22*C22</f>
        <v>0</v>
      </c>
      <c r="E22" s="73">
        <f>B22</f>
        <v>2759</v>
      </c>
      <c r="F22" s="78">
        <f>C22</f>
        <v>0</v>
      </c>
      <c r="G22" s="22">
        <f>E22*F22</f>
        <v>0</v>
      </c>
      <c r="H22" s="22">
        <f>G22-D22</f>
        <v>0</v>
      </c>
      <c r="I22" s="23" t="str">
        <f t="shared" si="9"/>
        <v>N/A</v>
      </c>
      <c r="J22" s="23">
        <f t="shared" si="5"/>
        <v>0</v>
      </c>
      <c r="K22" s="108">
        <f t="shared" si="4"/>
        <v>0</v>
      </c>
    </row>
    <row r="23" spans="1:11" x14ac:dyDescent="0.2">
      <c r="A23" s="107" t="s">
        <v>39</v>
      </c>
      <c r="B23" s="73">
        <f>IF($B$9="kWh",$B$4,$B$5)</f>
        <v>2759</v>
      </c>
      <c r="C23" s="78">
        <f>VLOOKUP($B$3,'Data for Bill Impacts'!$A$6:$Y$18,10,0)</f>
        <v>2.6200000000000001E-2</v>
      </c>
      <c r="D23" s="22">
        <f>B23*C23</f>
        <v>72.285800000000009</v>
      </c>
      <c r="E23" s="73">
        <f t="shared" si="6"/>
        <v>2759</v>
      </c>
      <c r="F23" s="125">
        <f>VLOOKUP($B$3,'Data for Bill Impacts'!$A$6:$Y$18,19,0)</f>
        <v>2.7799999999999998E-2</v>
      </c>
      <c r="G23" s="22">
        <f>E23*F23</f>
        <v>76.700199999999995</v>
      </c>
      <c r="H23" s="22">
        <f t="shared" si="2"/>
        <v>4.4143999999999863</v>
      </c>
      <c r="I23" s="23">
        <f t="shared" si="9"/>
        <v>6.1068702290076139E-2</v>
      </c>
      <c r="J23" s="23">
        <f t="shared" si="5"/>
        <v>0.1553308717364367</v>
      </c>
      <c r="K23" s="108">
        <f t="shared" si="4"/>
        <v>0.15999662248362764</v>
      </c>
    </row>
    <row r="24" spans="1:11" x14ac:dyDescent="0.2">
      <c r="A24" s="107" t="s">
        <v>124</v>
      </c>
      <c r="B24" s="73">
        <f>IF($B$9="kWh",$B$4,$B$5)</f>
        <v>2759</v>
      </c>
      <c r="C24" s="78">
        <f>VLOOKUP($B$3,'Data for Bill Impacts'!$A$6:$Y$18,14,0)</f>
        <v>-1E-4</v>
      </c>
      <c r="D24" s="22">
        <f>B24*C24</f>
        <v>-0.27590000000000003</v>
      </c>
      <c r="E24" s="73">
        <f t="shared" si="6"/>
        <v>2759</v>
      </c>
      <c r="F24" s="125">
        <f>VLOOKUP($B$3,'Data for Bill Impacts'!$A$6:$Y$18,23,0)</f>
        <v>3.0000000000000004E-5</v>
      </c>
      <c r="G24" s="22">
        <f>E24*F24</f>
        <v>8.277000000000001E-2</v>
      </c>
      <c r="H24" s="22">
        <f t="shared" si="2"/>
        <v>0.35867000000000004</v>
      </c>
      <c r="I24" s="23">
        <f t="shared" si="9"/>
        <v>1.3</v>
      </c>
      <c r="J24" s="23">
        <f t="shared" ref="J24" si="10">G24/$G$46</f>
        <v>1.6762324288104684E-4</v>
      </c>
      <c r="K24" s="108">
        <f t="shared" si="4"/>
        <v>1.7265822570175648E-4</v>
      </c>
    </row>
    <row r="25" spans="1:11" s="1" customFormat="1" x14ac:dyDescent="0.2">
      <c r="A25" s="110" t="s">
        <v>72</v>
      </c>
      <c r="B25" s="74"/>
      <c r="C25" s="35"/>
      <c r="D25" s="35">
        <f>SUM(D19:D24)</f>
        <v>95.979900000000015</v>
      </c>
      <c r="E25" s="73"/>
      <c r="F25" s="35"/>
      <c r="G25" s="35">
        <f>SUM(G19:G24)</f>
        <v>100.67097</v>
      </c>
      <c r="H25" s="35">
        <f t="shared" si="2"/>
        <v>4.6910699999999821</v>
      </c>
      <c r="I25" s="36">
        <f t="shared" si="9"/>
        <v>4.8875545817405323E-2</v>
      </c>
      <c r="J25" s="36">
        <f>G25/$G$46</f>
        <v>0.20387573342250304</v>
      </c>
      <c r="K25" s="111">
        <f t="shared" si="4"/>
        <v>0.20999965035489612</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G26/$G$46</f>
        <v>1.5998835553464659E-3</v>
      </c>
      <c r="K26" s="108">
        <f t="shared" si="4"/>
        <v>1.6479400544205341E-3</v>
      </c>
    </row>
    <row r="27" spans="1:11" s="1" customFormat="1" x14ac:dyDescent="0.2">
      <c r="A27" s="119" t="s">
        <v>75</v>
      </c>
      <c r="B27" s="120">
        <f>B8-B4</f>
        <v>184.85300000000007</v>
      </c>
      <c r="C27" s="176">
        <f>IF(B4&gt;B7,C13,C12)</f>
        <v>0.106</v>
      </c>
      <c r="D27" s="22">
        <f>B27*C27</f>
        <v>19.594418000000008</v>
      </c>
      <c r="E27" s="73">
        <f>B27</f>
        <v>184.85300000000007</v>
      </c>
      <c r="F27" s="176">
        <f>C27</f>
        <v>0.106</v>
      </c>
      <c r="G27" s="22">
        <f>E27*F27</f>
        <v>19.594418000000008</v>
      </c>
      <c r="H27" s="22">
        <f t="shared" si="2"/>
        <v>0</v>
      </c>
      <c r="I27" s="23">
        <f t="shared" si="9"/>
        <v>0</v>
      </c>
      <c r="J27" s="23">
        <f t="shared" ref="J27:J46" si="11">G27/$G$46</f>
        <v>3.9682009031373165E-2</v>
      </c>
      <c r="K27" s="108">
        <f t="shared" ref="K27:K41" si="12">G27/$G$51</f>
        <v>4.0873957297795832E-2</v>
      </c>
    </row>
    <row r="28" spans="1:11" s="1" customFormat="1" x14ac:dyDescent="0.2">
      <c r="A28" s="119" t="s">
        <v>74</v>
      </c>
      <c r="B28" s="120">
        <f>B8-B4</f>
        <v>184.85300000000007</v>
      </c>
      <c r="C28" s="176">
        <f>0.65*C15+0.17*C16+0.18*C17</f>
        <v>9.7519999999999996E-2</v>
      </c>
      <c r="D28" s="22">
        <f>B28*C28</f>
        <v>18.026864560000007</v>
      </c>
      <c r="E28" s="73">
        <f>B28</f>
        <v>184.85300000000007</v>
      </c>
      <c r="F28" s="176">
        <f>C28</f>
        <v>9.7519999999999996E-2</v>
      </c>
      <c r="G28" s="22">
        <f>E28*F28</f>
        <v>18.026864560000007</v>
      </c>
      <c r="H28" s="22">
        <f t="shared" si="2"/>
        <v>0</v>
      </c>
      <c r="I28" s="23">
        <f t="shared" si="9"/>
        <v>0</v>
      </c>
      <c r="J28" s="23">
        <f t="shared" si="11"/>
        <v>3.6507448308863308E-2</v>
      </c>
      <c r="K28" s="108">
        <f t="shared" si="12"/>
        <v>3.7604040713972164E-2</v>
      </c>
    </row>
    <row r="29" spans="1:11" s="1" customFormat="1" x14ac:dyDescent="0.2">
      <c r="A29" s="110" t="s">
        <v>78</v>
      </c>
      <c r="B29" s="74"/>
      <c r="C29" s="35"/>
      <c r="D29" s="35">
        <f>SUM(D25,D26:D27)</f>
        <v>116.36431800000003</v>
      </c>
      <c r="E29" s="73"/>
      <c r="F29" s="35"/>
      <c r="G29" s="35">
        <f>SUM(G25,G26:G27)</f>
        <v>121.05538800000001</v>
      </c>
      <c r="H29" s="35">
        <f t="shared" si="2"/>
        <v>4.6910699999999821</v>
      </c>
      <c r="I29" s="36">
        <f t="shared" si="9"/>
        <v>4.0313646662716494E-2</v>
      </c>
      <c r="J29" s="36">
        <f t="shared" si="11"/>
        <v>0.24515762600922267</v>
      </c>
      <c r="K29" s="111">
        <f t="shared" si="12"/>
        <v>0.25252154770711249</v>
      </c>
    </row>
    <row r="30" spans="1:11" s="1" customFormat="1" x14ac:dyDescent="0.2">
      <c r="A30" s="110" t="s">
        <v>77</v>
      </c>
      <c r="B30" s="74"/>
      <c r="C30" s="35"/>
      <c r="D30" s="35">
        <f>SUM(D25,D26,D28)</f>
        <v>114.79676456000003</v>
      </c>
      <c r="E30" s="73"/>
      <c r="F30" s="35"/>
      <c r="G30" s="35">
        <f>SUM(G25,G26,G28)</f>
        <v>119.48783456000001</v>
      </c>
      <c r="H30" s="35">
        <f t="shared" si="2"/>
        <v>4.6910699999999821</v>
      </c>
      <c r="I30" s="36">
        <f t="shared" si="9"/>
        <v>4.086413077912255E-2</v>
      </c>
      <c r="J30" s="36">
        <f t="shared" si="11"/>
        <v>0.24198306528671282</v>
      </c>
      <c r="K30" s="111">
        <f t="shared" si="12"/>
        <v>0.24925163112328885</v>
      </c>
    </row>
    <row r="31" spans="1:11" x14ac:dyDescent="0.2">
      <c r="A31" s="107" t="s">
        <v>40</v>
      </c>
      <c r="B31" s="73">
        <f>B8</f>
        <v>2943.8530000000001</v>
      </c>
      <c r="C31" s="78">
        <f>VLOOKUP($B$3,'Data for Bill Impacts'!$A$6:$Y$18,15,0)</f>
        <v>6.4000000000000003E-3</v>
      </c>
      <c r="D31" s="22">
        <f>B31*C31</f>
        <v>18.840659200000001</v>
      </c>
      <c r="E31" s="73">
        <f t="shared" si="6"/>
        <v>2943.8530000000001</v>
      </c>
      <c r="F31" s="125">
        <f>VLOOKUP($B$3,'Data for Bill Impacts'!$A$6:$Y$18,24,0)</f>
        <v>6.1060000000000003E-3</v>
      </c>
      <c r="G31" s="22">
        <f>E31*F31</f>
        <v>17.975166418000001</v>
      </c>
      <c r="H31" s="22">
        <f t="shared" si="2"/>
        <v>-0.86549278200000046</v>
      </c>
      <c r="I31" s="23">
        <f t="shared" si="9"/>
        <v>-4.593750000000002E-2</v>
      </c>
      <c r="J31" s="23">
        <f t="shared" si="11"/>
        <v>3.6402750831359791E-2</v>
      </c>
      <c r="K31" s="108">
        <f t="shared" si="12"/>
        <v>3.7496198386198831E-2</v>
      </c>
    </row>
    <row r="32" spans="1:11" x14ac:dyDescent="0.2">
      <c r="A32" s="107" t="s">
        <v>41</v>
      </c>
      <c r="B32" s="73">
        <f>B8</f>
        <v>2943.8530000000001</v>
      </c>
      <c r="C32" s="125">
        <f>VLOOKUP($B$3,'Data for Bill Impacts'!$A$6:$Y$18,16,0)</f>
        <v>4.0000000000000001E-3</v>
      </c>
      <c r="D32" s="22">
        <f>B32*C32</f>
        <v>11.775412000000001</v>
      </c>
      <c r="E32" s="73">
        <f t="shared" si="6"/>
        <v>2943.8530000000001</v>
      </c>
      <c r="F32" s="125">
        <f>VLOOKUP($B$3,'Data for Bill Impacts'!$A$6:$Y$18,25,0)</f>
        <v>4.6519999999999999E-3</v>
      </c>
      <c r="G32" s="22">
        <f>E32*F32</f>
        <v>13.694804156</v>
      </c>
      <c r="H32" s="22">
        <f t="shared" si="2"/>
        <v>1.9193921559999989</v>
      </c>
      <c r="I32" s="23">
        <f t="shared" si="9"/>
        <v>0.16299999999999989</v>
      </c>
      <c r="J32" s="23">
        <f t="shared" si="11"/>
        <v>2.7734293623892198E-2</v>
      </c>
      <c r="K32" s="108">
        <f t="shared" si="12"/>
        <v>2.8567362412806576E-2</v>
      </c>
    </row>
    <row r="33" spans="1:11" s="1" customFormat="1" x14ac:dyDescent="0.2">
      <c r="A33" s="110" t="s">
        <v>76</v>
      </c>
      <c r="B33" s="74"/>
      <c r="C33" s="35"/>
      <c r="D33" s="35">
        <f>SUM(D31:D32)</f>
        <v>30.6160712</v>
      </c>
      <c r="E33" s="73"/>
      <c r="F33" s="35"/>
      <c r="G33" s="35">
        <f>SUM(G31:G32)</f>
        <v>31.669970574000001</v>
      </c>
      <c r="H33" s="35">
        <f t="shared" si="2"/>
        <v>1.0538993740000002</v>
      </c>
      <c r="I33" s="36">
        <f t="shared" si="9"/>
        <v>3.4423076923076931E-2</v>
      </c>
      <c r="J33" s="36">
        <f t="shared" si="11"/>
        <v>6.4137044455251993E-2</v>
      </c>
      <c r="K33" s="111">
        <f t="shared" si="12"/>
        <v>6.6063560799005411E-2</v>
      </c>
    </row>
    <row r="34" spans="1:11" s="1" customFormat="1" ht="13.5" customHeight="1" x14ac:dyDescent="0.2">
      <c r="A34" s="110" t="s">
        <v>91</v>
      </c>
      <c r="B34" s="74"/>
      <c r="C34" s="35"/>
      <c r="D34" s="35">
        <f>D29+D33</f>
        <v>146.98038920000002</v>
      </c>
      <c r="E34" s="73"/>
      <c r="F34" s="35"/>
      <c r="G34" s="35">
        <f>G29+G33</f>
        <v>152.72535857400001</v>
      </c>
      <c r="H34" s="35">
        <f t="shared" si="2"/>
        <v>5.744969373999993</v>
      </c>
      <c r="I34" s="36">
        <f t="shared" si="9"/>
        <v>3.9086638736428057E-2</v>
      </c>
      <c r="J34" s="36">
        <f t="shared" si="11"/>
        <v>0.30929467046447467</v>
      </c>
      <c r="K34" s="111">
        <f t="shared" si="12"/>
        <v>0.31858510850611793</v>
      </c>
    </row>
    <row r="35" spans="1:11" s="1" customFormat="1" ht="13.5" customHeight="1" x14ac:dyDescent="0.2">
      <c r="A35" s="110" t="s">
        <v>92</v>
      </c>
      <c r="B35" s="74"/>
      <c r="C35" s="35"/>
      <c r="D35" s="35">
        <f>D30+D33</f>
        <v>145.41283576000004</v>
      </c>
      <c r="E35" s="73"/>
      <c r="F35" s="35"/>
      <c r="G35" s="35">
        <f>G30+G33</f>
        <v>151.157805134</v>
      </c>
      <c r="H35" s="35">
        <f t="shared" si="2"/>
        <v>5.7449693739999645</v>
      </c>
      <c r="I35" s="36">
        <f t="shared" si="9"/>
        <v>3.950799352735189E-2</v>
      </c>
      <c r="J35" s="36">
        <f t="shared" si="11"/>
        <v>0.3061201097419648</v>
      </c>
      <c r="K35" s="111">
        <f t="shared" si="12"/>
        <v>0.31531519192229424</v>
      </c>
    </row>
    <row r="36" spans="1:11" x14ac:dyDescent="0.2">
      <c r="A36" s="107" t="s">
        <v>42</v>
      </c>
      <c r="B36" s="73">
        <f>B8</f>
        <v>2943.8530000000001</v>
      </c>
      <c r="C36" s="34">
        <v>3.5999999999999999E-3</v>
      </c>
      <c r="D36" s="22">
        <f>B36*C36</f>
        <v>10.597870800000001</v>
      </c>
      <c r="E36" s="73">
        <f t="shared" si="6"/>
        <v>2943.8530000000001</v>
      </c>
      <c r="F36" s="34">
        <v>3.5999999999999999E-3</v>
      </c>
      <c r="G36" s="22">
        <f>E36*F36</f>
        <v>10.597870800000001</v>
      </c>
      <c r="H36" s="22">
        <f t="shared" si="2"/>
        <v>0</v>
      </c>
      <c r="I36" s="23">
        <f t="shared" si="9"/>
        <v>0</v>
      </c>
      <c r="J36" s="23">
        <f t="shared" si="11"/>
        <v>2.1462480018489234E-2</v>
      </c>
      <c r="K36" s="108">
        <f t="shared" si="12"/>
        <v>2.2107159218852899E-2</v>
      </c>
    </row>
    <row r="37" spans="1:11" x14ac:dyDescent="0.2">
      <c r="A37" s="107" t="s">
        <v>43</v>
      </c>
      <c r="B37" s="73">
        <f>B8</f>
        <v>2943.8530000000001</v>
      </c>
      <c r="C37" s="34">
        <v>2.0999999999999999E-3</v>
      </c>
      <c r="D37" s="22">
        <f>B37*C37</f>
        <v>6.1820912999999997</v>
      </c>
      <c r="E37" s="73">
        <f t="shared" si="6"/>
        <v>2943.8530000000001</v>
      </c>
      <c r="F37" s="34">
        <v>2.0999999999999999E-3</v>
      </c>
      <c r="G37" s="22">
        <f>E37*F37</f>
        <v>6.1820912999999997</v>
      </c>
      <c r="H37" s="22">
        <f>G37-D37</f>
        <v>0</v>
      </c>
      <c r="I37" s="23">
        <f t="shared" si="9"/>
        <v>0</v>
      </c>
      <c r="J37" s="23">
        <f t="shared" si="11"/>
        <v>1.2519780010785386E-2</v>
      </c>
      <c r="K37" s="108">
        <f t="shared" si="12"/>
        <v>1.2895842877664189E-2</v>
      </c>
    </row>
    <row r="38" spans="1:11" x14ac:dyDescent="0.2">
      <c r="A38" s="107" t="s">
        <v>96</v>
      </c>
      <c r="B38" s="73">
        <f>B8</f>
        <v>2943.8530000000001</v>
      </c>
      <c r="C38" s="34">
        <v>0</v>
      </c>
      <c r="D38" s="22">
        <f>B38*C38</f>
        <v>0</v>
      </c>
      <c r="E38" s="73">
        <f t="shared" si="6"/>
        <v>2943.8530000000001</v>
      </c>
      <c r="F38" s="34">
        <v>0</v>
      </c>
      <c r="G38" s="22">
        <f>E38*F38</f>
        <v>0</v>
      </c>
      <c r="H38" s="22">
        <f>G38-D38</f>
        <v>0</v>
      </c>
      <c r="I38" s="23" t="str">
        <f t="shared" si="9"/>
        <v>N/A</v>
      </c>
      <c r="J38" s="23">
        <f t="shared" si="11"/>
        <v>0</v>
      </c>
      <c r="K38" s="108">
        <f t="shared" si="12"/>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1"/>
        <v>5.0629226435014744E-4</v>
      </c>
      <c r="K39" s="108">
        <f t="shared" si="12"/>
        <v>5.2150001722168799E-4</v>
      </c>
    </row>
    <row r="40" spans="1:11" s="1" customFormat="1" x14ac:dyDescent="0.2">
      <c r="A40" s="110" t="s">
        <v>45</v>
      </c>
      <c r="B40" s="74"/>
      <c r="C40" s="35"/>
      <c r="D40" s="35">
        <f>SUM(D36:D39)</f>
        <v>17.029962099999999</v>
      </c>
      <c r="E40" s="73"/>
      <c r="F40" s="35"/>
      <c r="G40" s="35">
        <f>SUM(G36:G39)</f>
        <v>17.029962099999999</v>
      </c>
      <c r="H40" s="35">
        <f t="shared" si="2"/>
        <v>0</v>
      </c>
      <c r="I40" s="36">
        <f t="shared" si="9"/>
        <v>0</v>
      </c>
      <c r="J40" s="36">
        <f t="shared" si="11"/>
        <v>3.4488552293624762E-2</v>
      </c>
      <c r="K40" s="111">
        <f t="shared" si="12"/>
        <v>3.5524502113738775E-2</v>
      </c>
    </row>
    <row r="41" spans="1:11" s="1" customFormat="1" ht="13.5" thickBot="1" x14ac:dyDescent="0.25">
      <c r="A41" s="112" t="s">
        <v>46</v>
      </c>
      <c r="B41" s="113">
        <f>B4</f>
        <v>2759</v>
      </c>
      <c r="C41" s="114">
        <v>7.0000000000000001E-3</v>
      </c>
      <c r="D41" s="115">
        <f>B41*C41</f>
        <v>19.312999999999999</v>
      </c>
      <c r="E41" s="116">
        <f t="shared" si="6"/>
        <v>2759</v>
      </c>
      <c r="F41" s="114">
        <f>C41</f>
        <v>7.0000000000000001E-3</v>
      </c>
      <c r="G41" s="115">
        <f>E41*F41</f>
        <v>19.312999999999999</v>
      </c>
      <c r="H41" s="115">
        <f t="shared" si="2"/>
        <v>0</v>
      </c>
      <c r="I41" s="117">
        <f t="shared" si="9"/>
        <v>0</v>
      </c>
      <c r="J41" s="117">
        <f t="shared" si="11"/>
        <v>3.9112090005577582E-2</v>
      </c>
      <c r="K41" s="118">
        <f t="shared" si="12"/>
        <v>4.0286919330409836E-2</v>
      </c>
    </row>
    <row r="42" spans="1:11" s="1" customFormat="1" x14ac:dyDescent="0.2">
      <c r="A42" s="37" t="s">
        <v>105</v>
      </c>
      <c r="B42" s="38"/>
      <c r="C42" s="39"/>
      <c r="D42" s="39">
        <f>SUM(D14,D25,D26,D27,D33,D40,D41)</f>
        <v>464.52735130000002</v>
      </c>
      <c r="E42" s="38"/>
      <c r="F42" s="39"/>
      <c r="G42" s="39">
        <f>SUM(G14,G25,G26,G27,G33,G40,G41)</f>
        <v>470.27232067400001</v>
      </c>
      <c r="H42" s="39">
        <f t="shared" si="2"/>
        <v>5.744969373999993</v>
      </c>
      <c r="I42" s="40">
        <f t="shared" si="9"/>
        <v>1.236734361910541E-2</v>
      </c>
      <c r="J42" s="40">
        <f t="shared" si="11"/>
        <v>0.95238095238095244</v>
      </c>
      <c r="K42" s="41"/>
    </row>
    <row r="43" spans="1:11" x14ac:dyDescent="0.2">
      <c r="A43" s="153" t="s">
        <v>106</v>
      </c>
      <c r="B43" s="43"/>
      <c r="C43" s="26">
        <v>0.13</v>
      </c>
      <c r="D43" s="26">
        <f>D42*C43</f>
        <v>60.388555669000006</v>
      </c>
      <c r="E43" s="26"/>
      <c r="F43" s="26">
        <f>C43</f>
        <v>0.13</v>
      </c>
      <c r="G43" s="26">
        <f>G42*F43</f>
        <v>61.135401687620003</v>
      </c>
      <c r="H43" s="26">
        <f t="shared" si="2"/>
        <v>0.74684601861999766</v>
      </c>
      <c r="I43" s="44">
        <f t="shared" si="9"/>
        <v>1.2367343619105386E-2</v>
      </c>
      <c r="J43" s="44">
        <f t="shared" si="11"/>
        <v>0.12380952380952381</v>
      </c>
      <c r="K43" s="45"/>
    </row>
    <row r="44" spans="1:11" s="1" customFormat="1" x14ac:dyDescent="0.2">
      <c r="A44" s="46" t="s">
        <v>107</v>
      </c>
      <c r="B44" s="24"/>
      <c r="C44" s="25"/>
      <c r="D44" s="25">
        <f>SUM(D42:D43)</f>
        <v>524.91590696900005</v>
      </c>
      <c r="E44" s="25"/>
      <c r="F44" s="25"/>
      <c r="G44" s="25">
        <f>SUM(G42:G43)</f>
        <v>531.40772236162002</v>
      </c>
      <c r="H44" s="25">
        <f t="shared" si="2"/>
        <v>6.4918153926199693</v>
      </c>
      <c r="I44" s="27">
        <f t="shared" si="9"/>
        <v>1.2367343619105367E-2</v>
      </c>
      <c r="J44" s="27">
        <f t="shared" si="11"/>
        <v>1.0761904761904761</v>
      </c>
      <c r="K44" s="47"/>
    </row>
    <row r="45" spans="1:11" x14ac:dyDescent="0.2">
      <c r="A45" s="42" t="s">
        <v>108</v>
      </c>
      <c r="B45" s="43"/>
      <c r="C45" s="26">
        <v>-0.08</v>
      </c>
      <c r="D45" s="26">
        <f>D42*C45</f>
        <v>-37.162188104000002</v>
      </c>
      <c r="E45" s="26"/>
      <c r="F45" s="26">
        <f>C45</f>
        <v>-0.08</v>
      </c>
      <c r="G45" s="26">
        <f>G42*F45</f>
        <v>-37.62178565392</v>
      </c>
      <c r="H45" s="26">
        <f t="shared" si="2"/>
        <v>-0.45959754991999802</v>
      </c>
      <c r="I45" s="44">
        <f t="shared" si="9"/>
        <v>-1.2367343619105372E-2</v>
      </c>
      <c r="J45" s="44">
        <f t="shared" si="11"/>
        <v>-7.6190476190476197E-2</v>
      </c>
      <c r="K45" s="45"/>
    </row>
    <row r="46" spans="1:11" s="1" customFormat="1" ht="13.5" thickBot="1" x14ac:dyDescent="0.25">
      <c r="A46" s="48" t="s">
        <v>109</v>
      </c>
      <c r="B46" s="49"/>
      <c r="C46" s="50"/>
      <c r="D46" s="50">
        <f>SUM(D44:D45)</f>
        <v>487.75371886500005</v>
      </c>
      <c r="E46" s="50"/>
      <c r="F46" s="50"/>
      <c r="G46" s="50">
        <f>SUM(G44:G45)</f>
        <v>493.78593670769999</v>
      </c>
      <c r="H46" s="50">
        <f t="shared" si="2"/>
        <v>6.0322178426999358</v>
      </c>
      <c r="I46" s="51">
        <f t="shared" si="9"/>
        <v>1.2367343619105294E-2</v>
      </c>
      <c r="J46" s="51">
        <f t="shared" si="11"/>
        <v>1</v>
      </c>
      <c r="K46" s="52"/>
    </row>
    <row r="47" spans="1:11" x14ac:dyDescent="0.2">
      <c r="A47" s="53" t="s">
        <v>110</v>
      </c>
      <c r="B47" s="54"/>
      <c r="C47" s="55"/>
      <c r="D47" s="55">
        <f>SUM(D18,D25,D26,D28,D33,D40,D41)</f>
        <v>450.81347786000003</v>
      </c>
      <c r="E47" s="55"/>
      <c r="F47" s="55"/>
      <c r="G47" s="55">
        <f>SUM(G18,G25,G26,G28,G33,G40,G41)</f>
        <v>456.55844723399997</v>
      </c>
      <c r="H47" s="55">
        <f>G47-D47</f>
        <v>5.7449693739999361</v>
      </c>
      <c r="I47" s="56">
        <f t="shared" si="9"/>
        <v>1.2743561708206147E-2</v>
      </c>
      <c r="J47" s="56"/>
      <c r="K47" s="57">
        <f>G47/$G$51</f>
        <v>0.95238095238095244</v>
      </c>
    </row>
    <row r="48" spans="1:11" x14ac:dyDescent="0.2">
      <c r="A48" s="58" t="s">
        <v>106</v>
      </c>
      <c r="B48" s="59"/>
      <c r="C48" s="31">
        <v>0.13</v>
      </c>
      <c r="D48" s="31">
        <f>D47*C48</f>
        <v>58.605752121800009</v>
      </c>
      <c r="E48" s="31"/>
      <c r="F48" s="31">
        <f>C48</f>
        <v>0.13</v>
      </c>
      <c r="G48" s="31">
        <f>G47*F48</f>
        <v>59.35259814042</v>
      </c>
      <c r="H48" s="31">
        <f>G48-D48</f>
        <v>0.74684601861999056</v>
      </c>
      <c r="I48" s="32">
        <f t="shared" si="9"/>
        <v>1.2743561708206126E-2</v>
      </c>
      <c r="J48" s="32"/>
      <c r="K48" s="60">
        <f>G48/$G$51</f>
        <v>0.12380952380952383</v>
      </c>
    </row>
    <row r="49" spans="1:11" x14ac:dyDescent="0.2">
      <c r="A49" s="149" t="s">
        <v>111</v>
      </c>
      <c r="B49" s="29"/>
      <c r="C49" s="30"/>
      <c r="D49" s="30">
        <f>SUM(D47:D48)</f>
        <v>509.41922998180007</v>
      </c>
      <c r="E49" s="30"/>
      <c r="F49" s="30"/>
      <c r="G49" s="30">
        <f>SUM(G47:G48)</f>
        <v>515.91104537441993</v>
      </c>
      <c r="H49" s="30">
        <f>G49-D49</f>
        <v>6.4918153926198556</v>
      </c>
      <c r="I49" s="33">
        <f t="shared" si="9"/>
        <v>1.2743561708206005E-2</v>
      </c>
      <c r="J49" s="33"/>
      <c r="K49" s="62">
        <f>G49/$G$51</f>
        <v>1.0761904761904761</v>
      </c>
    </row>
    <row r="50" spans="1:11" x14ac:dyDescent="0.2">
      <c r="A50" s="58" t="s">
        <v>108</v>
      </c>
      <c r="B50" s="59"/>
      <c r="C50" s="31">
        <v>-0.08</v>
      </c>
      <c r="D50" s="31">
        <f>D47*C50</f>
        <v>-36.065078228800004</v>
      </c>
      <c r="E50" s="31"/>
      <c r="F50" s="31">
        <f>C50</f>
        <v>-0.08</v>
      </c>
      <c r="G50" s="31">
        <f>G47*F50</f>
        <v>-36.524675778719995</v>
      </c>
      <c r="H50" s="31">
        <f>G50-D50</f>
        <v>-0.45959754991999091</v>
      </c>
      <c r="I50" s="32">
        <f t="shared" si="9"/>
        <v>-1.2743561708206036E-2</v>
      </c>
      <c r="J50" s="32"/>
      <c r="K50" s="60">
        <f>G50/$G$51</f>
        <v>-7.6190476190476197E-2</v>
      </c>
    </row>
    <row r="51" spans="1:11" ht="13.5" thickBot="1" x14ac:dyDescent="0.25">
      <c r="A51" s="63" t="s">
        <v>121</v>
      </c>
      <c r="B51" s="64"/>
      <c r="C51" s="65"/>
      <c r="D51" s="65">
        <f>SUM(D49:D50)</f>
        <v>473.35415175300005</v>
      </c>
      <c r="E51" s="65"/>
      <c r="F51" s="65"/>
      <c r="G51" s="65">
        <f>SUM(G49:G50)</f>
        <v>479.38636959569993</v>
      </c>
      <c r="H51" s="65">
        <f>G51-D51</f>
        <v>6.0322178426998789</v>
      </c>
      <c r="I51" s="66">
        <f t="shared" si="9"/>
        <v>1.2743561708206032E-2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6"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101</v>
      </c>
      <c r="B1" s="191"/>
      <c r="C1" s="191"/>
      <c r="D1" s="191"/>
      <c r="E1" s="191"/>
      <c r="F1" s="191"/>
      <c r="G1" s="191"/>
      <c r="H1" s="191"/>
      <c r="I1" s="191"/>
      <c r="J1" s="191"/>
      <c r="K1" s="192"/>
    </row>
    <row r="3" spans="1:11" x14ac:dyDescent="0.2">
      <c r="A3" s="13" t="s">
        <v>13</v>
      </c>
      <c r="B3" s="13" t="s">
        <v>6</v>
      </c>
    </row>
    <row r="4" spans="1:11" x14ac:dyDescent="0.2">
      <c r="A4" s="15" t="s">
        <v>62</v>
      </c>
      <c r="B4" s="15">
        <v>15000</v>
      </c>
    </row>
    <row r="5" spans="1:11" x14ac:dyDescent="0.2">
      <c r="A5" s="15" t="s">
        <v>16</v>
      </c>
      <c r="B5" s="15">
        <f>VLOOKUP($B$3,'Data for Bill Impacts'!$A$6:$Y$18,5,0)</f>
        <v>0</v>
      </c>
    </row>
    <row r="6" spans="1:11" x14ac:dyDescent="0.2">
      <c r="A6" s="15" t="s">
        <v>20</v>
      </c>
      <c r="B6" s="15">
        <f>VLOOKUP($B$3,'Data for Bill Impacts'!$A$6:$Y$18,2,0)</f>
        <v>1.0669999999999999</v>
      </c>
    </row>
    <row r="7" spans="1:11" x14ac:dyDescent="0.2">
      <c r="A7" s="15" t="s">
        <v>15</v>
      </c>
      <c r="B7" s="15">
        <f>VLOOKUP($B$3,'Data for Bill Impacts'!$A$6:$Y$18,4,0)</f>
        <v>750</v>
      </c>
    </row>
    <row r="8" spans="1:11" x14ac:dyDescent="0.2">
      <c r="A8" s="15" t="s">
        <v>82</v>
      </c>
      <c r="B8" s="15">
        <f>B4*B6</f>
        <v>16005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2.6040954192002492E-2</v>
      </c>
      <c r="K12" s="106"/>
    </row>
    <row r="13" spans="1:11" x14ac:dyDescent="0.2">
      <c r="A13" s="107" t="s">
        <v>32</v>
      </c>
      <c r="B13" s="73">
        <f>IF(B4&gt;B7,(B4)-B7,0)</f>
        <v>14250</v>
      </c>
      <c r="C13" s="21">
        <v>0.106</v>
      </c>
      <c r="D13" s="22">
        <f>B13*C13</f>
        <v>1510.5</v>
      </c>
      <c r="E13" s="73">
        <f t="shared" ref="E13:F17" si="1">B13</f>
        <v>14250</v>
      </c>
      <c r="F13" s="21">
        <f t="shared" si="1"/>
        <v>0.106</v>
      </c>
      <c r="G13" s="22">
        <f>E13*F13</f>
        <v>1510.5</v>
      </c>
      <c r="H13" s="22">
        <f t="shared" ref="H13:H46" si="2">G13-D13</f>
        <v>0</v>
      </c>
      <c r="I13" s="23">
        <f t="shared" si="0"/>
        <v>0</v>
      </c>
      <c r="J13" s="23">
        <f>G13/$G$46</f>
        <v>0.57633496420541774</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G14/$G$46</f>
        <v>0.60237591839742033</v>
      </c>
      <c r="K14" s="108"/>
    </row>
    <row r="15" spans="1:11" s="1" customFormat="1" x14ac:dyDescent="0.2">
      <c r="A15" s="109" t="s">
        <v>34</v>
      </c>
      <c r="B15" s="75">
        <f>B4*0.65</f>
        <v>9750</v>
      </c>
      <c r="C15" s="28">
        <v>7.6999999999999999E-2</v>
      </c>
      <c r="D15" s="22">
        <f>B15*C15</f>
        <v>750.75</v>
      </c>
      <c r="E15" s="73">
        <f t="shared" ref="E15:E17" si="3">B15</f>
        <v>9750</v>
      </c>
      <c r="F15" s="28">
        <f t="shared" si="1"/>
        <v>7.6999999999999999E-2</v>
      </c>
      <c r="G15" s="22">
        <f>E15*F15</f>
        <v>750.75</v>
      </c>
      <c r="H15" s="22">
        <f t="shared" si="2"/>
        <v>0</v>
      </c>
      <c r="I15" s="23">
        <f t="shared" si="0"/>
        <v>0</v>
      </c>
      <c r="J15" s="23"/>
      <c r="K15" s="108">
        <f t="shared" ref="K15:K26" si="4">G15/$G$51</f>
        <v>0.30148475253092122</v>
      </c>
    </row>
    <row r="16" spans="1:11" s="1" customFormat="1" x14ac:dyDescent="0.2">
      <c r="A16" s="109" t="s">
        <v>35</v>
      </c>
      <c r="B16" s="75">
        <f>B4*0.17</f>
        <v>2550</v>
      </c>
      <c r="C16" s="28">
        <v>0.113</v>
      </c>
      <c r="D16" s="22">
        <f>B16*C16</f>
        <v>288.15000000000003</v>
      </c>
      <c r="E16" s="73">
        <f t="shared" si="3"/>
        <v>2550</v>
      </c>
      <c r="F16" s="28">
        <f t="shared" si="1"/>
        <v>0.113</v>
      </c>
      <c r="G16" s="22">
        <f>E16*F16</f>
        <v>288.15000000000003</v>
      </c>
      <c r="H16" s="22">
        <f t="shared" si="2"/>
        <v>0</v>
      </c>
      <c r="I16" s="23">
        <f t="shared" si="0"/>
        <v>0</v>
      </c>
      <c r="J16" s="23"/>
      <c r="K16" s="108">
        <f t="shared" si="4"/>
        <v>0.11571472719518476</v>
      </c>
    </row>
    <row r="17" spans="1:11" s="1" customFormat="1" x14ac:dyDescent="0.2">
      <c r="A17" s="109" t="s">
        <v>36</v>
      </c>
      <c r="B17" s="75">
        <f>B4*0.18</f>
        <v>2700</v>
      </c>
      <c r="C17" s="28">
        <v>0.157</v>
      </c>
      <c r="D17" s="22">
        <f>B17*C17</f>
        <v>423.9</v>
      </c>
      <c r="E17" s="73">
        <f t="shared" si="3"/>
        <v>2700</v>
      </c>
      <c r="F17" s="28">
        <f t="shared" si="1"/>
        <v>0.157</v>
      </c>
      <c r="G17" s="22">
        <f>E17*F17</f>
        <v>423.9</v>
      </c>
      <c r="H17" s="22">
        <f t="shared" si="2"/>
        <v>0</v>
      </c>
      <c r="I17" s="23">
        <f t="shared" si="0"/>
        <v>0</v>
      </c>
      <c r="J17" s="23"/>
      <c r="K17" s="108">
        <f t="shared" si="4"/>
        <v>0.17022895317729936</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 t="shared" ref="J18:J23" si="5">G18/$G$46</f>
        <v>0.55813491270419413</v>
      </c>
      <c r="K18" s="62">
        <f t="shared" si="4"/>
        <v>0.58742843290340541</v>
      </c>
    </row>
    <row r="19" spans="1:11" x14ac:dyDescent="0.2">
      <c r="A19" s="107" t="s">
        <v>38</v>
      </c>
      <c r="B19" s="73">
        <v>1</v>
      </c>
      <c r="C19" s="78">
        <f>VLOOKUP($B$3,'Data for Bill Impacts'!$A$6:$Y$18,7,0)</f>
        <v>23.3</v>
      </c>
      <c r="D19" s="22">
        <f>B19*C19</f>
        <v>23.3</v>
      </c>
      <c r="E19" s="73">
        <f t="shared" ref="E19:E41" si="6">B19</f>
        <v>1</v>
      </c>
      <c r="F19" s="78">
        <f>VLOOKUP($B$3,'Data for Bill Impacts'!$A$6:$Y$18,17,0)</f>
        <v>23.88</v>
      </c>
      <c r="G19" s="22">
        <f>E19*F19</f>
        <v>23.88</v>
      </c>
      <c r="H19" s="22">
        <f t="shared" si="2"/>
        <v>0.57999999999999829</v>
      </c>
      <c r="I19" s="23">
        <f>IF(ISERROR(H19/ABS(D19)),"N/A",(H19/ABS(D19)))</f>
        <v>2.4892703862660872E-2</v>
      </c>
      <c r="J19" s="23">
        <f t="shared" si="5"/>
        <v>9.1114723238830686E-3</v>
      </c>
      <c r="K19" s="108">
        <f t="shared" si="4"/>
        <v>9.589684835748782E-3</v>
      </c>
    </row>
    <row r="20" spans="1:11" hidden="1" x14ac:dyDescent="0.2">
      <c r="A20" s="107" t="s">
        <v>114</v>
      </c>
      <c r="B20" s="73">
        <v>1</v>
      </c>
      <c r="C20" s="78">
        <f>VLOOKUP($B$3,'Data for Bill Impacts'!$A$6:$Y$18,11,0)</f>
        <v>0</v>
      </c>
      <c r="D20" s="22">
        <f t="shared" ref="D20:D21" si="7">B20*C20</f>
        <v>0</v>
      </c>
      <c r="E20" s="73">
        <f t="shared" si="6"/>
        <v>1</v>
      </c>
      <c r="F20" s="121">
        <f>VLOOKUP($B$3,'Data for Bill Impacts'!$A$6:$Y$18,12,0)</f>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0.67</v>
      </c>
      <c r="D21" s="22">
        <f t="shared" si="7"/>
        <v>0.67</v>
      </c>
      <c r="E21" s="73">
        <f t="shared" si="6"/>
        <v>1</v>
      </c>
      <c r="F21" s="121">
        <f>VLOOKUP($B$3,'Data for Bill Impacts'!$A$6:$Y$18,22,0)</f>
        <v>8.0000000000000002E-3</v>
      </c>
      <c r="G21" s="22">
        <f t="shared" si="8"/>
        <v>8.0000000000000002E-3</v>
      </c>
      <c r="H21" s="22">
        <f t="shared" si="2"/>
        <v>-0.66200000000000003</v>
      </c>
      <c r="I21" s="23">
        <f t="shared" si="9"/>
        <v>-0.9880597014925373</v>
      </c>
      <c r="J21" s="23">
        <f t="shared" si="5"/>
        <v>3.0524195389893033E-6</v>
      </c>
      <c r="K21" s="108">
        <f t="shared" si="4"/>
        <v>3.2126247355942322E-6</v>
      </c>
    </row>
    <row r="22" spans="1:11" hidden="1" x14ac:dyDescent="0.2">
      <c r="A22" s="107" t="s">
        <v>123</v>
      </c>
      <c r="B22" s="73">
        <f>B4</f>
        <v>15000</v>
      </c>
      <c r="C22" s="78">
        <v>0</v>
      </c>
      <c r="D22" s="22">
        <f>B22*C22</f>
        <v>0</v>
      </c>
      <c r="E22" s="73">
        <f>B22</f>
        <v>15000</v>
      </c>
      <c r="F22" s="78">
        <f>C22</f>
        <v>0</v>
      </c>
      <c r="G22" s="22">
        <f>E22*F22</f>
        <v>0</v>
      </c>
      <c r="H22" s="22">
        <f>G22-D22</f>
        <v>0</v>
      </c>
      <c r="I22" s="23" t="str">
        <f t="shared" si="9"/>
        <v>N/A</v>
      </c>
      <c r="J22" s="23">
        <f t="shared" si="5"/>
        <v>0</v>
      </c>
      <c r="K22" s="108">
        <f t="shared" si="4"/>
        <v>0</v>
      </c>
    </row>
    <row r="23" spans="1:11" x14ac:dyDescent="0.2">
      <c r="A23" s="107" t="s">
        <v>39</v>
      </c>
      <c r="B23" s="73">
        <f>IF($B$9="kWh",$B$4,$B$5)</f>
        <v>15000</v>
      </c>
      <c r="C23" s="78">
        <f>VLOOKUP($B$3,'Data for Bill Impacts'!$A$6:$Y$18,10,0)</f>
        <v>2.6200000000000001E-2</v>
      </c>
      <c r="D23" s="22">
        <f>B23*C23</f>
        <v>393</v>
      </c>
      <c r="E23" s="73">
        <f t="shared" si="6"/>
        <v>15000</v>
      </c>
      <c r="F23" s="125">
        <f>VLOOKUP($B$3,'Data for Bill Impacts'!$A$6:$Y$18,19,0)</f>
        <v>2.7799999999999998E-2</v>
      </c>
      <c r="G23" s="22">
        <f>E23*F23</f>
        <v>417</v>
      </c>
      <c r="H23" s="22">
        <f t="shared" si="2"/>
        <v>24</v>
      </c>
      <c r="I23" s="23">
        <f t="shared" si="9"/>
        <v>6.1068702290076333E-2</v>
      </c>
      <c r="J23" s="23">
        <f t="shared" si="5"/>
        <v>0.15910736846981743</v>
      </c>
      <c r="K23" s="108">
        <f t="shared" si="4"/>
        <v>0.16745806434284935</v>
      </c>
    </row>
    <row r="24" spans="1:11" x14ac:dyDescent="0.2">
      <c r="A24" s="107" t="s">
        <v>124</v>
      </c>
      <c r="B24" s="73">
        <f>IF($B$9="kWh",$B$4,$B$5)</f>
        <v>15000</v>
      </c>
      <c r="C24" s="78">
        <f>VLOOKUP($B$3,'Data for Bill Impacts'!$A$6:$Y$18,14,0)</f>
        <v>-1E-4</v>
      </c>
      <c r="D24" s="22">
        <f>B24*C24</f>
        <v>-1.5</v>
      </c>
      <c r="E24" s="73">
        <f t="shared" si="6"/>
        <v>15000</v>
      </c>
      <c r="F24" s="125">
        <f>VLOOKUP($B$3,'Data for Bill Impacts'!$A$6:$Y$18,23,0)</f>
        <v>3.0000000000000004E-5</v>
      </c>
      <c r="G24" s="22">
        <f>E24*F24</f>
        <v>0.45000000000000007</v>
      </c>
      <c r="H24" s="22">
        <f t="shared" si="2"/>
        <v>1.9500000000000002</v>
      </c>
      <c r="I24" s="23">
        <f t="shared" si="9"/>
        <v>1.3</v>
      </c>
      <c r="J24" s="23">
        <f t="shared" ref="J24" si="10">G24/$G$46</f>
        <v>1.7169859906814833E-4</v>
      </c>
      <c r="K24" s="108">
        <f t="shared" si="4"/>
        <v>1.8071014137717559E-4</v>
      </c>
    </row>
    <row r="25" spans="1:11" s="1" customFormat="1" x14ac:dyDescent="0.2">
      <c r="A25" s="110" t="s">
        <v>72</v>
      </c>
      <c r="B25" s="74"/>
      <c r="C25" s="35"/>
      <c r="D25" s="35">
        <f>SUM(D19:D24)</f>
        <v>415.47</v>
      </c>
      <c r="E25" s="73"/>
      <c r="F25" s="35"/>
      <c r="G25" s="35">
        <f>SUM(G19:G24)</f>
        <v>441.33799999999997</v>
      </c>
      <c r="H25" s="35">
        <f t="shared" si="2"/>
        <v>25.867999999999938</v>
      </c>
      <c r="I25" s="36">
        <f t="shared" si="9"/>
        <v>6.2262016511420645E-2</v>
      </c>
      <c r="J25" s="36">
        <f>G25/$G$46</f>
        <v>0.16839359181230762</v>
      </c>
      <c r="K25" s="111">
        <f t="shared" si="4"/>
        <v>0.1772316719447109</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G26/$G$46</f>
        <v>3.0142642947519367E-4</v>
      </c>
      <c r="K26" s="108">
        <f t="shared" si="4"/>
        <v>3.1724669263993041E-4</v>
      </c>
    </row>
    <row r="27" spans="1:11" s="1" customFormat="1" x14ac:dyDescent="0.2">
      <c r="A27" s="119" t="s">
        <v>75</v>
      </c>
      <c r="B27" s="120">
        <f>B8-B4</f>
        <v>1005</v>
      </c>
      <c r="C27" s="176">
        <f>IF(B4&gt;B7,C13,C12)</f>
        <v>0.106</v>
      </c>
      <c r="D27" s="22">
        <f>B27*C27</f>
        <v>106.53</v>
      </c>
      <c r="E27" s="73">
        <f>B27</f>
        <v>1005</v>
      </c>
      <c r="F27" s="176">
        <f>C27</f>
        <v>0.106</v>
      </c>
      <c r="G27" s="22">
        <f>E27*F27</f>
        <v>106.53</v>
      </c>
      <c r="H27" s="22">
        <f t="shared" si="2"/>
        <v>0</v>
      </c>
      <c r="I27" s="23">
        <f t="shared" si="9"/>
        <v>0</v>
      </c>
      <c r="J27" s="23">
        <f t="shared" ref="J27:J46" si="11">G27/$G$46</f>
        <v>4.0646781686066308E-2</v>
      </c>
      <c r="K27" s="108">
        <f t="shared" ref="K27:K41" si="12">G27/$G$51</f>
        <v>4.2780114135356692E-2</v>
      </c>
    </row>
    <row r="28" spans="1:11" s="1" customFormat="1" x14ac:dyDescent="0.2">
      <c r="A28" s="119" t="s">
        <v>74</v>
      </c>
      <c r="B28" s="120">
        <f>B8-B4</f>
        <v>1005</v>
      </c>
      <c r="C28" s="176">
        <f>0.65*C15+0.17*C16+0.18*C17</f>
        <v>9.7519999999999996E-2</v>
      </c>
      <c r="D28" s="22">
        <f>B28*C28</f>
        <v>98.007599999999996</v>
      </c>
      <c r="E28" s="73">
        <f>B28</f>
        <v>1005</v>
      </c>
      <c r="F28" s="176">
        <f>C28</f>
        <v>9.7519999999999996E-2</v>
      </c>
      <c r="G28" s="22">
        <f>E28*F28</f>
        <v>98.007599999999996</v>
      </c>
      <c r="H28" s="22">
        <f t="shared" si="2"/>
        <v>0</v>
      </c>
      <c r="I28" s="23">
        <f t="shared" si="9"/>
        <v>0</v>
      </c>
      <c r="J28" s="23">
        <f t="shared" si="11"/>
        <v>3.7395039151181003E-2</v>
      </c>
      <c r="K28" s="108">
        <f t="shared" si="12"/>
        <v>3.9357705004528155E-2</v>
      </c>
    </row>
    <row r="29" spans="1:11" s="1" customFormat="1" x14ac:dyDescent="0.2">
      <c r="A29" s="110" t="s">
        <v>78</v>
      </c>
      <c r="B29" s="74"/>
      <c r="C29" s="35"/>
      <c r="D29" s="35">
        <f>SUM(D25,D26:D27)</f>
        <v>522.79000000000008</v>
      </c>
      <c r="E29" s="73"/>
      <c r="F29" s="35"/>
      <c r="G29" s="35">
        <f>SUM(G25,G26:G27)</f>
        <v>548.65800000000002</v>
      </c>
      <c r="H29" s="35">
        <f t="shared" si="2"/>
        <v>25.867999999999938</v>
      </c>
      <c r="I29" s="36">
        <f t="shared" si="9"/>
        <v>4.9480671015130234E-2</v>
      </c>
      <c r="J29" s="36">
        <f t="shared" si="11"/>
        <v>0.20934179992784913</v>
      </c>
      <c r="K29" s="111">
        <f t="shared" si="12"/>
        <v>0.22032903277270754</v>
      </c>
    </row>
    <row r="30" spans="1:11" s="1" customFormat="1" x14ac:dyDescent="0.2">
      <c r="A30" s="110" t="s">
        <v>77</v>
      </c>
      <c r="B30" s="74"/>
      <c r="C30" s="35"/>
      <c r="D30" s="35">
        <f>SUM(D25,D26,D28)</f>
        <v>514.26760000000002</v>
      </c>
      <c r="E30" s="73"/>
      <c r="F30" s="35"/>
      <c r="G30" s="35">
        <f>SUM(G25,G26,G28)</f>
        <v>540.13559999999995</v>
      </c>
      <c r="H30" s="35">
        <f t="shared" si="2"/>
        <v>25.867999999999938</v>
      </c>
      <c r="I30" s="36">
        <f t="shared" si="9"/>
        <v>5.0300660589933988E-2</v>
      </c>
      <c r="J30" s="36">
        <f t="shared" si="11"/>
        <v>0.20609005739296382</v>
      </c>
      <c r="K30" s="111">
        <f t="shared" si="12"/>
        <v>0.21690662364187899</v>
      </c>
    </row>
    <row r="31" spans="1:11" x14ac:dyDescent="0.2">
      <c r="A31" s="107" t="s">
        <v>40</v>
      </c>
      <c r="B31" s="73">
        <f>B8</f>
        <v>16005</v>
      </c>
      <c r="C31" s="78">
        <f>VLOOKUP($B$3,'Data for Bill Impacts'!$A$6:$Y$18,15,0)</f>
        <v>6.4000000000000003E-3</v>
      </c>
      <c r="D31" s="22">
        <f>B31*C31</f>
        <v>102.432</v>
      </c>
      <c r="E31" s="73">
        <f t="shared" si="6"/>
        <v>16005</v>
      </c>
      <c r="F31" s="125">
        <f>VLOOKUP($B$3,'Data for Bill Impacts'!$A$6:$Y$18,24,0)</f>
        <v>6.1060000000000003E-3</v>
      </c>
      <c r="G31" s="22">
        <f>E31*F31</f>
        <v>97.726530000000011</v>
      </c>
      <c r="H31" s="22">
        <f t="shared" si="2"/>
        <v>-4.7054699999999912</v>
      </c>
      <c r="I31" s="23">
        <f t="shared" si="9"/>
        <v>-4.5937499999999916E-2</v>
      </c>
      <c r="J31" s="23">
        <f t="shared" si="11"/>
        <v>3.7287796206203039E-2</v>
      </c>
      <c r="K31" s="108">
        <f t="shared" si="12"/>
        <v>3.9244833450223976E-2</v>
      </c>
    </row>
    <row r="32" spans="1:11" x14ac:dyDescent="0.2">
      <c r="A32" s="107" t="s">
        <v>41</v>
      </c>
      <c r="B32" s="73">
        <f>B8</f>
        <v>16005</v>
      </c>
      <c r="C32" s="125">
        <f>VLOOKUP($B$3,'Data for Bill Impacts'!$A$6:$Y$18,16,0)</f>
        <v>4.0000000000000001E-3</v>
      </c>
      <c r="D32" s="22">
        <f>B32*C32</f>
        <v>64.02</v>
      </c>
      <c r="E32" s="73">
        <f t="shared" si="6"/>
        <v>16005</v>
      </c>
      <c r="F32" s="125">
        <f>VLOOKUP($B$3,'Data for Bill Impacts'!$A$6:$Y$18,25,0)</f>
        <v>4.6519999999999999E-3</v>
      </c>
      <c r="G32" s="22">
        <f>E32*F32</f>
        <v>74.455259999999996</v>
      </c>
      <c r="H32" s="22">
        <f t="shared" si="2"/>
        <v>10.43526</v>
      </c>
      <c r="I32" s="23">
        <f t="shared" si="9"/>
        <v>0.16300000000000001</v>
      </c>
      <c r="J32" s="23">
        <f t="shared" si="11"/>
        <v>2.8408586300566085E-2</v>
      </c>
      <c r="K32" s="108">
        <f t="shared" si="12"/>
        <v>2.9899601246387474E-2</v>
      </c>
    </row>
    <row r="33" spans="1:11" s="1" customFormat="1" x14ac:dyDescent="0.2">
      <c r="A33" s="110" t="s">
        <v>76</v>
      </c>
      <c r="B33" s="74"/>
      <c r="C33" s="35"/>
      <c r="D33" s="35">
        <f>SUM(D31:D32)</f>
        <v>166.452</v>
      </c>
      <c r="E33" s="73"/>
      <c r="F33" s="35"/>
      <c r="G33" s="35">
        <f>SUM(G31:G32)</f>
        <v>172.18179000000001</v>
      </c>
      <c r="H33" s="35">
        <f t="shared" si="2"/>
        <v>5.7297900000000084</v>
      </c>
      <c r="I33" s="36">
        <f t="shared" si="9"/>
        <v>3.4423076923076973E-2</v>
      </c>
      <c r="J33" s="36">
        <f t="shared" si="11"/>
        <v>6.5696382506769124E-2</v>
      </c>
      <c r="K33" s="111">
        <f t="shared" si="12"/>
        <v>6.9144434696611454E-2</v>
      </c>
    </row>
    <row r="34" spans="1:11" s="1" customFormat="1" ht="13.5" customHeight="1" x14ac:dyDescent="0.2">
      <c r="A34" s="110" t="s">
        <v>91</v>
      </c>
      <c r="B34" s="74"/>
      <c r="C34" s="35"/>
      <c r="D34" s="35">
        <f>D29+D33</f>
        <v>689.24200000000008</v>
      </c>
      <c r="E34" s="73"/>
      <c r="F34" s="35"/>
      <c r="G34" s="35">
        <f>G29+G33</f>
        <v>720.83978999999999</v>
      </c>
      <c r="H34" s="35">
        <f t="shared" si="2"/>
        <v>31.597789999999918</v>
      </c>
      <c r="I34" s="36">
        <f t="shared" si="9"/>
        <v>4.5844260796643145E-2</v>
      </c>
      <c r="J34" s="36">
        <f t="shared" si="11"/>
        <v>0.27503818243461825</v>
      </c>
      <c r="K34" s="111">
        <f t="shared" si="12"/>
        <v>0.28947346746931896</v>
      </c>
    </row>
    <row r="35" spans="1:11" s="1" customFormat="1" ht="13.5" customHeight="1" x14ac:dyDescent="0.2">
      <c r="A35" s="110" t="s">
        <v>92</v>
      </c>
      <c r="B35" s="74"/>
      <c r="C35" s="35"/>
      <c r="D35" s="35">
        <f>D30+D33</f>
        <v>680.71960000000001</v>
      </c>
      <c r="E35" s="73"/>
      <c r="F35" s="35"/>
      <c r="G35" s="35">
        <f>G30+G33</f>
        <v>712.31738999999993</v>
      </c>
      <c r="H35" s="35">
        <f t="shared" si="2"/>
        <v>31.597789999999918</v>
      </c>
      <c r="I35" s="36">
        <f t="shared" si="9"/>
        <v>4.641821683994396E-2</v>
      </c>
      <c r="J35" s="36">
        <f t="shared" si="11"/>
        <v>0.27178643989973295</v>
      </c>
      <c r="K35" s="111">
        <f t="shared" si="12"/>
        <v>0.28605105833849043</v>
      </c>
    </row>
    <row r="36" spans="1:11" x14ac:dyDescent="0.2">
      <c r="A36" s="107" t="s">
        <v>42</v>
      </c>
      <c r="B36" s="73">
        <f>B8</f>
        <v>16005</v>
      </c>
      <c r="C36" s="34">
        <v>3.5999999999999999E-3</v>
      </c>
      <c r="D36" s="22">
        <f>B36*C36</f>
        <v>57.617999999999995</v>
      </c>
      <c r="E36" s="73">
        <f t="shared" si="6"/>
        <v>16005</v>
      </c>
      <c r="F36" s="34">
        <v>3.5999999999999999E-3</v>
      </c>
      <c r="G36" s="22">
        <f>E36*F36</f>
        <v>57.617999999999995</v>
      </c>
      <c r="H36" s="22">
        <f t="shared" si="2"/>
        <v>0</v>
      </c>
      <c r="I36" s="23">
        <f t="shared" si="9"/>
        <v>0</v>
      </c>
      <c r="J36" s="23">
        <f t="shared" si="11"/>
        <v>2.1984288624685707E-2</v>
      </c>
      <c r="K36" s="108">
        <f t="shared" si="12"/>
        <v>2.3138126501933556E-2</v>
      </c>
    </row>
    <row r="37" spans="1:11" x14ac:dyDescent="0.2">
      <c r="A37" s="107" t="s">
        <v>43</v>
      </c>
      <c r="B37" s="73">
        <f>B8</f>
        <v>16005</v>
      </c>
      <c r="C37" s="34">
        <v>2.0999999999999999E-3</v>
      </c>
      <c r="D37" s="22">
        <f>B37*C37</f>
        <v>33.610499999999995</v>
      </c>
      <c r="E37" s="73">
        <f t="shared" si="6"/>
        <v>16005</v>
      </c>
      <c r="F37" s="34">
        <v>2.0999999999999999E-3</v>
      </c>
      <c r="G37" s="22">
        <f>E37*F37</f>
        <v>33.610499999999995</v>
      </c>
      <c r="H37" s="22">
        <f>G37-D37</f>
        <v>0</v>
      </c>
      <c r="I37" s="23">
        <f t="shared" si="9"/>
        <v>0</v>
      </c>
      <c r="J37" s="23">
        <f t="shared" si="11"/>
        <v>1.2824168364399995E-2</v>
      </c>
      <c r="K37" s="108">
        <f t="shared" si="12"/>
        <v>1.3497240459461241E-2</v>
      </c>
    </row>
    <row r="38" spans="1:11" x14ac:dyDescent="0.2">
      <c r="A38" s="107" t="s">
        <v>96</v>
      </c>
      <c r="B38" s="73">
        <f>B8</f>
        <v>16005</v>
      </c>
      <c r="C38" s="34">
        <v>0</v>
      </c>
      <c r="D38" s="22">
        <f>B38*C38</f>
        <v>0</v>
      </c>
      <c r="E38" s="73">
        <f t="shared" si="6"/>
        <v>16005</v>
      </c>
      <c r="F38" s="34">
        <v>0</v>
      </c>
      <c r="G38" s="22">
        <f>E38*F38</f>
        <v>0</v>
      </c>
      <c r="H38" s="22">
        <f>G38-D38</f>
        <v>0</v>
      </c>
      <c r="I38" s="23" t="str">
        <f t="shared" si="9"/>
        <v>N/A</v>
      </c>
      <c r="J38" s="23">
        <f t="shared" ref="J38" si="13">G38/$G$46</f>
        <v>0</v>
      </c>
      <c r="K38" s="108">
        <f t="shared" ref="K38" si="14">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1"/>
        <v>9.5388110593415721E-5</v>
      </c>
      <c r="K39" s="108">
        <f t="shared" si="12"/>
        <v>1.0039452298731975E-4</v>
      </c>
    </row>
    <row r="40" spans="1:11" s="1" customFormat="1" x14ac:dyDescent="0.2">
      <c r="A40" s="110" t="s">
        <v>45</v>
      </c>
      <c r="B40" s="74"/>
      <c r="C40" s="35"/>
      <c r="D40" s="35">
        <f>SUM(D36:D39)</f>
        <v>91.478499999999997</v>
      </c>
      <c r="E40" s="73"/>
      <c r="F40" s="35"/>
      <c r="G40" s="35">
        <f>SUM(G36:G39)</f>
        <v>91.478499999999997</v>
      </c>
      <c r="H40" s="35">
        <f t="shared" si="2"/>
        <v>0</v>
      </c>
      <c r="I40" s="36">
        <f t="shared" si="9"/>
        <v>0</v>
      </c>
      <c r="J40" s="36">
        <f t="shared" si="11"/>
        <v>3.4903845099679122E-2</v>
      </c>
      <c r="K40" s="111">
        <f t="shared" si="12"/>
        <v>3.6735761484382116E-2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2"/>
        <v>0</v>
      </c>
      <c r="I41" s="117">
        <f t="shared" si="9"/>
        <v>0</v>
      </c>
      <c r="J41" s="117">
        <f t="shared" si="11"/>
        <v>4.0063006449234606E-2</v>
      </c>
      <c r="K41" s="118">
        <f t="shared" si="12"/>
        <v>4.2165699654674295E-2</v>
      </c>
    </row>
    <row r="42" spans="1:11" s="1" customFormat="1" x14ac:dyDescent="0.2">
      <c r="A42" s="37" t="s">
        <v>105</v>
      </c>
      <c r="B42" s="38"/>
      <c r="C42" s="39"/>
      <c r="D42" s="39">
        <f>SUM(D14,D25,D26,D27,D33,D40,D41)</f>
        <v>2464.4705000000004</v>
      </c>
      <c r="E42" s="38"/>
      <c r="F42" s="39"/>
      <c r="G42" s="39">
        <f>SUM(G14,G25,G26,G27,G33,G40,G41)</f>
        <v>2496.0682900000002</v>
      </c>
      <c r="H42" s="39">
        <f t="shared" si="2"/>
        <v>31.597789999999804</v>
      </c>
      <c r="I42" s="40">
        <f t="shared" si="9"/>
        <v>1.2821330180255677E-2</v>
      </c>
      <c r="J42" s="40">
        <f t="shared" si="11"/>
        <v>0.95238095238095233</v>
      </c>
      <c r="K42" s="41"/>
    </row>
    <row r="43" spans="1:11" x14ac:dyDescent="0.2">
      <c r="A43" s="153" t="s">
        <v>106</v>
      </c>
      <c r="B43" s="43"/>
      <c r="C43" s="26">
        <v>0.13</v>
      </c>
      <c r="D43" s="26">
        <f>D42*C43</f>
        <v>320.38116500000007</v>
      </c>
      <c r="E43" s="26"/>
      <c r="F43" s="26">
        <f>C43</f>
        <v>0.13</v>
      </c>
      <c r="G43" s="26">
        <f>G42*F43</f>
        <v>324.48887770000005</v>
      </c>
      <c r="H43" s="26">
        <f t="shared" si="2"/>
        <v>4.1077126999999791</v>
      </c>
      <c r="I43" s="44">
        <f t="shared" si="9"/>
        <v>1.2821330180255691E-2</v>
      </c>
      <c r="J43" s="44">
        <f t="shared" si="11"/>
        <v>0.12380952380952381</v>
      </c>
      <c r="K43" s="45"/>
    </row>
    <row r="44" spans="1:11" s="1" customFormat="1" x14ac:dyDescent="0.2">
      <c r="A44" s="46" t="s">
        <v>107</v>
      </c>
      <c r="B44" s="24"/>
      <c r="C44" s="25"/>
      <c r="D44" s="25">
        <f>SUM(D42:D43)</f>
        <v>2784.8516650000006</v>
      </c>
      <c r="E44" s="25"/>
      <c r="F44" s="25"/>
      <c r="G44" s="25">
        <f>SUM(G42:G43)</f>
        <v>2820.5571677000003</v>
      </c>
      <c r="H44" s="25">
        <f t="shared" si="2"/>
        <v>35.70550269999967</v>
      </c>
      <c r="I44" s="27">
        <f t="shared" si="9"/>
        <v>1.2821330180255637E-2</v>
      </c>
      <c r="J44" s="27">
        <f t="shared" si="11"/>
        <v>1.0761904761904761</v>
      </c>
      <c r="K44" s="47"/>
    </row>
    <row r="45" spans="1:11" x14ac:dyDescent="0.2">
      <c r="A45" s="42" t="s">
        <v>108</v>
      </c>
      <c r="B45" s="43"/>
      <c r="C45" s="26">
        <v>-0.08</v>
      </c>
      <c r="D45" s="26">
        <f>D42*C45</f>
        <v>-197.15764000000004</v>
      </c>
      <c r="E45" s="26"/>
      <c r="F45" s="26">
        <f>C45</f>
        <v>-0.08</v>
      </c>
      <c r="G45" s="26">
        <f>G42*F45</f>
        <v>-199.68546320000002</v>
      </c>
      <c r="H45" s="26">
        <f t="shared" si="2"/>
        <v>-2.5278231999999718</v>
      </c>
      <c r="I45" s="44">
        <f t="shared" si="9"/>
        <v>-1.2821330180255613E-2</v>
      </c>
      <c r="J45" s="44">
        <f t="shared" si="11"/>
        <v>-7.6190476190476183E-2</v>
      </c>
      <c r="K45" s="45"/>
    </row>
    <row r="46" spans="1:11" s="1" customFormat="1" ht="13.5" thickBot="1" x14ac:dyDescent="0.25">
      <c r="A46" s="48" t="s">
        <v>109</v>
      </c>
      <c r="B46" s="49"/>
      <c r="C46" s="50"/>
      <c r="D46" s="50">
        <f>SUM(D44:D45)</f>
        <v>2587.6940250000007</v>
      </c>
      <c r="E46" s="50"/>
      <c r="F46" s="50"/>
      <c r="G46" s="50">
        <f>SUM(G44:G45)</f>
        <v>2620.8717045000003</v>
      </c>
      <c r="H46" s="50">
        <f t="shared" si="2"/>
        <v>33.177679499999613</v>
      </c>
      <c r="I46" s="51">
        <f t="shared" si="9"/>
        <v>1.2821330180255606E-2</v>
      </c>
      <c r="J46" s="51">
        <f t="shared" si="11"/>
        <v>1</v>
      </c>
      <c r="K46" s="52"/>
    </row>
    <row r="47" spans="1:11" x14ac:dyDescent="0.2">
      <c r="A47" s="53" t="s">
        <v>110</v>
      </c>
      <c r="B47" s="54"/>
      <c r="C47" s="55"/>
      <c r="D47" s="55">
        <f>SUM(D18,D25,D26,D28,D33,D40,D41)</f>
        <v>2339.9981000000002</v>
      </c>
      <c r="E47" s="55"/>
      <c r="F47" s="55"/>
      <c r="G47" s="55">
        <f>SUM(G18,G25,G26,G28,G33,G40,G41)</f>
        <v>2371.5958900000001</v>
      </c>
      <c r="H47" s="55">
        <f>G47-D47</f>
        <v>31.597789999999804</v>
      </c>
      <c r="I47" s="56">
        <f t="shared" si="9"/>
        <v>1.3503340024079422E-2</v>
      </c>
      <c r="J47" s="56"/>
      <c r="K47" s="57">
        <f>G47/$G$51</f>
        <v>0.95238095238095222</v>
      </c>
    </row>
    <row r="48" spans="1:11" x14ac:dyDescent="0.2">
      <c r="A48" s="58" t="s">
        <v>106</v>
      </c>
      <c r="B48" s="59"/>
      <c r="C48" s="31">
        <v>0.13</v>
      </c>
      <c r="D48" s="31">
        <f>D47*C48</f>
        <v>304.19975300000004</v>
      </c>
      <c r="E48" s="31"/>
      <c r="F48" s="31">
        <f>C48</f>
        <v>0.13</v>
      </c>
      <c r="G48" s="31">
        <f>G47*F48</f>
        <v>308.30746570000002</v>
      </c>
      <c r="H48" s="31">
        <f>G48-D48</f>
        <v>4.1077126999999791</v>
      </c>
      <c r="I48" s="32">
        <f t="shared" si="9"/>
        <v>1.3503340024079435E-2</v>
      </c>
      <c r="J48" s="32"/>
      <c r="K48" s="60">
        <f>G48/$G$51</f>
        <v>0.1238095238095238</v>
      </c>
    </row>
    <row r="49" spans="1:11" x14ac:dyDescent="0.2">
      <c r="A49" s="149" t="s">
        <v>111</v>
      </c>
      <c r="B49" s="29"/>
      <c r="C49" s="30"/>
      <c r="D49" s="30">
        <f>SUM(D47:D48)</f>
        <v>2644.1978530000001</v>
      </c>
      <c r="E49" s="30"/>
      <c r="F49" s="30"/>
      <c r="G49" s="30">
        <f>SUM(G47:G48)</f>
        <v>2679.9033557000002</v>
      </c>
      <c r="H49" s="30">
        <f>G49-D49</f>
        <v>35.705502700000125</v>
      </c>
      <c r="I49" s="33">
        <f t="shared" si="9"/>
        <v>1.3503340024079553E-2</v>
      </c>
      <c r="J49" s="33"/>
      <c r="K49" s="62">
        <f>G49/$G$51</f>
        <v>1.0761904761904761</v>
      </c>
    </row>
    <row r="50" spans="1:11" x14ac:dyDescent="0.2">
      <c r="A50" s="58" t="s">
        <v>108</v>
      </c>
      <c r="B50" s="59"/>
      <c r="C50" s="31">
        <v>-0.08</v>
      </c>
      <c r="D50" s="31">
        <f>D47*C50</f>
        <v>-187.19984800000003</v>
      </c>
      <c r="E50" s="31"/>
      <c r="F50" s="31">
        <f>C50</f>
        <v>-0.08</v>
      </c>
      <c r="G50" s="31">
        <f>G47*F50</f>
        <v>-189.7276712</v>
      </c>
      <c r="H50" s="31">
        <f>G50-D50</f>
        <v>-2.5278231999999718</v>
      </c>
      <c r="I50" s="32">
        <f t="shared" si="9"/>
        <v>-1.3503340024079354E-2</v>
      </c>
      <c r="J50" s="32"/>
      <c r="K50" s="60">
        <f>G50/$G$51</f>
        <v>-7.6190476190476183E-2</v>
      </c>
    </row>
    <row r="51" spans="1:11" ht="13.5" thickBot="1" x14ac:dyDescent="0.25">
      <c r="A51" s="63" t="s">
        <v>121</v>
      </c>
      <c r="B51" s="64"/>
      <c r="C51" s="65"/>
      <c r="D51" s="65">
        <f>SUM(D49:D50)</f>
        <v>2456.9980049999999</v>
      </c>
      <c r="E51" s="65"/>
      <c r="F51" s="65"/>
      <c r="G51" s="65">
        <f>SUM(G49:G50)</f>
        <v>2490.1756845000004</v>
      </c>
      <c r="H51" s="65">
        <f>G51-D51</f>
        <v>33.177679500000522</v>
      </c>
      <c r="I51" s="66">
        <f t="shared" si="9"/>
        <v>1.350334002407972E-2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4"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98</v>
      </c>
      <c r="B1" s="191"/>
      <c r="C1" s="191"/>
      <c r="D1" s="191"/>
      <c r="E1" s="191"/>
      <c r="F1" s="191"/>
      <c r="G1" s="191"/>
      <c r="H1" s="191"/>
      <c r="I1" s="191"/>
      <c r="J1" s="191"/>
      <c r="K1" s="192"/>
    </row>
    <row r="3" spans="1:11" x14ac:dyDescent="0.2">
      <c r="A3" s="13" t="s">
        <v>13</v>
      </c>
      <c r="B3" s="13" t="s">
        <v>4</v>
      </c>
    </row>
    <row r="4" spans="1:11" x14ac:dyDescent="0.2">
      <c r="A4" s="15" t="s">
        <v>62</v>
      </c>
      <c r="B4" s="15">
        <v>1000</v>
      </c>
    </row>
    <row r="5" spans="1:11" x14ac:dyDescent="0.2">
      <c r="A5" s="15" t="s">
        <v>16</v>
      </c>
      <c r="B5" s="15">
        <f>VLOOKUP($B$3,'Data for Bill Impacts'!$A$6:$Y$18,5,0)</f>
        <v>0</v>
      </c>
    </row>
    <row r="6" spans="1:11" x14ac:dyDescent="0.2">
      <c r="A6" s="15" t="s">
        <v>20</v>
      </c>
      <c r="B6" s="15">
        <f>VLOOKUP($B$3,'Data for Bill Impacts'!$A$6:$Y$18,2,0)</f>
        <v>1.0960000000000001</v>
      </c>
    </row>
    <row r="7" spans="1:11" x14ac:dyDescent="0.2">
      <c r="A7" s="15" t="s">
        <v>15</v>
      </c>
      <c r="B7" s="15">
        <f>VLOOKUP($B$3,'Data for Bill Impacts'!$A$6:$Y$18,4,0)</f>
        <v>750</v>
      </c>
    </row>
    <row r="8" spans="1:11" x14ac:dyDescent="0.2">
      <c r="A8" s="15" t="s">
        <v>82</v>
      </c>
      <c r="B8" s="15">
        <f>B4*B6</f>
        <v>1096</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0.29702305399725593</v>
      </c>
      <c r="K12" s="106"/>
    </row>
    <row r="13" spans="1:11" x14ac:dyDescent="0.2">
      <c r="A13" s="107" t="s">
        <v>32</v>
      </c>
      <c r="B13" s="73">
        <f>IF(B4&gt;B7,(B4)-B7,0)</f>
        <v>250</v>
      </c>
      <c r="C13" s="21">
        <v>0.106</v>
      </c>
      <c r="D13" s="22">
        <f>B13*C13</f>
        <v>26.5</v>
      </c>
      <c r="E13" s="73">
        <f t="shared" ref="E13" si="1">B13</f>
        <v>250</v>
      </c>
      <c r="F13" s="21">
        <f>C13</f>
        <v>0.106</v>
      </c>
      <c r="G13" s="22">
        <f>E13*F13</f>
        <v>26.5</v>
      </c>
      <c r="H13" s="22">
        <f t="shared" ref="H13:H46" si="2">G13-D13</f>
        <v>0</v>
      </c>
      <c r="I13" s="23">
        <f t="shared" si="0"/>
        <v>0</v>
      </c>
      <c r="J13" s="23">
        <f>G13/$G$46</f>
        <v>0.11532763268757922</v>
      </c>
      <c r="K13" s="108"/>
    </row>
    <row r="14" spans="1:11" s="1" customFormat="1" x14ac:dyDescent="0.2">
      <c r="A14" s="46" t="s">
        <v>33</v>
      </c>
      <c r="B14" s="24"/>
      <c r="C14" s="25"/>
      <c r="D14" s="25">
        <f>SUM(D12:D13)</f>
        <v>94.75</v>
      </c>
      <c r="E14" s="76"/>
      <c r="F14" s="25"/>
      <c r="G14" s="25">
        <f>SUM(G12:G13)</f>
        <v>94.75</v>
      </c>
      <c r="H14" s="25">
        <f t="shared" si="2"/>
        <v>0</v>
      </c>
      <c r="I14" s="27">
        <f t="shared" si="0"/>
        <v>0</v>
      </c>
      <c r="J14" s="27">
        <f>G14/$G$46</f>
        <v>0.4123506866848351</v>
      </c>
      <c r="K14" s="108"/>
    </row>
    <row r="15" spans="1:11" s="1" customFormat="1" x14ac:dyDescent="0.2">
      <c r="A15" s="109" t="s">
        <v>34</v>
      </c>
      <c r="B15" s="75">
        <f>B4*0.65</f>
        <v>650</v>
      </c>
      <c r="C15" s="28">
        <v>7.6999999999999999E-2</v>
      </c>
      <c r="D15" s="22">
        <f>B15*C15</f>
        <v>50.05</v>
      </c>
      <c r="E15" s="73">
        <f t="shared" ref="E15:E17" si="3">B15</f>
        <v>650</v>
      </c>
      <c r="F15" s="28">
        <f>C15</f>
        <v>7.6999999999999999E-2</v>
      </c>
      <c r="G15" s="22">
        <f>E15*F15</f>
        <v>50.05</v>
      </c>
      <c r="H15" s="22">
        <f t="shared" si="2"/>
        <v>0</v>
      </c>
      <c r="I15" s="23">
        <f t="shared" si="0"/>
        <v>0</v>
      </c>
      <c r="J15" s="23"/>
      <c r="K15" s="108">
        <f t="shared" ref="K15:K26" si="4">G15/$G$51</f>
        <v>0.21588736039832554</v>
      </c>
    </row>
    <row r="16" spans="1:11" s="1" customFormat="1" x14ac:dyDescent="0.2">
      <c r="A16" s="109" t="s">
        <v>35</v>
      </c>
      <c r="B16" s="75">
        <f>B4*0.17</f>
        <v>170</v>
      </c>
      <c r="C16" s="28">
        <v>0.113</v>
      </c>
      <c r="D16" s="22">
        <f>B16*C16</f>
        <v>19.21</v>
      </c>
      <c r="E16" s="73">
        <f t="shared" si="3"/>
        <v>170</v>
      </c>
      <c r="F16" s="28">
        <f t="shared" ref="F16:F17" si="5">C16</f>
        <v>0.113</v>
      </c>
      <c r="G16" s="22">
        <f>E16*F16</f>
        <v>19.21</v>
      </c>
      <c r="H16" s="22">
        <f t="shared" si="2"/>
        <v>0</v>
      </c>
      <c r="I16" s="23">
        <f t="shared" si="0"/>
        <v>0</v>
      </c>
      <c r="J16" s="23"/>
      <c r="K16" s="108">
        <f t="shared" si="4"/>
        <v>8.2861062802234445E-2</v>
      </c>
    </row>
    <row r="17" spans="1:11" s="1" customFormat="1" x14ac:dyDescent="0.2">
      <c r="A17" s="109" t="s">
        <v>36</v>
      </c>
      <c r="B17" s="75">
        <f>B4*0.18</f>
        <v>180</v>
      </c>
      <c r="C17" s="28">
        <v>0.157</v>
      </c>
      <c r="D17" s="22">
        <f>B17*C17</f>
        <v>28.26</v>
      </c>
      <c r="E17" s="73">
        <f t="shared" si="3"/>
        <v>180</v>
      </c>
      <c r="F17" s="28">
        <f t="shared" si="5"/>
        <v>0.157</v>
      </c>
      <c r="G17" s="22">
        <f>E17*F17</f>
        <v>28.26</v>
      </c>
      <c r="H17" s="22">
        <f t="shared" si="2"/>
        <v>0</v>
      </c>
      <c r="I17" s="23">
        <f t="shared" si="0"/>
        <v>0</v>
      </c>
      <c r="J17" s="23"/>
      <c r="K17" s="108">
        <f t="shared" si="4"/>
        <v>0.12189763845867493</v>
      </c>
    </row>
    <row r="18" spans="1:11" s="1" customFormat="1" x14ac:dyDescent="0.2">
      <c r="A18" s="61" t="s">
        <v>37</v>
      </c>
      <c r="B18" s="29"/>
      <c r="C18" s="30"/>
      <c r="D18" s="30">
        <f>SUM(D15:D17)</f>
        <v>97.52</v>
      </c>
      <c r="E18" s="77"/>
      <c r="F18" s="30"/>
      <c r="G18" s="30">
        <f>SUM(G15:G17)</f>
        <v>97.52</v>
      </c>
      <c r="H18" s="31">
        <f t="shared" si="2"/>
        <v>0</v>
      </c>
      <c r="I18" s="32">
        <f t="shared" si="0"/>
        <v>0</v>
      </c>
      <c r="J18" s="33">
        <f t="shared" ref="J18:J23" si="6">G18/$G$46</f>
        <v>0.42440568829029152</v>
      </c>
      <c r="K18" s="62">
        <f t="shared" si="4"/>
        <v>0.4206460616592349</v>
      </c>
    </row>
    <row r="19" spans="1:11" x14ac:dyDescent="0.2">
      <c r="A19" s="107" t="s">
        <v>38</v>
      </c>
      <c r="B19" s="73">
        <v>1</v>
      </c>
      <c r="C19" s="78">
        <f>VLOOKUP($B$3,'Data for Bill Impacts'!$A$6:$Y$18,7,0)</f>
        <v>27.87</v>
      </c>
      <c r="D19" s="22">
        <f>B19*C19</f>
        <v>27.87</v>
      </c>
      <c r="E19" s="73">
        <f t="shared" ref="E19:E41" si="7">B19</f>
        <v>1</v>
      </c>
      <c r="F19" s="78">
        <f>VLOOKUP($B$3,'Data for Bill Impacts'!$A$6:$Y$18,17,0)</f>
        <v>29.56</v>
      </c>
      <c r="G19" s="22">
        <f>E19*F19</f>
        <v>29.56</v>
      </c>
      <c r="H19" s="22">
        <f t="shared" si="2"/>
        <v>1.6899999999999977</v>
      </c>
      <c r="I19" s="23">
        <f>IF(ISERROR(H19/ABS(D19)),"N/A",(H19/ABS(D19)))</f>
        <v>6.063867958378176E-2</v>
      </c>
      <c r="J19" s="23">
        <f t="shared" si="6"/>
        <v>0.12864471027339025</v>
      </c>
      <c r="K19" s="108">
        <f t="shared" si="4"/>
        <v>0.12750510236512494</v>
      </c>
    </row>
    <row r="20" spans="1:11" hidden="1" x14ac:dyDescent="0.2">
      <c r="A20" s="107" t="s">
        <v>114</v>
      </c>
      <c r="B20" s="73">
        <v>1</v>
      </c>
      <c r="C20" s="78">
        <v>0</v>
      </c>
      <c r="D20" s="22">
        <f t="shared" ref="D20:D21" si="8">B20*C20</f>
        <v>0</v>
      </c>
      <c r="E20" s="73">
        <f t="shared" si="7"/>
        <v>1</v>
      </c>
      <c r="F20" s="121">
        <v>0</v>
      </c>
      <c r="G20" s="22">
        <f t="shared" ref="G20:G21" si="9">E20*F20</f>
        <v>0</v>
      </c>
      <c r="H20" s="22">
        <f t="shared" si="2"/>
        <v>0</v>
      </c>
      <c r="I20" s="23" t="str">
        <f t="shared" ref="I20:I51" si="10">IF(ISERROR(H20/ABS(D20)),"N/A",(H20/ABS(D20)))</f>
        <v>N/A</v>
      </c>
      <c r="J20" s="23">
        <f t="shared" si="6"/>
        <v>0</v>
      </c>
      <c r="K20" s="108">
        <f t="shared" si="4"/>
        <v>0</v>
      </c>
    </row>
    <row r="21" spans="1:11" x14ac:dyDescent="0.2">
      <c r="A21" s="107" t="s">
        <v>85</v>
      </c>
      <c r="B21" s="73">
        <v>1</v>
      </c>
      <c r="C21" s="78">
        <f>VLOOKUP($B$3,'Data for Bill Impacts'!$A$6:$Y$18,13,0)</f>
        <v>0.73</v>
      </c>
      <c r="D21" s="22">
        <f t="shared" si="8"/>
        <v>0.73</v>
      </c>
      <c r="E21" s="73">
        <f t="shared" si="7"/>
        <v>1</v>
      </c>
      <c r="F21" s="121">
        <f>VLOOKUP($B$3,'Data for Bill Impacts'!$A$6:$Y$18,22,0)</f>
        <v>2E-3</v>
      </c>
      <c r="G21" s="22">
        <f t="shared" si="9"/>
        <v>2E-3</v>
      </c>
      <c r="H21" s="22">
        <f t="shared" si="2"/>
        <v>-0.72799999999999998</v>
      </c>
      <c r="I21" s="23">
        <f t="shared" si="10"/>
        <v>-0.99726027397260275</v>
      </c>
      <c r="J21" s="23">
        <f t="shared" si="6"/>
        <v>8.7039722783078656E-6</v>
      </c>
      <c r="K21" s="108">
        <f t="shared" si="4"/>
        <v>8.6268675483846376E-6</v>
      </c>
    </row>
    <row r="22" spans="1:11" hidden="1" x14ac:dyDescent="0.2">
      <c r="A22" s="107" t="s">
        <v>123</v>
      </c>
      <c r="B22" s="73">
        <f>B4</f>
        <v>1000</v>
      </c>
      <c r="C22" s="78">
        <v>0</v>
      </c>
      <c r="D22" s="22">
        <f>B22*C22</f>
        <v>0</v>
      </c>
      <c r="E22" s="73">
        <f>B22</f>
        <v>1000</v>
      </c>
      <c r="F22" s="78">
        <f>C22</f>
        <v>0</v>
      </c>
      <c r="G22" s="22">
        <f>E22*F22</f>
        <v>0</v>
      </c>
      <c r="H22" s="22">
        <f>G22-D22</f>
        <v>0</v>
      </c>
      <c r="I22" s="23" t="str">
        <f t="shared" si="10"/>
        <v>N/A</v>
      </c>
      <c r="J22" s="23">
        <f t="shared" si="6"/>
        <v>0</v>
      </c>
      <c r="K22" s="108">
        <f t="shared" si="4"/>
        <v>0</v>
      </c>
    </row>
    <row r="23" spans="1:11" x14ac:dyDescent="0.2">
      <c r="A23" s="107" t="s">
        <v>39</v>
      </c>
      <c r="B23" s="73">
        <f>IF($B$9="kWh",$B$4,$B$5)</f>
        <v>1000</v>
      </c>
      <c r="C23" s="125">
        <f>VLOOKUP($B$3,'Data for Bill Impacts'!$A$6:$Y$18,10,0)</f>
        <v>5.6000000000000001E-2</v>
      </c>
      <c r="D23" s="22">
        <f>B23*C23</f>
        <v>56</v>
      </c>
      <c r="E23" s="73">
        <f t="shared" si="7"/>
        <v>1000</v>
      </c>
      <c r="F23" s="125">
        <f>VLOOKUP($B$3,'Data for Bill Impacts'!$A$6:$Y$18,19,0)</f>
        <v>5.8900000000000001E-2</v>
      </c>
      <c r="G23" s="22">
        <f>E23*F23</f>
        <v>58.9</v>
      </c>
      <c r="H23" s="22">
        <f t="shared" si="2"/>
        <v>2.8999999999999986</v>
      </c>
      <c r="I23" s="23">
        <f t="shared" si="10"/>
        <v>5.1785714285714261E-2</v>
      </c>
      <c r="J23" s="23">
        <f t="shared" si="6"/>
        <v>0.25633198359616666</v>
      </c>
      <c r="K23" s="108">
        <f t="shared" si="4"/>
        <v>0.25406124929992757</v>
      </c>
    </row>
    <row r="24" spans="1:11" x14ac:dyDescent="0.2">
      <c r="A24" s="107" t="s">
        <v>124</v>
      </c>
      <c r="B24" s="73">
        <f>IF($B$9="kWh",$B$4,$B$5)</f>
        <v>1000</v>
      </c>
      <c r="C24" s="78">
        <f>VLOOKUP($B$3,'Data for Bill Impacts'!$A$6:$Y$18,14,0)</f>
        <v>2.0000000000000001E-4</v>
      </c>
      <c r="D24" s="22">
        <f>B24*C24</f>
        <v>0.2</v>
      </c>
      <c r="E24" s="73">
        <f t="shared" si="7"/>
        <v>1000</v>
      </c>
      <c r="F24" s="125">
        <f>VLOOKUP($B$3,'Data for Bill Impacts'!$A$6:$Y$18,23,0)</f>
        <v>2.0000000000000002E-5</v>
      </c>
      <c r="G24" s="22">
        <f>E24*F24</f>
        <v>0.02</v>
      </c>
      <c r="H24" s="22">
        <f t="shared" si="2"/>
        <v>-0.18000000000000002</v>
      </c>
      <c r="I24" s="23">
        <f t="shared" si="10"/>
        <v>-0.9</v>
      </c>
      <c r="J24" s="23">
        <f t="shared" ref="J24" si="11">G24/$G$46</f>
        <v>8.7039722783078659E-5</v>
      </c>
      <c r="K24" s="108">
        <f t="shared" si="4"/>
        <v>8.6268675483846369E-5</v>
      </c>
    </row>
    <row r="25" spans="1:11" s="1" customFormat="1" x14ac:dyDescent="0.2">
      <c r="A25" s="110" t="s">
        <v>72</v>
      </c>
      <c r="B25" s="74"/>
      <c r="C25" s="35"/>
      <c r="D25" s="35">
        <f>SUM(D19:D24)</f>
        <v>84.8</v>
      </c>
      <c r="E25" s="73"/>
      <c r="F25" s="35"/>
      <c r="G25" s="35">
        <f>SUM(G19:G24)</f>
        <v>88.481999999999985</v>
      </c>
      <c r="H25" s="35">
        <f t="shared" si="2"/>
        <v>3.6819999999999879</v>
      </c>
      <c r="I25" s="36">
        <f t="shared" si="10"/>
        <v>4.3419811320754578E-2</v>
      </c>
      <c r="J25" s="36">
        <f>G25/$G$46</f>
        <v>0.38507243756461823</v>
      </c>
      <c r="K25" s="111">
        <f t="shared" si="4"/>
        <v>0.38166124720808464</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3.4380690499316068E-3</v>
      </c>
      <c r="K26" s="108">
        <f t="shared" si="4"/>
        <v>3.4076126816119318E-3</v>
      </c>
    </row>
    <row r="27" spans="1:11" s="1" customFormat="1" x14ac:dyDescent="0.2">
      <c r="A27" s="119" t="s">
        <v>75</v>
      </c>
      <c r="B27" s="120">
        <f>B8-B4</f>
        <v>96</v>
      </c>
      <c r="C27" s="176">
        <f>IF(B4&gt;B7,C13,C12)</f>
        <v>0.106</v>
      </c>
      <c r="D27" s="22">
        <f>B27*C27</f>
        <v>10.176</v>
      </c>
      <c r="E27" s="73">
        <f>B27</f>
        <v>96</v>
      </c>
      <c r="F27" s="176">
        <f>C27</f>
        <v>0.106</v>
      </c>
      <c r="G27" s="22">
        <f>E27*F27</f>
        <v>10.176</v>
      </c>
      <c r="H27" s="22">
        <f t="shared" si="2"/>
        <v>0</v>
      </c>
      <c r="I27" s="23">
        <f t="shared" si="10"/>
        <v>0</v>
      </c>
      <c r="J27" s="23">
        <f t="shared" ref="J27:J46" si="12">G27/$G$46</f>
        <v>4.4285810952030422E-2</v>
      </c>
      <c r="K27" s="108">
        <f t="shared" ref="K27:K41" si="13">G27/$G$51</f>
        <v>4.3893502086181035E-2</v>
      </c>
    </row>
    <row r="28" spans="1:11" s="1" customFormat="1" x14ac:dyDescent="0.2">
      <c r="A28" s="119" t="s">
        <v>74</v>
      </c>
      <c r="B28" s="120">
        <f>B8-B4</f>
        <v>96</v>
      </c>
      <c r="C28" s="176">
        <f>0.65*C15+0.17*C16+0.18*C17</f>
        <v>9.7519999999999996E-2</v>
      </c>
      <c r="D28" s="22">
        <f>B28*C28</f>
        <v>9.3619199999999996</v>
      </c>
      <c r="E28" s="73">
        <f>B28</f>
        <v>96</v>
      </c>
      <c r="F28" s="176">
        <f>C28</f>
        <v>9.7519999999999996E-2</v>
      </c>
      <c r="G28" s="22">
        <f>E28*F28</f>
        <v>9.3619199999999996</v>
      </c>
      <c r="H28" s="22">
        <f t="shared" si="2"/>
        <v>0</v>
      </c>
      <c r="I28" s="23">
        <f t="shared" si="10"/>
        <v>0</v>
      </c>
      <c r="J28" s="23">
        <f t="shared" si="12"/>
        <v>4.0742946075867981E-2</v>
      </c>
      <c r="K28" s="108">
        <f t="shared" si="13"/>
        <v>4.0382021919286547E-2</v>
      </c>
    </row>
    <row r="29" spans="1:11" s="1" customFormat="1" x14ac:dyDescent="0.2">
      <c r="A29" s="110" t="s">
        <v>78</v>
      </c>
      <c r="B29" s="74"/>
      <c r="C29" s="35"/>
      <c r="D29" s="35">
        <f>SUM(D25,D26:D27)</f>
        <v>95.766000000000005</v>
      </c>
      <c r="E29" s="73"/>
      <c r="F29" s="35"/>
      <c r="G29" s="35">
        <f>SUM(G25,G26:G27)</f>
        <v>99.447999999999993</v>
      </c>
      <c r="H29" s="35">
        <f t="shared" si="2"/>
        <v>3.6819999999999879</v>
      </c>
      <c r="I29" s="36">
        <f t="shared" si="10"/>
        <v>3.8447883382411167E-2</v>
      </c>
      <c r="J29" s="36">
        <f t="shared" si="12"/>
        <v>0.43279631756658027</v>
      </c>
      <c r="K29" s="111">
        <f t="shared" si="13"/>
        <v>0.42896236197587767</v>
      </c>
    </row>
    <row r="30" spans="1:11" s="1" customFormat="1" x14ac:dyDescent="0.2">
      <c r="A30" s="110" t="s">
        <v>77</v>
      </c>
      <c r="B30" s="74"/>
      <c r="C30" s="35"/>
      <c r="D30" s="35">
        <f>SUM(D25,D26,D28)</f>
        <v>94.951920000000001</v>
      </c>
      <c r="E30" s="73"/>
      <c r="F30" s="35"/>
      <c r="G30" s="35">
        <f>SUM(G25,G26,G28)</f>
        <v>98.633919999999989</v>
      </c>
      <c r="H30" s="35">
        <f t="shared" si="2"/>
        <v>3.6819999999999879</v>
      </c>
      <c r="I30" s="36">
        <f t="shared" si="10"/>
        <v>3.8777520243929643E-2</v>
      </c>
      <c r="J30" s="36">
        <f t="shared" si="12"/>
        <v>0.42925345269041781</v>
      </c>
      <c r="K30" s="111">
        <f t="shared" si="13"/>
        <v>0.42545088180898316</v>
      </c>
    </row>
    <row r="31" spans="1:11" x14ac:dyDescent="0.2">
      <c r="A31" s="107" t="s">
        <v>40</v>
      </c>
      <c r="B31" s="73">
        <f>B8</f>
        <v>1096</v>
      </c>
      <c r="C31" s="78">
        <f>VLOOKUP($B$3,'Data for Bill Impacts'!$A$6:$Y$18,15,0)</f>
        <v>5.8999999999999999E-3</v>
      </c>
      <c r="D31" s="22">
        <f>B31*C31</f>
        <v>6.4664000000000001</v>
      </c>
      <c r="E31" s="73">
        <f t="shared" si="7"/>
        <v>1096</v>
      </c>
      <c r="F31" s="125">
        <f>VLOOKUP($B$3,'Data for Bill Impacts'!$A$6:$Y$18,24,0)</f>
        <v>5.6930000000000001E-3</v>
      </c>
      <c r="G31" s="22">
        <f>E31*F31</f>
        <v>6.239528</v>
      </c>
      <c r="H31" s="22">
        <f t="shared" si="2"/>
        <v>-0.22687200000000018</v>
      </c>
      <c r="I31" s="23">
        <f t="shared" si="10"/>
        <v>-3.5084745762711894E-2</v>
      </c>
      <c r="J31" s="23">
        <f t="shared" si="12"/>
        <v>2.7154339370862861E-2</v>
      </c>
      <c r="K31" s="108">
        <f t="shared" si="13"/>
        <v>2.6913790810218649E-2</v>
      </c>
    </row>
    <row r="32" spans="1:11" x14ac:dyDescent="0.2">
      <c r="A32" s="107" t="s">
        <v>41</v>
      </c>
      <c r="B32" s="73">
        <f>B8</f>
        <v>1096</v>
      </c>
      <c r="C32" s="125">
        <f>VLOOKUP($B$3,'Data for Bill Impacts'!$A$6:$Y$18,16,0)</f>
        <v>3.8E-3</v>
      </c>
      <c r="D32" s="22">
        <f>B32*C32</f>
        <v>4.1647999999999996</v>
      </c>
      <c r="E32" s="73">
        <f t="shared" si="7"/>
        <v>1096</v>
      </c>
      <c r="F32" s="125">
        <f>VLOOKUP($B$3,'Data for Bill Impacts'!$A$6:$Y$18,25,0)</f>
        <v>4.4740000000000005E-3</v>
      </c>
      <c r="G32" s="22">
        <f>E32*F32</f>
        <v>4.9035040000000008</v>
      </c>
      <c r="H32" s="22">
        <f t="shared" si="2"/>
        <v>0.73870400000000114</v>
      </c>
      <c r="I32" s="23">
        <f t="shared" si="10"/>
        <v>0.17736842105263187</v>
      </c>
      <c r="J32" s="23">
        <f t="shared" si="12"/>
        <v>2.133998144128587E-2</v>
      </c>
      <c r="K32" s="108">
        <f t="shared" si="13"/>
        <v>2.1150939765487133E-2</v>
      </c>
    </row>
    <row r="33" spans="1:11" s="1" customFormat="1" x14ac:dyDescent="0.2">
      <c r="A33" s="110" t="s">
        <v>76</v>
      </c>
      <c r="B33" s="74"/>
      <c r="C33" s="35"/>
      <c r="D33" s="35">
        <f>SUM(D31:D32)</f>
        <v>10.6312</v>
      </c>
      <c r="E33" s="73"/>
      <c r="F33" s="35"/>
      <c r="G33" s="35">
        <f>SUM(G31:G32)</f>
        <v>11.143032000000002</v>
      </c>
      <c r="H33" s="35">
        <f t="shared" si="2"/>
        <v>0.51183200000000184</v>
      </c>
      <c r="I33" s="36">
        <f t="shared" si="10"/>
        <v>4.8144329896907388E-2</v>
      </c>
      <c r="J33" s="36">
        <f t="shared" si="12"/>
        <v>4.8494320812148731E-2</v>
      </c>
      <c r="K33" s="111">
        <f t="shared" si="13"/>
        <v>4.8064730575705789E-2</v>
      </c>
    </row>
    <row r="34" spans="1:11" s="1" customFormat="1" x14ac:dyDescent="0.2">
      <c r="A34" s="110" t="s">
        <v>91</v>
      </c>
      <c r="B34" s="74"/>
      <c r="C34" s="35"/>
      <c r="D34" s="35">
        <f>D29+D33</f>
        <v>106.3972</v>
      </c>
      <c r="E34" s="73"/>
      <c r="F34" s="35"/>
      <c r="G34" s="35">
        <f>G29+G33</f>
        <v>110.591032</v>
      </c>
      <c r="H34" s="35">
        <f t="shared" si="2"/>
        <v>4.1938320000000004</v>
      </c>
      <c r="I34" s="36">
        <f t="shared" si="10"/>
        <v>3.9416751568650307E-2</v>
      </c>
      <c r="J34" s="36">
        <f t="shared" si="12"/>
        <v>0.48129063837872904</v>
      </c>
      <c r="K34" s="111">
        <f t="shared" si="13"/>
        <v>0.47702709255158349</v>
      </c>
    </row>
    <row r="35" spans="1:11" s="1" customFormat="1" x14ac:dyDescent="0.2">
      <c r="A35" s="110" t="s">
        <v>92</v>
      </c>
      <c r="B35" s="74"/>
      <c r="C35" s="35"/>
      <c r="D35" s="35">
        <f>D30+D33</f>
        <v>105.58312000000001</v>
      </c>
      <c r="E35" s="73"/>
      <c r="F35" s="35"/>
      <c r="G35" s="35">
        <f>G30+G33</f>
        <v>109.77695199999999</v>
      </c>
      <c r="H35" s="35">
        <f t="shared" si="2"/>
        <v>4.1938319999999862</v>
      </c>
      <c r="I35" s="36">
        <f t="shared" si="10"/>
        <v>3.9720667470330352E-2</v>
      </c>
      <c r="J35" s="36">
        <f t="shared" si="12"/>
        <v>0.47774777350256659</v>
      </c>
      <c r="K35" s="111">
        <f t="shared" si="13"/>
        <v>0.47351561238468898</v>
      </c>
    </row>
    <row r="36" spans="1:11" x14ac:dyDescent="0.2">
      <c r="A36" s="107" t="s">
        <v>42</v>
      </c>
      <c r="B36" s="73">
        <f>B8</f>
        <v>1096</v>
      </c>
      <c r="C36" s="34">
        <v>3.5999999999999999E-3</v>
      </c>
      <c r="D36" s="22">
        <f>B36*C36</f>
        <v>3.9455999999999998</v>
      </c>
      <c r="E36" s="73">
        <f t="shared" si="7"/>
        <v>1096</v>
      </c>
      <c r="F36" s="34">
        <v>3.5999999999999999E-3</v>
      </c>
      <c r="G36" s="22">
        <f>E36*F36</f>
        <v>3.9455999999999998</v>
      </c>
      <c r="H36" s="22">
        <f t="shared" si="2"/>
        <v>0</v>
      </c>
      <c r="I36" s="23">
        <f t="shared" si="10"/>
        <v>0</v>
      </c>
      <c r="J36" s="23">
        <f t="shared" si="12"/>
        <v>1.7171196510645755E-2</v>
      </c>
      <c r="K36" s="108">
        <f t="shared" si="13"/>
        <v>1.7019084299453213E-2</v>
      </c>
    </row>
    <row r="37" spans="1:11" x14ac:dyDescent="0.2">
      <c r="A37" s="107" t="s">
        <v>43</v>
      </c>
      <c r="B37" s="73">
        <f>B8</f>
        <v>1096</v>
      </c>
      <c r="C37" s="34">
        <v>2.0999999999999999E-3</v>
      </c>
      <c r="D37" s="22">
        <f>B37*C37</f>
        <v>2.3015999999999996</v>
      </c>
      <c r="E37" s="73">
        <f t="shared" si="7"/>
        <v>1096</v>
      </c>
      <c r="F37" s="34">
        <v>2.0999999999999999E-3</v>
      </c>
      <c r="G37" s="22">
        <f>E37*F37</f>
        <v>2.3015999999999996</v>
      </c>
      <c r="H37" s="22">
        <f>G37-D37</f>
        <v>0</v>
      </c>
      <c r="I37" s="23">
        <f t="shared" si="10"/>
        <v>0</v>
      </c>
      <c r="J37" s="23">
        <f t="shared" si="12"/>
        <v>1.0016531297876691E-2</v>
      </c>
      <c r="K37" s="108">
        <f t="shared" si="13"/>
        <v>9.927799174681038E-3</v>
      </c>
    </row>
    <row r="38" spans="1:11" x14ac:dyDescent="0.2">
      <c r="A38" s="107" t="s">
        <v>96</v>
      </c>
      <c r="B38" s="73">
        <f>B8</f>
        <v>1096</v>
      </c>
      <c r="C38" s="34">
        <v>0</v>
      </c>
      <c r="D38" s="22">
        <f>B38*C38</f>
        <v>0</v>
      </c>
      <c r="E38" s="73">
        <f t="shared" si="7"/>
        <v>1096</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7"/>
        <v>1</v>
      </c>
      <c r="F39" s="22">
        <f>C39</f>
        <v>0.25</v>
      </c>
      <c r="G39" s="22">
        <f>E39*F39</f>
        <v>0.25</v>
      </c>
      <c r="H39" s="22">
        <f t="shared" si="2"/>
        <v>0</v>
      </c>
      <c r="I39" s="23">
        <f t="shared" si="10"/>
        <v>0</v>
      </c>
      <c r="J39" s="23">
        <f t="shared" si="12"/>
        <v>1.0879965347884832E-3</v>
      </c>
      <c r="K39" s="108">
        <f t="shared" si="13"/>
        <v>1.0783584435480795E-3</v>
      </c>
    </row>
    <row r="40" spans="1:11" s="1" customFormat="1" x14ac:dyDescent="0.2">
      <c r="A40" s="110" t="s">
        <v>45</v>
      </c>
      <c r="B40" s="74"/>
      <c r="C40" s="35"/>
      <c r="D40" s="35">
        <f>SUM(D36:D39)</f>
        <v>6.4971999999999994</v>
      </c>
      <c r="E40" s="73"/>
      <c r="F40" s="35"/>
      <c r="G40" s="35">
        <f>SUM(G36:G39)</f>
        <v>6.4971999999999994</v>
      </c>
      <c r="H40" s="35">
        <f t="shared" si="2"/>
        <v>0</v>
      </c>
      <c r="I40" s="36">
        <f t="shared" si="10"/>
        <v>0</v>
      </c>
      <c r="J40" s="36">
        <f t="shared" si="12"/>
        <v>2.827572434331093E-2</v>
      </c>
      <c r="K40" s="111">
        <f t="shared" si="13"/>
        <v>2.8025241917682329E-2</v>
      </c>
    </row>
    <row r="41" spans="1:11" s="1" customFormat="1" ht="13.5" thickBot="1" x14ac:dyDescent="0.25">
      <c r="A41" s="112" t="s">
        <v>46</v>
      </c>
      <c r="B41" s="113">
        <f>B4</f>
        <v>1000</v>
      </c>
      <c r="C41" s="114">
        <v>7.0000000000000001E-3</v>
      </c>
      <c r="D41" s="115">
        <f>B41*C41</f>
        <v>7</v>
      </c>
      <c r="E41" s="116">
        <f t="shared" si="7"/>
        <v>1000</v>
      </c>
      <c r="F41" s="114">
        <f>C41</f>
        <v>7.0000000000000001E-3</v>
      </c>
      <c r="G41" s="115">
        <f>E41*F41</f>
        <v>7</v>
      </c>
      <c r="H41" s="115">
        <f t="shared" si="2"/>
        <v>0</v>
      </c>
      <c r="I41" s="117">
        <f t="shared" si="10"/>
        <v>0</v>
      </c>
      <c r="J41" s="117">
        <f t="shared" si="12"/>
        <v>3.0463902974077528E-2</v>
      </c>
      <c r="K41" s="118">
        <f t="shared" si="13"/>
        <v>3.0194036419346228E-2</v>
      </c>
    </row>
    <row r="42" spans="1:11" s="1" customFormat="1" x14ac:dyDescent="0.2">
      <c r="A42" s="37" t="s">
        <v>105</v>
      </c>
      <c r="B42" s="38"/>
      <c r="C42" s="39"/>
      <c r="D42" s="39">
        <f>SUM(D14,D25,D26,D27,D33,D40,D41)</f>
        <v>214.64439999999999</v>
      </c>
      <c r="E42" s="38"/>
      <c r="F42" s="39"/>
      <c r="G42" s="39">
        <f>SUM(G14,G25,G26,G27,G33,G40,G41)</f>
        <v>218.83823199999995</v>
      </c>
      <c r="H42" s="39">
        <f t="shared" si="2"/>
        <v>4.1938319999999578</v>
      </c>
      <c r="I42" s="40">
        <f t="shared" si="10"/>
        <v>1.9538511137490465E-2</v>
      </c>
      <c r="J42" s="40">
        <f t="shared" si="12"/>
        <v>0.95238095238095233</v>
      </c>
      <c r="K42" s="41"/>
    </row>
    <row r="43" spans="1:11" x14ac:dyDescent="0.2">
      <c r="A43" s="153" t="s">
        <v>106</v>
      </c>
      <c r="B43" s="43"/>
      <c r="C43" s="26">
        <v>0.13</v>
      </c>
      <c r="D43" s="26">
        <f>D42*C43</f>
        <v>27.903772</v>
      </c>
      <c r="E43" s="26"/>
      <c r="F43" s="26">
        <f>C43</f>
        <v>0.13</v>
      </c>
      <c r="G43" s="26">
        <f>G42*F43</f>
        <v>28.448970159999995</v>
      </c>
      <c r="H43" s="26">
        <f t="shared" si="2"/>
        <v>0.54519815999999466</v>
      </c>
      <c r="I43" s="44">
        <f t="shared" si="10"/>
        <v>1.9538511137490468E-2</v>
      </c>
      <c r="J43" s="44">
        <f t="shared" si="12"/>
        <v>0.12380952380952381</v>
      </c>
      <c r="K43" s="45"/>
    </row>
    <row r="44" spans="1:11" s="1" customFormat="1" x14ac:dyDescent="0.2">
      <c r="A44" s="46" t="s">
        <v>107</v>
      </c>
      <c r="B44" s="24"/>
      <c r="C44" s="25"/>
      <c r="D44" s="25">
        <f>SUM(D42:D43)</f>
        <v>242.54817199999999</v>
      </c>
      <c r="E44" s="25"/>
      <c r="F44" s="25"/>
      <c r="G44" s="25">
        <f>SUM(G42:G43)</f>
        <v>247.28720215999994</v>
      </c>
      <c r="H44" s="25">
        <f t="shared" si="2"/>
        <v>4.7390301599999418</v>
      </c>
      <c r="I44" s="27">
        <f t="shared" si="10"/>
        <v>1.953851113749042E-2</v>
      </c>
      <c r="J44" s="27">
        <f t="shared" si="12"/>
        <v>1.0761904761904761</v>
      </c>
      <c r="K44" s="47"/>
    </row>
    <row r="45" spans="1:11" x14ac:dyDescent="0.2">
      <c r="A45" s="42" t="s">
        <v>108</v>
      </c>
      <c r="B45" s="43"/>
      <c r="C45" s="26">
        <v>-0.08</v>
      </c>
      <c r="D45" s="26">
        <f>D42*C45</f>
        <v>-17.171551999999998</v>
      </c>
      <c r="E45" s="26"/>
      <c r="F45" s="26">
        <f>C45</f>
        <v>-0.08</v>
      </c>
      <c r="G45" s="26">
        <f>G42*F45</f>
        <v>-17.507058559999997</v>
      </c>
      <c r="H45" s="26">
        <f t="shared" si="2"/>
        <v>-0.3355065599999989</v>
      </c>
      <c r="I45" s="44">
        <f t="shared" si="10"/>
        <v>-1.9538511137490597E-2</v>
      </c>
      <c r="J45" s="44">
        <f t="shared" si="12"/>
        <v>-7.6190476190476197E-2</v>
      </c>
      <c r="K45" s="45"/>
    </row>
    <row r="46" spans="1:11" s="1" customFormat="1" ht="13.5" thickBot="1" x14ac:dyDescent="0.25">
      <c r="A46" s="48" t="s">
        <v>109</v>
      </c>
      <c r="B46" s="49"/>
      <c r="C46" s="50"/>
      <c r="D46" s="50">
        <f>SUM(D44:D45)</f>
        <v>225.37662</v>
      </c>
      <c r="E46" s="50"/>
      <c r="F46" s="50"/>
      <c r="G46" s="50">
        <f>SUM(G44:G45)</f>
        <v>229.78014359999995</v>
      </c>
      <c r="H46" s="50">
        <f t="shared" si="2"/>
        <v>4.4035235999999429</v>
      </c>
      <c r="I46" s="51">
        <f t="shared" si="10"/>
        <v>1.9538511137490406E-2</v>
      </c>
      <c r="J46" s="51">
        <f t="shared" si="12"/>
        <v>1</v>
      </c>
      <c r="K46" s="52"/>
    </row>
    <row r="47" spans="1:11" x14ac:dyDescent="0.2">
      <c r="A47" s="53" t="s">
        <v>110</v>
      </c>
      <c r="B47" s="54"/>
      <c r="C47" s="55"/>
      <c r="D47" s="55">
        <f>SUM(D18,D25,D26,D28,D33,D40,D41)</f>
        <v>216.60031999999998</v>
      </c>
      <c r="E47" s="55"/>
      <c r="F47" s="55"/>
      <c r="G47" s="55">
        <f>SUM(G18,G25,G26,G28,G33,G40,G41)</f>
        <v>220.79415199999997</v>
      </c>
      <c r="H47" s="55">
        <f>G47-D47</f>
        <v>4.1938319999999862</v>
      </c>
      <c r="I47" s="56">
        <f t="shared" si="10"/>
        <v>1.936207665805843E-2</v>
      </c>
      <c r="J47" s="56"/>
      <c r="K47" s="57">
        <f>G47/$G$51</f>
        <v>0.95238095238095233</v>
      </c>
    </row>
    <row r="48" spans="1:11" x14ac:dyDescent="0.2">
      <c r="A48" s="154" t="s">
        <v>106</v>
      </c>
      <c r="B48" s="59"/>
      <c r="C48" s="31">
        <v>0.13</v>
      </c>
      <c r="D48" s="31">
        <f>D47*C48</f>
        <v>28.158041599999997</v>
      </c>
      <c r="E48" s="31"/>
      <c r="F48" s="31">
        <f>C48</f>
        <v>0.13</v>
      </c>
      <c r="G48" s="31">
        <f>G47*F48</f>
        <v>28.703239759999995</v>
      </c>
      <c r="H48" s="31">
        <f>G48-D48</f>
        <v>0.54519815999999821</v>
      </c>
      <c r="I48" s="32">
        <f t="shared" si="10"/>
        <v>1.936207665805843E-2</v>
      </c>
      <c r="J48" s="32"/>
      <c r="K48" s="60">
        <f>G48/$G$51</f>
        <v>0.1238095238095238</v>
      </c>
    </row>
    <row r="49" spans="1:11" x14ac:dyDescent="0.2">
      <c r="A49" s="149" t="s">
        <v>111</v>
      </c>
      <c r="B49" s="29"/>
      <c r="C49" s="30"/>
      <c r="D49" s="30">
        <f>SUM(D47:D48)</f>
        <v>244.75836159999997</v>
      </c>
      <c r="E49" s="30"/>
      <c r="F49" s="30"/>
      <c r="G49" s="30">
        <f>SUM(G47:G48)</f>
        <v>249.49739175999997</v>
      </c>
      <c r="H49" s="30">
        <f>G49-D49</f>
        <v>4.7390301599999987</v>
      </c>
      <c r="I49" s="33">
        <f t="shared" si="10"/>
        <v>1.9362076658058489E-2</v>
      </c>
      <c r="J49" s="33"/>
      <c r="K49" s="62">
        <f>G49/$G$51</f>
        <v>1.0761904761904761</v>
      </c>
    </row>
    <row r="50" spans="1:11" x14ac:dyDescent="0.2">
      <c r="A50" s="58" t="s">
        <v>108</v>
      </c>
      <c r="B50" s="59"/>
      <c r="C50" s="31">
        <v>-0.08</v>
      </c>
      <c r="D50" s="31">
        <f>D47*C50</f>
        <v>-17.3280256</v>
      </c>
      <c r="E50" s="31"/>
      <c r="F50" s="31">
        <f>C50</f>
        <v>-0.08</v>
      </c>
      <c r="G50" s="31">
        <f>G47*F50</f>
        <v>-17.663532159999999</v>
      </c>
      <c r="H50" s="31">
        <f>G50-D50</f>
        <v>-0.3355065599999989</v>
      </c>
      <c r="I50" s="32">
        <f t="shared" si="10"/>
        <v>-1.936207665805843E-2</v>
      </c>
      <c r="J50" s="32"/>
      <c r="K50" s="60">
        <f>G50/$G$51</f>
        <v>-7.6190476190476197E-2</v>
      </c>
    </row>
    <row r="51" spans="1:11" ht="13.5" thickBot="1" x14ac:dyDescent="0.25">
      <c r="A51" s="63" t="s">
        <v>121</v>
      </c>
      <c r="B51" s="64"/>
      <c r="C51" s="65"/>
      <c r="D51" s="65">
        <f>SUM(D49:D50)</f>
        <v>227.43033599999998</v>
      </c>
      <c r="E51" s="65"/>
      <c r="F51" s="65"/>
      <c r="G51" s="65">
        <f>SUM(G49:G50)</f>
        <v>231.83385959999998</v>
      </c>
      <c r="H51" s="65">
        <f>G51-D51</f>
        <v>4.4035235999999998</v>
      </c>
      <c r="I51" s="66">
        <f t="shared" si="10"/>
        <v>1.9362076658058492E-2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4"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1" tint="0.499984740745262"/>
    <pageSetUpPr fitToPage="1"/>
  </sheetPr>
  <dimension ref="A1:K68"/>
  <sheetViews>
    <sheetView tabSelected="1" view="pageLayout" topLeftCell="A13"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100</v>
      </c>
      <c r="B1" s="191"/>
      <c r="C1" s="191"/>
      <c r="D1" s="191"/>
      <c r="E1" s="191"/>
      <c r="F1" s="191"/>
      <c r="G1" s="191"/>
      <c r="H1" s="191"/>
      <c r="I1" s="191"/>
      <c r="J1" s="191"/>
      <c r="K1" s="192"/>
    </row>
    <row r="3" spans="1:11" x14ac:dyDescent="0.2">
      <c r="A3" s="13" t="s">
        <v>13</v>
      </c>
      <c r="B3" s="13" t="s">
        <v>4</v>
      </c>
    </row>
    <row r="4" spans="1:11" x14ac:dyDescent="0.2">
      <c r="A4" s="15" t="s">
        <v>62</v>
      </c>
      <c r="B4" s="15">
        <v>2000</v>
      </c>
    </row>
    <row r="5" spans="1:11" x14ac:dyDescent="0.2">
      <c r="A5" s="15" t="s">
        <v>16</v>
      </c>
      <c r="B5" s="15">
        <f>VLOOKUP($B$3,'Data for Bill Impacts'!$A$6:$Y$18,5,0)</f>
        <v>0</v>
      </c>
    </row>
    <row r="6" spans="1:11" x14ac:dyDescent="0.2">
      <c r="A6" s="15" t="s">
        <v>20</v>
      </c>
      <c r="B6" s="15">
        <f>VLOOKUP($B$3,'Data for Bill Impacts'!$A$6:$Y$18,2,0)</f>
        <v>1.0960000000000001</v>
      </c>
    </row>
    <row r="7" spans="1:11" x14ac:dyDescent="0.2">
      <c r="A7" s="15" t="s">
        <v>15</v>
      </c>
      <c r="B7" s="15">
        <f>VLOOKUP($B$3,'Data for Bill Impacts'!$A$6:$Y$18,4,0)</f>
        <v>750</v>
      </c>
    </row>
    <row r="8" spans="1:11" x14ac:dyDescent="0.2">
      <c r="A8" s="15" t="s">
        <v>82</v>
      </c>
      <c r="B8" s="15">
        <f>B4*B6</f>
        <v>2192</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0.15538178039714168</v>
      </c>
      <c r="K12" s="106"/>
    </row>
    <row r="13" spans="1:11" x14ac:dyDescent="0.2">
      <c r="A13" s="107" t="s">
        <v>32</v>
      </c>
      <c r="B13" s="73">
        <f>IF(B4&gt;B7,(B4)-B7,0)</f>
        <v>1250</v>
      </c>
      <c r="C13" s="21">
        <v>0.106</v>
      </c>
      <c r="D13" s="22">
        <f>B13*C13</f>
        <v>132.5</v>
      </c>
      <c r="E13" s="73">
        <f t="shared" ref="E13" si="1">B13</f>
        <v>1250</v>
      </c>
      <c r="F13" s="21">
        <f>C13</f>
        <v>0.106</v>
      </c>
      <c r="G13" s="22">
        <f>E13*F13</f>
        <v>132.5</v>
      </c>
      <c r="H13" s="22">
        <f t="shared" ref="H13:H46" si="2">G13-D13</f>
        <v>0</v>
      </c>
      <c r="I13" s="23">
        <f t="shared" si="0"/>
        <v>0</v>
      </c>
      <c r="J13" s="23">
        <f>G13/$G$46</f>
        <v>0.30165693630214319</v>
      </c>
      <c r="K13" s="108"/>
    </row>
    <row r="14" spans="1:11" s="1" customFormat="1" x14ac:dyDescent="0.2">
      <c r="A14" s="46" t="s">
        <v>33</v>
      </c>
      <c r="B14" s="24"/>
      <c r="C14" s="25"/>
      <c r="D14" s="25">
        <f>SUM(D12:D13)</f>
        <v>200.75</v>
      </c>
      <c r="E14" s="76"/>
      <c r="F14" s="25"/>
      <c r="G14" s="25">
        <f>SUM(G12:G13)</f>
        <v>200.75</v>
      </c>
      <c r="H14" s="25">
        <f t="shared" si="2"/>
        <v>0</v>
      </c>
      <c r="I14" s="27">
        <f t="shared" si="0"/>
        <v>0</v>
      </c>
      <c r="J14" s="27">
        <f>G14/$G$46</f>
        <v>0.45703871669928492</v>
      </c>
      <c r="K14" s="108"/>
    </row>
    <row r="15" spans="1:11" s="1" customFormat="1" x14ac:dyDescent="0.2">
      <c r="A15" s="109" t="s">
        <v>34</v>
      </c>
      <c r="B15" s="75">
        <f>B4*0.65</f>
        <v>1300</v>
      </c>
      <c r="C15" s="28">
        <v>7.6999999999999999E-2</v>
      </c>
      <c r="D15" s="22">
        <f>B15*C15</f>
        <v>100.1</v>
      </c>
      <c r="E15" s="73">
        <f t="shared" ref="E15:E17" si="3">B15</f>
        <v>1300</v>
      </c>
      <c r="F15" s="28">
        <f>C15</f>
        <v>7.6999999999999999E-2</v>
      </c>
      <c r="G15" s="22">
        <f>E15*F15</f>
        <v>100.1</v>
      </c>
      <c r="H15" s="22">
        <f t="shared" si="2"/>
        <v>0</v>
      </c>
      <c r="I15" s="23">
        <f t="shared" si="0"/>
        <v>0</v>
      </c>
      <c r="J15" s="23"/>
      <c r="K15" s="108">
        <f t="shared" ref="K15:K26" si="4">G15/$G$51</f>
        <v>0.23196231213907634</v>
      </c>
    </row>
    <row r="16" spans="1:11" s="1" customFormat="1" x14ac:dyDescent="0.2">
      <c r="A16" s="109" t="s">
        <v>35</v>
      </c>
      <c r="B16" s="75">
        <f>B4*0.17</f>
        <v>340</v>
      </c>
      <c r="C16" s="28">
        <v>0.113</v>
      </c>
      <c r="D16" s="22">
        <f>B16*C16</f>
        <v>38.42</v>
      </c>
      <c r="E16" s="73">
        <f t="shared" si="3"/>
        <v>340</v>
      </c>
      <c r="F16" s="28">
        <f t="shared" ref="F16:F17" si="5">C16</f>
        <v>0.113</v>
      </c>
      <c r="G16" s="22">
        <f>E16*F16</f>
        <v>38.42</v>
      </c>
      <c r="H16" s="22">
        <f t="shared" si="2"/>
        <v>0</v>
      </c>
      <c r="I16" s="23">
        <f t="shared" si="0"/>
        <v>0</v>
      </c>
      <c r="J16" s="23"/>
      <c r="K16" s="108">
        <f t="shared" si="4"/>
        <v>8.9030889434398741E-2</v>
      </c>
    </row>
    <row r="17" spans="1:11" s="1" customFormat="1" x14ac:dyDescent="0.2">
      <c r="A17" s="109" t="s">
        <v>36</v>
      </c>
      <c r="B17" s="75">
        <f>B4*0.18</f>
        <v>360</v>
      </c>
      <c r="C17" s="28">
        <v>0.157</v>
      </c>
      <c r="D17" s="22">
        <f>B17*C17</f>
        <v>56.52</v>
      </c>
      <c r="E17" s="73">
        <f t="shared" si="3"/>
        <v>360</v>
      </c>
      <c r="F17" s="28">
        <f t="shared" si="5"/>
        <v>0.157</v>
      </c>
      <c r="G17" s="22">
        <f>E17*F17</f>
        <v>56.52</v>
      </c>
      <c r="H17" s="22">
        <f t="shared" si="2"/>
        <v>0</v>
      </c>
      <c r="I17" s="23">
        <f t="shared" si="0"/>
        <v>0</v>
      </c>
      <c r="J17" s="23"/>
      <c r="K17" s="108">
        <f t="shared" si="4"/>
        <v>0.13097412469630965</v>
      </c>
    </row>
    <row r="18" spans="1:11" s="1" customFormat="1" x14ac:dyDescent="0.2">
      <c r="A18" s="61" t="s">
        <v>37</v>
      </c>
      <c r="B18" s="29"/>
      <c r="C18" s="30"/>
      <c r="D18" s="30">
        <f>SUM(D15:D17)</f>
        <v>195.04</v>
      </c>
      <c r="E18" s="77"/>
      <c r="F18" s="30"/>
      <c r="G18" s="30">
        <f>SUM(G15:G17)</f>
        <v>195.04</v>
      </c>
      <c r="H18" s="31">
        <f t="shared" si="2"/>
        <v>0</v>
      </c>
      <c r="I18" s="32">
        <f t="shared" si="0"/>
        <v>0</v>
      </c>
      <c r="J18" s="33">
        <f t="shared" ref="J18:J23" si="6">G18/$G$46</f>
        <v>0.44403901023675479</v>
      </c>
      <c r="K18" s="62">
        <f t="shared" si="4"/>
        <v>0.4519673262697847</v>
      </c>
    </row>
    <row r="19" spans="1:11" x14ac:dyDescent="0.2">
      <c r="A19" s="107" t="s">
        <v>38</v>
      </c>
      <c r="B19" s="73">
        <v>1</v>
      </c>
      <c r="C19" s="78">
        <f>VLOOKUP($B$3,'Data for Bill Impacts'!$A$6:$Y$18,7,0)</f>
        <v>27.87</v>
      </c>
      <c r="D19" s="22">
        <f>B19*C19</f>
        <v>27.87</v>
      </c>
      <c r="E19" s="73">
        <f t="shared" ref="E19:E41" si="7">B19</f>
        <v>1</v>
      </c>
      <c r="F19" s="78">
        <f>VLOOKUP($B$3,'Data for Bill Impacts'!$A$6:$Y$18,17,0)</f>
        <v>29.56</v>
      </c>
      <c r="G19" s="22">
        <f>E19*F19</f>
        <v>29.56</v>
      </c>
      <c r="H19" s="22">
        <f t="shared" si="2"/>
        <v>1.6899999999999977</v>
      </c>
      <c r="I19" s="23">
        <f>IF(ISERROR(H19/ABS(D19)),"N/A",(H19/ABS(D19)))</f>
        <v>6.063867958378176E-2</v>
      </c>
      <c r="J19" s="23">
        <f t="shared" si="6"/>
        <v>6.7297954996915876E-2</v>
      </c>
      <c r="K19" s="108">
        <f t="shared" si="4"/>
        <v>6.8499559908402563E-2</v>
      </c>
    </row>
    <row r="20" spans="1:11" hidden="1" x14ac:dyDescent="0.2">
      <c r="A20" s="107" t="s">
        <v>114</v>
      </c>
      <c r="B20" s="73">
        <v>1</v>
      </c>
      <c r="C20" s="78">
        <v>0</v>
      </c>
      <c r="D20" s="22">
        <f t="shared" ref="D20:D21" si="8">B20*C20</f>
        <v>0</v>
      </c>
      <c r="E20" s="73">
        <f t="shared" si="7"/>
        <v>1</v>
      </c>
      <c r="F20" s="121">
        <v>0</v>
      </c>
      <c r="G20" s="22">
        <f t="shared" ref="G20:G21" si="9">E20*F20</f>
        <v>0</v>
      </c>
      <c r="H20" s="22">
        <f t="shared" si="2"/>
        <v>0</v>
      </c>
      <c r="I20" s="23" t="str">
        <f t="shared" ref="I20:I51" si="10">IF(ISERROR(H20/ABS(D20)),"N/A",(H20/ABS(D20)))</f>
        <v>N/A</v>
      </c>
      <c r="J20" s="23">
        <f t="shared" si="6"/>
        <v>0</v>
      </c>
      <c r="K20" s="108">
        <f t="shared" si="4"/>
        <v>0</v>
      </c>
    </row>
    <row r="21" spans="1:11" x14ac:dyDescent="0.2">
      <c r="A21" s="107" t="s">
        <v>85</v>
      </c>
      <c r="B21" s="73">
        <v>1</v>
      </c>
      <c r="C21" s="78">
        <f>VLOOKUP($B$3,'Data for Bill Impacts'!$A$6:$Y$18,13,0)</f>
        <v>0.73</v>
      </c>
      <c r="D21" s="22">
        <f t="shared" si="8"/>
        <v>0.73</v>
      </c>
      <c r="E21" s="73">
        <f t="shared" si="7"/>
        <v>1</v>
      </c>
      <c r="F21" s="121">
        <f>VLOOKUP($B$3,'Data for Bill Impacts'!$A$6:$Y$18,22,0)</f>
        <v>2E-3</v>
      </c>
      <c r="G21" s="22">
        <f t="shared" si="9"/>
        <v>2E-3</v>
      </c>
      <c r="H21" s="22">
        <f t="shared" si="2"/>
        <v>-0.72799999999999998</v>
      </c>
      <c r="I21" s="23">
        <f t="shared" si="10"/>
        <v>-0.99726027397260275</v>
      </c>
      <c r="J21" s="23">
        <f t="shared" si="6"/>
        <v>4.5533122460700859E-6</v>
      </c>
      <c r="K21" s="108">
        <f t="shared" si="4"/>
        <v>4.6346116311503772E-6</v>
      </c>
    </row>
    <row r="22" spans="1:11" hidden="1" x14ac:dyDescent="0.2">
      <c r="A22" s="107" t="s">
        <v>123</v>
      </c>
      <c r="B22" s="73">
        <f>B4</f>
        <v>2000</v>
      </c>
      <c r="C22" s="78">
        <v>0</v>
      </c>
      <c r="D22" s="22">
        <f>B22*C22</f>
        <v>0</v>
      </c>
      <c r="E22" s="73">
        <f>B22</f>
        <v>2000</v>
      </c>
      <c r="F22" s="78">
        <f>C22</f>
        <v>0</v>
      </c>
      <c r="G22" s="22">
        <f>E22*F22</f>
        <v>0</v>
      </c>
      <c r="H22" s="22">
        <f>G22-D22</f>
        <v>0</v>
      </c>
      <c r="I22" s="23" t="str">
        <f t="shared" si="10"/>
        <v>N/A</v>
      </c>
      <c r="J22" s="23">
        <f t="shared" si="6"/>
        <v>0</v>
      </c>
      <c r="K22" s="108">
        <f t="shared" si="4"/>
        <v>0</v>
      </c>
    </row>
    <row r="23" spans="1:11" x14ac:dyDescent="0.2">
      <c r="A23" s="107" t="s">
        <v>39</v>
      </c>
      <c r="B23" s="73">
        <f>IF($B$9="kWh",$B$4,$B$5)</f>
        <v>2000</v>
      </c>
      <c r="C23" s="125">
        <f>VLOOKUP($B$3,'Data for Bill Impacts'!$A$6:$Y$18,10,0)</f>
        <v>5.6000000000000001E-2</v>
      </c>
      <c r="D23" s="22">
        <f>B23*C23</f>
        <v>112</v>
      </c>
      <c r="E23" s="73">
        <f t="shared" si="7"/>
        <v>2000</v>
      </c>
      <c r="F23" s="125">
        <f>VLOOKUP($B$3,'Data for Bill Impacts'!$A$6:$Y$18,19,0)</f>
        <v>5.8900000000000001E-2</v>
      </c>
      <c r="G23" s="22">
        <f>E23*F23</f>
        <v>117.8</v>
      </c>
      <c r="H23" s="22">
        <f t="shared" si="2"/>
        <v>5.7999999999999972</v>
      </c>
      <c r="I23" s="23">
        <f t="shared" si="10"/>
        <v>5.1785714285714261E-2</v>
      </c>
      <c r="J23" s="23">
        <f t="shared" si="6"/>
        <v>0.26819009129352805</v>
      </c>
      <c r="K23" s="108">
        <f t="shared" si="4"/>
        <v>0.27297862507475718</v>
      </c>
    </row>
    <row r="24" spans="1:11" x14ac:dyDescent="0.2">
      <c r="A24" s="107" t="s">
        <v>124</v>
      </c>
      <c r="B24" s="73">
        <f>IF($B$9="kWh",$B$4,$B$5)</f>
        <v>2000</v>
      </c>
      <c r="C24" s="78">
        <f>VLOOKUP($B$3,'Data for Bill Impacts'!$A$6:$Y$18,14,0)</f>
        <v>2.0000000000000001E-4</v>
      </c>
      <c r="D24" s="22">
        <f>B24*C24</f>
        <v>0.4</v>
      </c>
      <c r="E24" s="73">
        <f t="shared" si="7"/>
        <v>2000</v>
      </c>
      <c r="F24" s="125">
        <f>VLOOKUP($B$3,'Data for Bill Impacts'!$A$6:$Y$18,23,0)</f>
        <v>2.0000000000000002E-5</v>
      </c>
      <c r="G24" s="22">
        <f>E24*F24</f>
        <v>0.04</v>
      </c>
      <c r="H24" s="22">
        <f t="shared" si="2"/>
        <v>-0.36000000000000004</v>
      </c>
      <c r="I24" s="23">
        <f t="shared" si="10"/>
        <v>-0.9</v>
      </c>
      <c r="J24" s="23">
        <f t="shared" ref="J24" si="11">G24/$G$46</f>
        <v>9.1066244921401721E-5</v>
      </c>
      <c r="K24" s="108">
        <f t="shared" si="4"/>
        <v>9.269223262300754E-5</v>
      </c>
    </row>
    <row r="25" spans="1:11" s="1" customFormat="1" x14ac:dyDescent="0.2">
      <c r="A25" s="110" t="s">
        <v>72</v>
      </c>
      <c r="B25" s="74"/>
      <c r="C25" s="35"/>
      <c r="D25" s="35">
        <f>SUM(D19:D24)</f>
        <v>141</v>
      </c>
      <c r="E25" s="73"/>
      <c r="F25" s="35"/>
      <c r="G25" s="35">
        <f>SUM(G19:G24)</f>
        <v>147.40199999999999</v>
      </c>
      <c r="H25" s="35">
        <f t="shared" si="2"/>
        <v>6.4019999999999868</v>
      </c>
      <c r="I25" s="36">
        <f t="shared" si="10"/>
        <v>4.5404255319148844E-2</v>
      </c>
      <c r="J25" s="36">
        <f>G25/$G$46</f>
        <v>0.3355836658476114</v>
      </c>
      <c r="K25" s="111">
        <f t="shared" si="4"/>
        <v>0.34157551182741386</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1.7985583371976841E-3</v>
      </c>
      <c r="K26" s="108">
        <f t="shared" si="4"/>
        <v>1.830671594304399E-3</v>
      </c>
    </row>
    <row r="27" spans="1:11" s="1" customFormat="1" x14ac:dyDescent="0.2">
      <c r="A27" s="119" t="s">
        <v>75</v>
      </c>
      <c r="B27" s="120">
        <f>B8-B4</f>
        <v>192</v>
      </c>
      <c r="C27" s="176">
        <f>IF(B4&gt;B7,C13,C12)</f>
        <v>0.106</v>
      </c>
      <c r="D27" s="22">
        <f>B27*C27</f>
        <v>20.352</v>
      </c>
      <c r="E27" s="73">
        <f>B27</f>
        <v>192</v>
      </c>
      <c r="F27" s="176">
        <f>C27</f>
        <v>0.106</v>
      </c>
      <c r="G27" s="22">
        <f>E27*F27</f>
        <v>20.352</v>
      </c>
      <c r="H27" s="22">
        <f t="shared" si="2"/>
        <v>0</v>
      </c>
      <c r="I27" s="23">
        <f t="shared" si="10"/>
        <v>0</v>
      </c>
      <c r="J27" s="23">
        <f t="shared" ref="J27:J46" si="12">G27/$G$46</f>
        <v>4.6334505416009197E-2</v>
      </c>
      <c r="K27" s="108">
        <f t="shared" ref="K27:K41" si="13">G27/$G$51</f>
        <v>4.7161807958586231E-2</v>
      </c>
    </row>
    <row r="28" spans="1:11" s="1" customFormat="1" x14ac:dyDescent="0.2">
      <c r="A28" s="119" t="s">
        <v>74</v>
      </c>
      <c r="B28" s="120">
        <f>B8-B4</f>
        <v>192</v>
      </c>
      <c r="C28" s="176">
        <f>0.65*C15+0.17*C16+0.18*C17</f>
        <v>9.7519999999999996E-2</v>
      </c>
      <c r="D28" s="22">
        <f>B28*C28</f>
        <v>18.723839999999999</v>
      </c>
      <c r="E28" s="73">
        <f>B28</f>
        <v>192</v>
      </c>
      <c r="F28" s="176">
        <f>C28</f>
        <v>9.7519999999999996E-2</v>
      </c>
      <c r="G28" s="22">
        <f>E28*F28</f>
        <v>18.723839999999999</v>
      </c>
      <c r="H28" s="22">
        <f t="shared" si="2"/>
        <v>0</v>
      </c>
      <c r="I28" s="23">
        <f t="shared" si="10"/>
        <v>0</v>
      </c>
      <c r="J28" s="23">
        <f t="shared" si="12"/>
        <v>4.2627744982728456E-2</v>
      </c>
      <c r="K28" s="108">
        <f t="shared" si="13"/>
        <v>4.3388863321899333E-2</v>
      </c>
    </row>
    <row r="29" spans="1:11" s="1" customFormat="1" x14ac:dyDescent="0.2">
      <c r="A29" s="110" t="s">
        <v>78</v>
      </c>
      <c r="B29" s="74"/>
      <c r="C29" s="35"/>
      <c r="D29" s="35">
        <f>SUM(D25,D26:D27)</f>
        <v>162.142</v>
      </c>
      <c r="E29" s="73"/>
      <c r="F29" s="35"/>
      <c r="G29" s="35">
        <f>SUM(G25,G26:G27)</f>
        <v>168.54399999999998</v>
      </c>
      <c r="H29" s="35">
        <f t="shared" si="2"/>
        <v>6.4019999999999868</v>
      </c>
      <c r="I29" s="36">
        <f t="shared" si="10"/>
        <v>3.9483909166039562E-2</v>
      </c>
      <c r="J29" s="36">
        <f t="shared" si="12"/>
        <v>0.38371672960081826</v>
      </c>
      <c r="K29" s="111">
        <f t="shared" si="13"/>
        <v>0.39056799138030451</v>
      </c>
    </row>
    <row r="30" spans="1:11" s="1" customFormat="1" x14ac:dyDescent="0.2">
      <c r="A30" s="110" t="s">
        <v>77</v>
      </c>
      <c r="B30" s="74"/>
      <c r="C30" s="35"/>
      <c r="D30" s="35">
        <f>SUM(D25,D26,D28)</f>
        <v>160.51383999999999</v>
      </c>
      <c r="E30" s="73"/>
      <c r="F30" s="35"/>
      <c r="G30" s="35">
        <f>SUM(G25,G26,G28)</f>
        <v>166.91583999999997</v>
      </c>
      <c r="H30" s="35">
        <f t="shared" si="2"/>
        <v>6.4019999999999868</v>
      </c>
      <c r="I30" s="36">
        <f t="shared" si="10"/>
        <v>3.9884411213388121E-2</v>
      </c>
      <c r="J30" s="36">
        <f t="shared" si="12"/>
        <v>0.38000996916753749</v>
      </c>
      <c r="K30" s="111">
        <f t="shared" si="13"/>
        <v>0.38679504674361759</v>
      </c>
    </row>
    <row r="31" spans="1:11" x14ac:dyDescent="0.2">
      <c r="A31" s="107" t="s">
        <v>40</v>
      </c>
      <c r="B31" s="73">
        <f>B8</f>
        <v>2192</v>
      </c>
      <c r="C31" s="78">
        <f>VLOOKUP($B$3,'Data for Bill Impacts'!$A$6:$Y$18,15,0)</f>
        <v>5.8999999999999999E-3</v>
      </c>
      <c r="D31" s="22">
        <f>B31*C31</f>
        <v>12.9328</v>
      </c>
      <c r="E31" s="73">
        <f t="shared" si="7"/>
        <v>2192</v>
      </c>
      <c r="F31" s="125">
        <f>VLOOKUP($B$3,'Data for Bill Impacts'!$A$6:$Y$18,24,0)</f>
        <v>5.6930000000000001E-3</v>
      </c>
      <c r="G31" s="22">
        <f>E31*F31</f>
        <v>12.479056</v>
      </c>
      <c r="H31" s="22">
        <f t="shared" si="2"/>
        <v>-0.45374400000000037</v>
      </c>
      <c r="I31" s="23">
        <f t="shared" si="10"/>
        <v>-3.5084745762711894E-2</v>
      </c>
      <c r="J31" s="23">
        <f t="shared" si="12"/>
        <v>2.8410519252097192E-2</v>
      </c>
      <c r="K31" s="108">
        <f t="shared" si="13"/>
        <v>2.8917789041688447E-2</v>
      </c>
    </row>
    <row r="32" spans="1:11" x14ac:dyDescent="0.2">
      <c r="A32" s="107" t="s">
        <v>41</v>
      </c>
      <c r="B32" s="73">
        <f>B8</f>
        <v>2192</v>
      </c>
      <c r="C32" s="125">
        <f>VLOOKUP($B$3,'Data for Bill Impacts'!$A$6:$Y$18,16,0)</f>
        <v>3.8E-3</v>
      </c>
      <c r="D32" s="22">
        <f>B32*C32</f>
        <v>8.3295999999999992</v>
      </c>
      <c r="E32" s="73">
        <f t="shared" si="7"/>
        <v>2192</v>
      </c>
      <c r="F32" s="125">
        <f>VLOOKUP($B$3,'Data for Bill Impacts'!$A$6:$Y$18,25,0)</f>
        <v>4.4740000000000005E-3</v>
      </c>
      <c r="G32" s="22">
        <f>E32*F32</f>
        <v>9.8070080000000015</v>
      </c>
      <c r="H32" s="22">
        <f t="shared" si="2"/>
        <v>1.4774080000000023</v>
      </c>
      <c r="I32" s="23">
        <f t="shared" si="10"/>
        <v>0.17736842105263187</v>
      </c>
      <c r="J32" s="23">
        <f t="shared" si="12"/>
        <v>2.2327184811853654E-2</v>
      </c>
      <c r="K32" s="108">
        <f t="shared" si="13"/>
        <v>2.2725836671792399E-2</v>
      </c>
    </row>
    <row r="33" spans="1:11" s="1" customFormat="1" x14ac:dyDescent="0.2">
      <c r="A33" s="110" t="s">
        <v>76</v>
      </c>
      <c r="B33" s="74"/>
      <c r="C33" s="35"/>
      <c r="D33" s="35">
        <f>SUM(D31:D32)</f>
        <v>21.2624</v>
      </c>
      <c r="E33" s="73"/>
      <c r="F33" s="35"/>
      <c r="G33" s="35">
        <f>SUM(G31:G32)</f>
        <v>22.286064000000003</v>
      </c>
      <c r="H33" s="35">
        <f t="shared" si="2"/>
        <v>1.0236640000000037</v>
      </c>
      <c r="I33" s="36">
        <f t="shared" si="10"/>
        <v>4.8144329896907388E-2</v>
      </c>
      <c r="J33" s="36">
        <f t="shared" si="12"/>
        <v>5.0737704063950853E-2</v>
      </c>
      <c r="K33" s="111">
        <f t="shared" si="13"/>
        <v>5.1643625713480849E-2</v>
      </c>
    </row>
    <row r="34" spans="1:11" s="1" customFormat="1" x14ac:dyDescent="0.2">
      <c r="A34" s="110" t="s">
        <v>91</v>
      </c>
      <c r="B34" s="74"/>
      <c r="C34" s="35"/>
      <c r="D34" s="35">
        <f>D29+D33</f>
        <v>183.40440000000001</v>
      </c>
      <c r="E34" s="73"/>
      <c r="F34" s="35"/>
      <c r="G34" s="35">
        <f>G29+G33</f>
        <v>190.83006399999999</v>
      </c>
      <c r="H34" s="35">
        <f t="shared" si="2"/>
        <v>7.4256639999999834</v>
      </c>
      <c r="I34" s="36">
        <f t="shared" si="10"/>
        <v>4.0487927225300938E-2</v>
      </c>
      <c r="J34" s="36">
        <f t="shared" si="12"/>
        <v>0.43445443366476916</v>
      </c>
      <c r="K34" s="111">
        <f t="shared" si="13"/>
        <v>0.44221161709378537</v>
      </c>
    </row>
    <row r="35" spans="1:11" s="1" customFormat="1" x14ac:dyDescent="0.2">
      <c r="A35" s="110" t="s">
        <v>92</v>
      </c>
      <c r="B35" s="74"/>
      <c r="C35" s="35"/>
      <c r="D35" s="35">
        <f>D30+D33</f>
        <v>181.77623999999997</v>
      </c>
      <c r="E35" s="73"/>
      <c r="F35" s="35"/>
      <c r="G35" s="35">
        <f>G30+G33</f>
        <v>189.20190399999998</v>
      </c>
      <c r="H35" s="35">
        <f t="shared" si="2"/>
        <v>7.4256640000000118</v>
      </c>
      <c r="I35" s="36">
        <f t="shared" si="10"/>
        <v>4.085057541073582E-2</v>
      </c>
      <c r="J35" s="36">
        <f t="shared" si="12"/>
        <v>0.43074767323148838</v>
      </c>
      <c r="K35" s="111">
        <f t="shared" si="13"/>
        <v>0.43843867245709844</v>
      </c>
    </row>
    <row r="36" spans="1:11" x14ac:dyDescent="0.2">
      <c r="A36" s="107" t="s">
        <v>42</v>
      </c>
      <c r="B36" s="73">
        <f>B8</f>
        <v>2192</v>
      </c>
      <c r="C36" s="34">
        <v>3.5999999999999999E-3</v>
      </c>
      <c r="D36" s="22">
        <f>B36*C36</f>
        <v>7.8911999999999995</v>
      </c>
      <c r="E36" s="73">
        <f t="shared" si="7"/>
        <v>2192</v>
      </c>
      <c r="F36" s="34">
        <v>3.5999999999999999E-3</v>
      </c>
      <c r="G36" s="22">
        <f>E36*F36</f>
        <v>7.8911999999999995</v>
      </c>
      <c r="H36" s="22">
        <f t="shared" si="2"/>
        <v>0</v>
      </c>
      <c r="I36" s="23">
        <f t="shared" si="10"/>
        <v>0</v>
      </c>
      <c r="J36" s="23">
        <f t="shared" si="12"/>
        <v>1.796554879809413E-2</v>
      </c>
      <c r="K36" s="108">
        <f t="shared" si="13"/>
        <v>1.8286323651866925E-2</v>
      </c>
    </row>
    <row r="37" spans="1:11" x14ac:dyDescent="0.2">
      <c r="A37" s="107" t="s">
        <v>43</v>
      </c>
      <c r="B37" s="73">
        <f>B8</f>
        <v>2192</v>
      </c>
      <c r="C37" s="34">
        <v>2.0999999999999999E-3</v>
      </c>
      <c r="D37" s="22">
        <f>B37*C37</f>
        <v>4.6031999999999993</v>
      </c>
      <c r="E37" s="73">
        <f t="shared" si="7"/>
        <v>2192</v>
      </c>
      <c r="F37" s="34">
        <v>2.0999999999999999E-3</v>
      </c>
      <c r="G37" s="22">
        <f>E37*F37</f>
        <v>4.6031999999999993</v>
      </c>
      <c r="H37" s="22">
        <f>G37-D37</f>
        <v>0</v>
      </c>
      <c r="I37" s="23">
        <f t="shared" si="10"/>
        <v>0</v>
      </c>
      <c r="J37" s="23">
        <f t="shared" si="12"/>
        <v>1.0479903465554909E-2</v>
      </c>
      <c r="K37" s="108">
        <f t="shared" si="13"/>
        <v>1.0667022130255705E-2</v>
      </c>
    </row>
    <row r="38" spans="1:11" x14ac:dyDescent="0.2">
      <c r="A38" s="107" t="s">
        <v>96</v>
      </c>
      <c r="B38" s="73">
        <f>B8</f>
        <v>2192</v>
      </c>
      <c r="C38" s="34">
        <v>0</v>
      </c>
      <c r="D38" s="22">
        <f>B38*C38</f>
        <v>0</v>
      </c>
      <c r="E38" s="73">
        <f t="shared" si="7"/>
        <v>2192</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7"/>
        <v>1</v>
      </c>
      <c r="F39" s="22">
        <f>C39</f>
        <v>0.25</v>
      </c>
      <c r="G39" s="22">
        <f>E39*F39</f>
        <v>0.25</v>
      </c>
      <c r="H39" s="22">
        <f t="shared" si="2"/>
        <v>0</v>
      </c>
      <c r="I39" s="23">
        <f t="shared" si="10"/>
        <v>0</v>
      </c>
      <c r="J39" s="23">
        <f t="shared" si="12"/>
        <v>5.6916403075876081E-4</v>
      </c>
      <c r="K39" s="108">
        <f t="shared" si="13"/>
        <v>5.7932645389379713E-4</v>
      </c>
    </row>
    <row r="40" spans="1:11" s="1" customFormat="1" x14ac:dyDescent="0.2">
      <c r="A40" s="110" t="s">
        <v>45</v>
      </c>
      <c r="B40" s="74"/>
      <c r="C40" s="35"/>
      <c r="D40" s="35">
        <f>SUM(D36:D39)</f>
        <v>12.744399999999999</v>
      </c>
      <c r="E40" s="73"/>
      <c r="F40" s="35"/>
      <c r="G40" s="35">
        <f>SUM(G36:G39)</f>
        <v>12.744399999999999</v>
      </c>
      <c r="H40" s="35">
        <f t="shared" si="2"/>
        <v>0</v>
      </c>
      <c r="I40" s="36">
        <f t="shared" si="10"/>
        <v>0</v>
      </c>
      <c r="J40" s="36">
        <f t="shared" si="12"/>
        <v>2.90146162944078E-2</v>
      </c>
      <c r="K40" s="111">
        <f t="shared" si="13"/>
        <v>2.9532672236016428E-2</v>
      </c>
    </row>
    <row r="41" spans="1:11" s="1" customFormat="1" ht="13.5" thickBot="1" x14ac:dyDescent="0.25">
      <c r="A41" s="112" t="s">
        <v>46</v>
      </c>
      <c r="B41" s="113">
        <f>B4</f>
        <v>2000</v>
      </c>
      <c r="C41" s="114">
        <v>7.0000000000000001E-3</v>
      </c>
      <c r="D41" s="115">
        <f>B41*C41</f>
        <v>14</v>
      </c>
      <c r="E41" s="116">
        <f t="shared" si="7"/>
        <v>2000</v>
      </c>
      <c r="F41" s="114">
        <f>C41</f>
        <v>7.0000000000000001E-3</v>
      </c>
      <c r="G41" s="115">
        <f>E41*F41</f>
        <v>14</v>
      </c>
      <c r="H41" s="115">
        <f t="shared" si="2"/>
        <v>0</v>
      </c>
      <c r="I41" s="117">
        <f t="shared" si="10"/>
        <v>0</v>
      </c>
      <c r="J41" s="117">
        <f t="shared" si="12"/>
        <v>3.18731857224906E-2</v>
      </c>
      <c r="K41" s="118">
        <f t="shared" si="13"/>
        <v>3.2442281418052638E-2</v>
      </c>
    </row>
    <row r="42" spans="1:11" s="1" customFormat="1" x14ac:dyDescent="0.2">
      <c r="A42" s="37" t="s">
        <v>105</v>
      </c>
      <c r="B42" s="38"/>
      <c r="C42" s="39"/>
      <c r="D42" s="39">
        <f>SUM(D14,D25,D26,D27,D33,D40,D41)</f>
        <v>410.89879999999999</v>
      </c>
      <c r="E42" s="38"/>
      <c r="F42" s="39"/>
      <c r="G42" s="39">
        <f>SUM(G14,G25,G26,G27,G33,G40,G41)</f>
        <v>418.32446399999998</v>
      </c>
      <c r="H42" s="39">
        <f t="shared" si="2"/>
        <v>7.4256639999999834</v>
      </c>
      <c r="I42" s="40">
        <f t="shared" si="10"/>
        <v>1.8071758788295277E-2</v>
      </c>
      <c r="J42" s="40">
        <f t="shared" si="12"/>
        <v>0.95238095238095244</v>
      </c>
      <c r="K42" s="41"/>
    </row>
    <row r="43" spans="1:11" x14ac:dyDescent="0.2">
      <c r="A43" s="153" t="s">
        <v>106</v>
      </c>
      <c r="B43" s="43"/>
      <c r="C43" s="26">
        <v>0.13</v>
      </c>
      <c r="D43" s="26">
        <f>D42*C43</f>
        <v>53.416843999999998</v>
      </c>
      <c r="E43" s="26"/>
      <c r="F43" s="26">
        <f>C43</f>
        <v>0.13</v>
      </c>
      <c r="G43" s="26">
        <f>G42*F43</f>
        <v>54.382180319999996</v>
      </c>
      <c r="H43" s="26">
        <f t="shared" si="2"/>
        <v>0.96533631999999869</v>
      </c>
      <c r="I43" s="44">
        <f t="shared" si="10"/>
        <v>1.8071758788295294E-2</v>
      </c>
      <c r="J43" s="44">
        <f t="shared" si="12"/>
        <v>0.12380952380952381</v>
      </c>
      <c r="K43" s="45"/>
    </row>
    <row r="44" spans="1:11" s="1" customFormat="1" x14ac:dyDescent="0.2">
      <c r="A44" s="46" t="s">
        <v>107</v>
      </c>
      <c r="B44" s="24"/>
      <c r="C44" s="25"/>
      <c r="D44" s="25">
        <f>SUM(D42:D43)</f>
        <v>464.31564400000002</v>
      </c>
      <c r="E44" s="25"/>
      <c r="F44" s="25"/>
      <c r="G44" s="25">
        <f>SUM(G42:G43)</f>
        <v>472.70664431999995</v>
      </c>
      <c r="H44" s="25">
        <f t="shared" si="2"/>
        <v>8.3910003199999323</v>
      </c>
      <c r="I44" s="27">
        <f t="shared" si="10"/>
        <v>1.8071758788295172E-2</v>
      </c>
      <c r="J44" s="27">
        <f t="shared" si="12"/>
        <v>1.0761904761904761</v>
      </c>
      <c r="K44" s="47"/>
    </row>
    <row r="45" spans="1:11" x14ac:dyDescent="0.2">
      <c r="A45" s="42" t="s">
        <v>108</v>
      </c>
      <c r="B45" s="43"/>
      <c r="C45" s="26">
        <v>-0.08</v>
      </c>
      <c r="D45" s="26">
        <f>D42*C45</f>
        <v>-32.871904000000001</v>
      </c>
      <c r="E45" s="26"/>
      <c r="F45" s="26">
        <f>C45</f>
        <v>-0.08</v>
      </c>
      <c r="G45" s="26">
        <f>G42*F45</f>
        <v>-33.465957119999999</v>
      </c>
      <c r="H45" s="26">
        <f t="shared" si="2"/>
        <v>-0.5940531199999981</v>
      </c>
      <c r="I45" s="44">
        <f t="shared" si="10"/>
        <v>-1.8071758788295259E-2</v>
      </c>
      <c r="J45" s="44">
        <f t="shared" si="12"/>
        <v>-7.6190476190476197E-2</v>
      </c>
      <c r="K45" s="45"/>
    </row>
    <row r="46" spans="1:11" s="1" customFormat="1" ht="13.5" thickBot="1" x14ac:dyDescent="0.25">
      <c r="A46" s="48" t="s">
        <v>109</v>
      </c>
      <c r="B46" s="49"/>
      <c r="C46" s="50"/>
      <c r="D46" s="50">
        <f>SUM(D44:D45)</f>
        <v>431.44374000000005</v>
      </c>
      <c r="E46" s="50"/>
      <c r="F46" s="50"/>
      <c r="G46" s="50">
        <f>SUM(G44:G45)</f>
        <v>439.24068719999997</v>
      </c>
      <c r="H46" s="50">
        <f t="shared" si="2"/>
        <v>7.79694719999992</v>
      </c>
      <c r="I46" s="51">
        <f t="shared" si="10"/>
        <v>1.8071758788295131E-2</v>
      </c>
      <c r="J46" s="51">
        <f t="shared" si="12"/>
        <v>1</v>
      </c>
      <c r="K46" s="52"/>
    </row>
    <row r="47" spans="1:11" x14ac:dyDescent="0.2">
      <c r="A47" s="53" t="s">
        <v>110</v>
      </c>
      <c r="B47" s="54"/>
      <c r="C47" s="55"/>
      <c r="D47" s="55">
        <f>SUM(D18,D25,D26,D28,D33,D40,D41)</f>
        <v>403.56063999999998</v>
      </c>
      <c r="E47" s="55"/>
      <c r="F47" s="55"/>
      <c r="G47" s="55">
        <f>SUM(G18,G25,G26,G28,G33,G40,G41)</f>
        <v>410.98630400000002</v>
      </c>
      <c r="H47" s="55">
        <f>G47-D47</f>
        <v>7.4256640000000402</v>
      </c>
      <c r="I47" s="56">
        <f t="shared" si="10"/>
        <v>1.8400367290526749E-2</v>
      </c>
      <c r="J47" s="56"/>
      <c r="K47" s="57">
        <f>G47/$G$51</f>
        <v>0.95238095238095233</v>
      </c>
    </row>
    <row r="48" spans="1:11" x14ac:dyDescent="0.2">
      <c r="A48" s="58" t="s">
        <v>106</v>
      </c>
      <c r="B48" s="59"/>
      <c r="C48" s="31">
        <v>0.13</v>
      </c>
      <c r="D48" s="31">
        <f>D47*C48</f>
        <v>52.4628832</v>
      </c>
      <c r="E48" s="31"/>
      <c r="F48" s="31">
        <f>C48</f>
        <v>0.13</v>
      </c>
      <c r="G48" s="31">
        <f>G47*F48</f>
        <v>53.428219520000006</v>
      </c>
      <c r="H48" s="31">
        <f>G48-D48</f>
        <v>0.9653363200000058</v>
      </c>
      <c r="I48" s="32">
        <f t="shared" si="10"/>
        <v>1.840036729052676E-2</v>
      </c>
      <c r="J48" s="32"/>
      <c r="K48" s="60">
        <f>G48/$G$51</f>
        <v>0.12380952380952381</v>
      </c>
    </row>
    <row r="49" spans="1:11" x14ac:dyDescent="0.2">
      <c r="A49" s="149" t="s">
        <v>111</v>
      </c>
      <c r="B49" s="29"/>
      <c r="C49" s="30"/>
      <c r="D49" s="30">
        <f>SUM(D47:D48)</f>
        <v>456.0235232</v>
      </c>
      <c r="E49" s="30"/>
      <c r="F49" s="30"/>
      <c r="G49" s="30">
        <f>SUM(G47:G48)</f>
        <v>464.41452352000005</v>
      </c>
      <c r="H49" s="30">
        <f>G49-D49</f>
        <v>8.391000320000046</v>
      </c>
      <c r="I49" s="33">
        <f t="shared" si="10"/>
        <v>1.8400367290526749E-2</v>
      </c>
      <c r="J49" s="33"/>
      <c r="K49" s="62">
        <f>G49/$G$51</f>
        <v>1.0761904761904761</v>
      </c>
    </row>
    <row r="50" spans="1:11" x14ac:dyDescent="0.2">
      <c r="A50" s="58" t="s">
        <v>108</v>
      </c>
      <c r="B50" s="59"/>
      <c r="C50" s="31">
        <v>-0.08</v>
      </c>
      <c r="D50" s="31">
        <f>D47*C50</f>
        <v>-32.284851199999999</v>
      </c>
      <c r="E50" s="31"/>
      <c r="F50" s="31">
        <f>C50</f>
        <v>-0.08</v>
      </c>
      <c r="G50" s="31">
        <f>G47*F50</f>
        <v>-32.878904320000004</v>
      </c>
      <c r="H50" s="31">
        <f>G50-D50</f>
        <v>-0.59405312000000521</v>
      </c>
      <c r="I50" s="32">
        <f t="shared" si="10"/>
        <v>-1.8400367290526812E-2</v>
      </c>
      <c r="J50" s="32"/>
      <c r="K50" s="60">
        <f>G50/$G$51</f>
        <v>-7.6190476190476197E-2</v>
      </c>
    </row>
    <row r="51" spans="1:11" ht="13.5" thickBot="1" x14ac:dyDescent="0.25">
      <c r="A51" s="63" t="s">
        <v>121</v>
      </c>
      <c r="B51" s="64"/>
      <c r="C51" s="65"/>
      <c r="D51" s="65">
        <f>SUM(D49:D50)</f>
        <v>423.73867200000001</v>
      </c>
      <c r="E51" s="65"/>
      <c r="F51" s="65"/>
      <c r="G51" s="65">
        <f>SUM(G49:G50)</f>
        <v>431.53561920000004</v>
      </c>
      <c r="H51" s="65">
        <f>G51-D51</f>
        <v>7.7969472000000337</v>
      </c>
      <c r="I51" s="66">
        <f t="shared" si="10"/>
        <v>1.8400367290526728E-2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4"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120</v>
      </c>
      <c r="B1" s="191"/>
      <c r="C1" s="191"/>
      <c r="D1" s="191"/>
      <c r="E1" s="191"/>
      <c r="F1" s="191"/>
      <c r="G1" s="191"/>
      <c r="H1" s="191"/>
      <c r="I1" s="191"/>
      <c r="J1" s="191"/>
      <c r="K1" s="192"/>
    </row>
    <row r="3" spans="1:11" x14ac:dyDescent="0.2">
      <c r="A3" s="13" t="s">
        <v>13</v>
      </c>
      <c r="B3" s="13" t="s">
        <v>4</v>
      </c>
    </row>
    <row r="4" spans="1:11" x14ac:dyDescent="0.2">
      <c r="A4" s="15" t="s">
        <v>62</v>
      </c>
      <c r="B4" s="168">
        <f>VLOOKUP(B3,'Data for Bill Impacts'!A22:D35,3,FALSE)</f>
        <v>1982</v>
      </c>
    </row>
    <row r="5" spans="1:11" x14ac:dyDescent="0.2">
      <c r="A5" s="15" t="s">
        <v>16</v>
      </c>
      <c r="B5" s="168">
        <f>VLOOKUP($B$3,'Data for Bill Impacts'!$A$6:$Y$18,5,0)</f>
        <v>0</v>
      </c>
    </row>
    <row r="6" spans="1:11" x14ac:dyDescent="0.2">
      <c r="A6" s="15" t="s">
        <v>20</v>
      </c>
      <c r="B6" s="15">
        <f>VLOOKUP($B$3,'Data for Bill Impacts'!$A$6:$Y$18,2,0)</f>
        <v>1.0960000000000001</v>
      </c>
    </row>
    <row r="7" spans="1:11" x14ac:dyDescent="0.2">
      <c r="A7" s="15" t="s">
        <v>15</v>
      </c>
      <c r="B7" s="15">
        <f>VLOOKUP($B$3,'Data for Bill Impacts'!$A$6:$Y$18,4,0)</f>
        <v>750</v>
      </c>
    </row>
    <row r="8" spans="1:11" x14ac:dyDescent="0.2">
      <c r="A8" s="15" t="s">
        <v>82</v>
      </c>
      <c r="B8" s="168">
        <f>B4*B6</f>
        <v>2172.2720000000004</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0.15672707124320762</v>
      </c>
      <c r="K12" s="106"/>
    </row>
    <row r="13" spans="1:11" x14ac:dyDescent="0.2">
      <c r="A13" s="107" t="s">
        <v>32</v>
      </c>
      <c r="B13" s="73">
        <f>IF(B4&gt;B7,(B4)-B7,0)</f>
        <v>1232</v>
      </c>
      <c r="C13" s="21">
        <v>0.106</v>
      </c>
      <c r="D13" s="22">
        <f>B13*C13</f>
        <v>130.59199999999998</v>
      </c>
      <c r="E13" s="73">
        <f t="shared" ref="E13" si="1">B13</f>
        <v>1232</v>
      </c>
      <c r="F13" s="21">
        <f>C13</f>
        <v>0.106</v>
      </c>
      <c r="G13" s="22">
        <f>E13*F13</f>
        <v>130.59199999999998</v>
      </c>
      <c r="H13" s="22">
        <f t="shared" ref="H13:H46" si="2">G13-D13</f>
        <v>0</v>
      </c>
      <c r="I13" s="23">
        <f t="shared" si="0"/>
        <v>0</v>
      </c>
      <c r="J13" s="23">
        <f>G13/$G$46</f>
        <v>0.29988720421674675</v>
      </c>
      <c r="K13" s="108"/>
    </row>
    <row r="14" spans="1:11" s="1" customFormat="1" x14ac:dyDescent="0.2">
      <c r="A14" s="46" t="s">
        <v>33</v>
      </c>
      <c r="B14" s="24"/>
      <c r="C14" s="25"/>
      <c r="D14" s="25">
        <f>SUM(D12:D13)</f>
        <v>198.84199999999998</v>
      </c>
      <c r="E14" s="76"/>
      <c r="F14" s="25"/>
      <c r="G14" s="25">
        <f>SUM(G12:G13)</f>
        <v>198.84199999999998</v>
      </c>
      <c r="H14" s="25">
        <f t="shared" si="2"/>
        <v>0</v>
      </c>
      <c r="I14" s="27">
        <f t="shared" si="0"/>
        <v>0</v>
      </c>
      <c r="J14" s="27">
        <f>G14/$G$46</f>
        <v>0.45661427545995437</v>
      </c>
      <c r="K14" s="108"/>
    </row>
    <row r="15" spans="1:11" s="1" customFormat="1" x14ac:dyDescent="0.2">
      <c r="A15" s="109" t="s">
        <v>34</v>
      </c>
      <c r="B15" s="75">
        <f>B4*0.65</f>
        <v>1288.3</v>
      </c>
      <c r="C15" s="28">
        <v>7.6999999999999999E-2</v>
      </c>
      <c r="D15" s="22">
        <f>B15*C15</f>
        <v>99.199100000000001</v>
      </c>
      <c r="E15" s="73">
        <f t="shared" ref="E15:E17" si="3">B15</f>
        <v>1288.3</v>
      </c>
      <c r="F15" s="28">
        <f>C15</f>
        <v>7.6999999999999999E-2</v>
      </c>
      <c r="G15" s="22">
        <f>E15*F15</f>
        <v>99.199100000000001</v>
      </c>
      <c r="H15" s="22">
        <f t="shared" si="2"/>
        <v>0</v>
      </c>
      <c r="I15" s="23">
        <f t="shared" si="0"/>
        <v>0</v>
      </c>
      <c r="J15" s="23"/>
      <c r="K15" s="108">
        <f t="shared" ref="K15:K26" si="4">G15/$G$51</f>
        <v>0.23180555939081407</v>
      </c>
    </row>
    <row r="16" spans="1:11" s="1" customFormat="1" x14ac:dyDescent="0.2">
      <c r="A16" s="109" t="s">
        <v>35</v>
      </c>
      <c r="B16" s="75">
        <f>B4*0.17</f>
        <v>336.94</v>
      </c>
      <c r="C16" s="28">
        <v>0.113</v>
      </c>
      <c r="D16" s="22">
        <f>B16*C16</f>
        <v>38.074220000000004</v>
      </c>
      <c r="E16" s="73">
        <f t="shared" si="3"/>
        <v>336.94</v>
      </c>
      <c r="F16" s="28">
        <f t="shared" ref="F16:F17" si="5">C16</f>
        <v>0.113</v>
      </c>
      <c r="G16" s="22">
        <f>E16*F16</f>
        <v>38.074220000000004</v>
      </c>
      <c r="H16" s="22">
        <f t="shared" si="2"/>
        <v>0</v>
      </c>
      <c r="I16" s="23">
        <f t="shared" si="0"/>
        <v>0</v>
      </c>
      <c r="J16" s="23"/>
      <c r="K16" s="108">
        <f t="shared" si="4"/>
        <v>8.8970725192758018E-2</v>
      </c>
    </row>
    <row r="17" spans="1:11" s="1" customFormat="1" x14ac:dyDescent="0.2">
      <c r="A17" s="109" t="s">
        <v>36</v>
      </c>
      <c r="B17" s="75">
        <f>B4*0.18</f>
        <v>356.76</v>
      </c>
      <c r="C17" s="28">
        <v>0.157</v>
      </c>
      <c r="D17" s="22">
        <f>B17*C17</f>
        <v>56.011319999999998</v>
      </c>
      <c r="E17" s="73">
        <f t="shared" si="3"/>
        <v>356.76</v>
      </c>
      <c r="F17" s="28">
        <f t="shared" si="5"/>
        <v>0.157</v>
      </c>
      <c r="G17" s="22">
        <f>E17*F17</f>
        <v>56.011319999999998</v>
      </c>
      <c r="H17" s="22">
        <f t="shared" si="2"/>
        <v>0</v>
      </c>
      <c r="I17" s="23">
        <f t="shared" si="0"/>
        <v>0</v>
      </c>
      <c r="J17" s="23"/>
      <c r="K17" s="108">
        <f t="shared" si="4"/>
        <v>0.13088561655113695</v>
      </c>
    </row>
    <row r="18" spans="1:11" s="1" customFormat="1" x14ac:dyDescent="0.2">
      <c r="A18" s="61" t="s">
        <v>37</v>
      </c>
      <c r="B18" s="29"/>
      <c r="C18" s="30"/>
      <c r="D18" s="30">
        <f>SUM(D15:D17)</f>
        <v>193.28464000000002</v>
      </c>
      <c r="E18" s="77"/>
      <c r="F18" s="30"/>
      <c r="G18" s="30">
        <f>SUM(G15:G17)</f>
        <v>193.28464000000002</v>
      </c>
      <c r="H18" s="31">
        <f t="shared" si="2"/>
        <v>0</v>
      </c>
      <c r="I18" s="32">
        <f t="shared" si="0"/>
        <v>0</v>
      </c>
      <c r="J18" s="33">
        <f t="shared" ref="J18:J23" si="6">G18/$G$46</f>
        <v>0.44385253543586428</v>
      </c>
      <c r="K18" s="62">
        <f t="shared" si="4"/>
        <v>0.45166190113470911</v>
      </c>
    </row>
    <row r="19" spans="1:11" x14ac:dyDescent="0.2">
      <c r="A19" s="107" t="s">
        <v>38</v>
      </c>
      <c r="B19" s="73">
        <v>1</v>
      </c>
      <c r="C19" s="78">
        <f>VLOOKUP($B$3,'Data for Bill Impacts'!$A$6:$Y$18,7,0)</f>
        <v>27.87</v>
      </c>
      <c r="D19" s="22">
        <f>B19*C19</f>
        <v>27.87</v>
      </c>
      <c r="E19" s="73">
        <f t="shared" ref="E19:E41" si="7">B19</f>
        <v>1</v>
      </c>
      <c r="F19" s="78">
        <f>VLOOKUP($B$3,'Data for Bill Impacts'!$A$6:$Y$18,17,0)</f>
        <v>29.56</v>
      </c>
      <c r="G19" s="22">
        <f>E19*F19</f>
        <v>29.56</v>
      </c>
      <c r="H19" s="22">
        <f t="shared" si="2"/>
        <v>1.6899999999999977</v>
      </c>
      <c r="I19" s="23">
        <f>IF(ISERROR(H19/ABS(D19)),"N/A",(H19/ABS(D19)))</f>
        <v>6.063867958378176E-2</v>
      </c>
      <c r="J19" s="23">
        <f t="shared" si="6"/>
        <v>6.7880618695226616E-2</v>
      </c>
      <c r="K19" s="108">
        <f t="shared" si="4"/>
        <v>6.9074944587122905E-2</v>
      </c>
    </row>
    <row r="20" spans="1:11" hidden="1" x14ac:dyDescent="0.2">
      <c r="A20" s="107" t="s">
        <v>114</v>
      </c>
      <c r="B20" s="73">
        <v>1</v>
      </c>
      <c r="C20" s="78">
        <v>0</v>
      </c>
      <c r="D20" s="22">
        <f t="shared" ref="D20:D21" si="8">B20*C20</f>
        <v>0</v>
      </c>
      <c r="E20" s="73">
        <f t="shared" si="7"/>
        <v>1</v>
      </c>
      <c r="F20" s="121">
        <v>0</v>
      </c>
      <c r="G20" s="22">
        <f t="shared" ref="G20:G21" si="9">E20*F20</f>
        <v>0</v>
      </c>
      <c r="H20" s="22">
        <f t="shared" si="2"/>
        <v>0</v>
      </c>
      <c r="I20" s="23" t="str">
        <f t="shared" ref="I20:I51" si="10">IF(ISERROR(H20/ABS(D20)),"N/A",(H20/ABS(D20)))</f>
        <v>N/A</v>
      </c>
      <c r="J20" s="23">
        <f t="shared" si="6"/>
        <v>0</v>
      </c>
      <c r="K20" s="108">
        <f t="shared" si="4"/>
        <v>0</v>
      </c>
    </row>
    <row r="21" spans="1:11" x14ac:dyDescent="0.2">
      <c r="A21" s="107" t="s">
        <v>85</v>
      </c>
      <c r="B21" s="73">
        <v>1</v>
      </c>
      <c r="C21" s="78">
        <f>VLOOKUP($B$3,'Data for Bill Impacts'!$A$6:$Y$18,13,0)</f>
        <v>0.73</v>
      </c>
      <c r="D21" s="22">
        <f t="shared" si="8"/>
        <v>0.73</v>
      </c>
      <c r="E21" s="73">
        <f t="shared" si="7"/>
        <v>1</v>
      </c>
      <c r="F21" s="121">
        <f>VLOOKUP($B$3,'Data for Bill Impacts'!$A$6:$Y$18,22,0)</f>
        <v>2E-3</v>
      </c>
      <c r="G21" s="22">
        <f t="shared" si="9"/>
        <v>2E-3</v>
      </c>
      <c r="H21" s="22">
        <f t="shared" si="2"/>
        <v>-0.72799999999999998</v>
      </c>
      <c r="I21" s="23">
        <f t="shared" si="10"/>
        <v>-0.99726027397260275</v>
      </c>
      <c r="J21" s="23">
        <f t="shared" si="6"/>
        <v>4.5927346884456441E-6</v>
      </c>
      <c r="K21" s="108">
        <f t="shared" si="4"/>
        <v>4.6735415823493169E-6</v>
      </c>
    </row>
    <row r="22" spans="1:11" hidden="1" x14ac:dyDescent="0.2">
      <c r="A22" s="107" t="s">
        <v>123</v>
      </c>
      <c r="B22" s="73">
        <f>B4</f>
        <v>1982</v>
      </c>
      <c r="C22" s="78">
        <v>0</v>
      </c>
      <c r="D22" s="22">
        <f>B22*C22</f>
        <v>0</v>
      </c>
      <c r="E22" s="73">
        <f>B22</f>
        <v>1982</v>
      </c>
      <c r="F22" s="78">
        <f>C22</f>
        <v>0</v>
      </c>
      <c r="G22" s="22">
        <f>E22*F22</f>
        <v>0</v>
      </c>
      <c r="H22" s="22">
        <f>G22-D22</f>
        <v>0</v>
      </c>
      <c r="I22" s="23" t="str">
        <f t="shared" si="10"/>
        <v>N/A</v>
      </c>
      <c r="J22" s="23">
        <f t="shared" si="6"/>
        <v>0</v>
      </c>
      <c r="K22" s="108">
        <f t="shared" si="4"/>
        <v>0</v>
      </c>
    </row>
    <row r="23" spans="1:11" x14ac:dyDescent="0.2">
      <c r="A23" s="107" t="s">
        <v>39</v>
      </c>
      <c r="B23" s="73">
        <f>IF($B$9="kWh",$B$4,$B$5)</f>
        <v>1982</v>
      </c>
      <c r="C23" s="125">
        <f>VLOOKUP($B$3,'Data for Bill Impacts'!$A$6:$Y$18,10,0)</f>
        <v>5.6000000000000001E-2</v>
      </c>
      <c r="D23" s="22">
        <f>B23*C23</f>
        <v>110.992</v>
      </c>
      <c r="E23" s="73">
        <f t="shared" si="7"/>
        <v>1982</v>
      </c>
      <c r="F23" s="125">
        <f>VLOOKUP($B$3,'Data for Bill Impacts'!$A$6:$Y$18,19,0)</f>
        <v>5.8900000000000001E-2</v>
      </c>
      <c r="G23" s="22">
        <f>E23*F23</f>
        <v>116.7398</v>
      </c>
      <c r="H23" s="22">
        <f t="shared" si="2"/>
        <v>5.747799999999998</v>
      </c>
      <c r="I23" s="23">
        <f t="shared" si="10"/>
        <v>5.1785714285714268E-2</v>
      </c>
      <c r="J23" s="23">
        <f t="shared" si="6"/>
        <v>0.26807746449110342</v>
      </c>
      <c r="K23" s="108">
        <f t="shared" si="4"/>
        <v>0.27279415480757141</v>
      </c>
    </row>
    <row r="24" spans="1:11" x14ac:dyDescent="0.2">
      <c r="A24" s="107" t="s">
        <v>124</v>
      </c>
      <c r="B24" s="73">
        <f>IF($B$9="kWh",$B$4,$B$5)</f>
        <v>1982</v>
      </c>
      <c r="C24" s="78">
        <f>VLOOKUP($B$3,'Data for Bill Impacts'!$A$6:$Y$18,14,0)</f>
        <v>2.0000000000000001E-4</v>
      </c>
      <c r="D24" s="22">
        <f>B24*C24</f>
        <v>0.39640000000000003</v>
      </c>
      <c r="E24" s="73">
        <f t="shared" si="7"/>
        <v>1982</v>
      </c>
      <c r="F24" s="125">
        <f>VLOOKUP($B$3,'Data for Bill Impacts'!$A$6:$Y$18,23,0)</f>
        <v>2.0000000000000002E-5</v>
      </c>
      <c r="G24" s="22">
        <f>E24*F24</f>
        <v>3.9640000000000002E-2</v>
      </c>
      <c r="H24" s="22">
        <f t="shared" si="2"/>
        <v>-0.35676000000000002</v>
      </c>
      <c r="I24" s="23">
        <f t="shared" si="10"/>
        <v>-0.9</v>
      </c>
      <c r="J24" s="23">
        <f t="shared" ref="J24" si="11">G24/$G$46</f>
        <v>9.1028001524992667E-5</v>
      </c>
      <c r="K24" s="108">
        <f t="shared" si="4"/>
        <v>9.2629594162163464E-5</v>
      </c>
    </row>
    <row r="25" spans="1:11" s="1" customFormat="1" x14ac:dyDescent="0.2">
      <c r="A25" s="110" t="s">
        <v>72</v>
      </c>
      <c r="B25" s="74"/>
      <c r="C25" s="35"/>
      <c r="D25" s="35">
        <f>SUM(D19:D24)</f>
        <v>139.98840000000001</v>
      </c>
      <c r="E25" s="73"/>
      <c r="F25" s="35"/>
      <c r="G25" s="35">
        <f>SUM(G19:G24)</f>
        <v>146.34144000000001</v>
      </c>
      <c r="H25" s="35">
        <f t="shared" si="2"/>
        <v>6.3530399999999929</v>
      </c>
      <c r="I25" s="36">
        <f t="shared" si="10"/>
        <v>4.5382617416871628E-2</v>
      </c>
      <c r="J25" s="36">
        <f>G25/$G$46</f>
        <v>0.33605370392254347</v>
      </c>
      <c r="K25" s="111">
        <f t="shared" si="4"/>
        <v>0.34196640253043881</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1.8141302019360295E-3</v>
      </c>
      <c r="K26" s="108">
        <f t="shared" si="4"/>
        <v>1.8460489250279803E-3</v>
      </c>
    </row>
    <row r="27" spans="1:11" s="1" customFormat="1" x14ac:dyDescent="0.2">
      <c r="A27" s="119" t="s">
        <v>75</v>
      </c>
      <c r="B27" s="120">
        <f>B8-B4</f>
        <v>190.27200000000039</v>
      </c>
      <c r="C27" s="176">
        <f>IF(B4&gt;B7,C13,C12)</f>
        <v>0.106</v>
      </c>
      <c r="D27" s="22">
        <f>B27*C27</f>
        <v>20.168832000000041</v>
      </c>
      <c r="E27" s="73">
        <f>B27</f>
        <v>190.27200000000039</v>
      </c>
      <c r="F27" s="176">
        <f>C27</f>
        <v>0.106</v>
      </c>
      <c r="G27" s="22">
        <f>E27*F27</f>
        <v>20.168832000000041</v>
      </c>
      <c r="H27" s="22">
        <f t="shared" si="2"/>
        <v>0</v>
      </c>
      <c r="I27" s="23">
        <f t="shared" si="10"/>
        <v>0</v>
      </c>
      <c r="J27" s="23">
        <f t="shared" ref="J27:J46" si="12">G27/$G$46</f>
        <v>4.6315047175916363E-2</v>
      </c>
      <c r="K27" s="108">
        <f t="shared" ref="K27:K41" si="13">G27/$G$51</f>
        <v>4.7129937509708862E-2</v>
      </c>
    </row>
    <row r="28" spans="1:11" s="1" customFormat="1" x14ac:dyDescent="0.2">
      <c r="A28" s="119" t="s">
        <v>74</v>
      </c>
      <c r="B28" s="120">
        <f>B8-B4</f>
        <v>190.27200000000039</v>
      </c>
      <c r="C28" s="176">
        <f>0.65*C15+0.17*C16+0.18*C17</f>
        <v>9.7519999999999996E-2</v>
      </c>
      <c r="D28" s="22">
        <f>B28*C28</f>
        <v>18.555325440000036</v>
      </c>
      <c r="E28" s="73">
        <f>B28</f>
        <v>190.27200000000039</v>
      </c>
      <c r="F28" s="176">
        <f>C28</f>
        <v>9.7519999999999996E-2</v>
      </c>
      <c r="G28" s="22">
        <f>E28*F28</f>
        <v>18.555325440000036</v>
      </c>
      <c r="H28" s="22">
        <f t="shared" si="2"/>
        <v>0</v>
      </c>
      <c r="I28" s="23">
        <f t="shared" si="10"/>
        <v>0</v>
      </c>
      <c r="J28" s="23">
        <f t="shared" si="12"/>
        <v>4.2609843401843053E-2</v>
      </c>
      <c r="K28" s="108">
        <f t="shared" si="13"/>
        <v>4.3359542508932154E-2</v>
      </c>
    </row>
    <row r="29" spans="1:11" s="1" customFormat="1" x14ac:dyDescent="0.2">
      <c r="A29" s="110" t="s">
        <v>78</v>
      </c>
      <c r="B29" s="74"/>
      <c r="C29" s="35"/>
      <c r="D29" s="35">
        <f>SUM(D25,D26:D27)</f>
        <v>160.94723200000004</v>
      </c>
      <c r="E29" s="73"/>
      <c r="F29" s="35"/>
      <c r="G29" s="35">
        <f>SUM(G25,G26:G27)</f>
        <v>167.30027200000004</v>
      </c>
      <c r="H29" s="35">
        <f t="shared" si="2"/>
        <v>6.3530399999999929</v>
      </c>
      <c r="I29" s="36">
        <f t="shared" si="10"/>
        <v>3.9472813052168494E-2</v>
      </c>
      <c r="J29" s="36">
        <f t="shared" si="12"/>
        <v>0.38418288130039585</v>
      </c>
      <c r="K29" s="111">
        <f t="shared" si="13"/>
        <v>0.39094238896517564</v>
      </c>
    </row>
    <row r="30" spans="1:11" s="1" customFormat="1" x14ac:dyDescent="0.2">
      <c r="A30" s="110" t="s">
        <v>77</v>
      </c>
      <c r="B30" s="74"/>
      <c r="C30" s="35"/>
      <c r="D30" s="35">
        <f>SUM(D25,D26,D28)</f>
        <v>159.33372544000005</v>
      </c>
      <c r="E30" s="73"/>
      <c r="F30" s="35"/>
      <c r="G30" s="35">
        <f>SUM(G25,G26,G28)</f>
        <v>165.68676544000004</v>
      </c>
      <c r="H30" s="35">
        <f t="shared" si="2"/>
        <v>6.3530399999999929</v>
      </c>
      <c r="I30" s="36">
        <f t="shared" si="10"/>
        <v>3.987253786011765E-2</v>
      </c>
      <c r="J30" s="36">
        <f t="shared" si="12"/>
        <v>0.38047767752632256</v>
      </c>
      <c r="K30" s="111">
        <f t="shared" si="13"/>
        <v>0.38717199396439894</v>
      </c>
    </row>
    <row r="31" spans="1:11" x14ac:dyDescent="0.2">
      <c r="A31" s="107" t="s">
        <v>40</v>
      </c>
      <c r="B31" s="73">
        <f>B8</f>
        <v>2172.2720000000004</v>
      </c>
      <c r="C31" s="78">
        <f>VLOOKUP($B$3,'Data for Bill Impacts'!$A$6:$Y$18,15,0)</f>
        <v>5.8999999999999999E-3</v>
      </c>
      <c r="D31" s="22">
        <f>B31*C31</f>
        <v>12.816404800000003</v>
      </c>
      <c r="E31" s="73">
        <f t="shared" si="7"/>
        <v>2172.2720000000004</v>
      </c>
      <c r="F31" s="125">
        <f>VLOOKUP($B$3,'Data for Bill Impacts'!$A$6:$Y$18,24,0)</f>
        <v>5.6930000000000001E-3</v>
      </c>
      <c r="G31" s="22">
        <f>E31*F31</f>
        <v>12.366744496000003</v>
      </c>
      <c r="H31" s="22">
        <f t="shared" si="2"/>
        <v>-0.44966030400000001</v>
      </c>
      <c r="I31" s="23">
        <f t="shared" si="10"/>
        <v>-3.5084745762711859E-2</v>
      </c>
      <c r="J31" s="23">
        <f t="shared" si="12"/>
        <v>2.8398588214961728E-2</v>
      </c>
      <c r="K31" s="108">
        <f t="shared" si="13"/>
        <v>2.8898247320172779E-2</v>
      </c>
    </row>
    <row r="32" spans="1:11" x14ac:dyDescent="0.2">
      <c r="A32" s="107" t="s">
        <v>41</v>
      </c>
      <c r="B32" s="73">
        <f>B8</f>
        <v>2172.2720000000004</v>
      </c>
      <c r="C32" s="125">
        <f>VLOOKUP($B$3,'Data for Bill Impacts'!$A$6:$Y$18,16,0)</f>
        <v>3.8E-3</v>
      </c>
      <c r="D32" s="22">
        <f>B32*C32</f>
        <v>8.2546336000000018</v>
      </c>
      <c r="E32" s="73">
        <f t="shared" si="7"/>
        <v>2172.2720000000004</v>
      </c>
      <c r="F32" s="125">
        <f>VLOOKUP($B$3,'Data for Bill Impacts'!$A$6:$Y$18,25,0)</f>
        <v>4.4740000000000005E-3</v>
      </c>
      <c r="G32" s="22">
        <f>E32*F32</f>
        <v>9.7187449280000031</v>
      </c>
      <c r="H32" s="22">
        <f t="shared" si="2"/>
        <v>1.4641113280000013</v>
      </c>
      <c r="I32" s="23">
        <f t="shared" si="10"/>
        <v>0.1773684210526317</v>
      </c>
      <c r="J32" s="23">
        <f t="shared" si="12"/>
        <v>2.231780847949039E-2</v>
      </c>
      <c r="K32" s="108">
        <f t="shared" si="13"/>
        <v>2.2710479274627268E-2</v>
      </c>
    </row>
    <row r="33" spans="1:11" s="1" customFormat="1" x14ac:dyDescent="0.2">
      <c r="A33" s="110" t="s">
        <v>76</v>
      </c>
      <c r="B33" s="74"/>
      <c r="C33" s="35"/>
      <c r="D33" s="35">
        <f>SUM(D31:D32)</f>
        <v>21.071038400000006</v>
      </c>
      <c r="E33" s="73"/>
      <c r="F33" s="35"/>
      <c r="G33" s="35">
        <f>SUM(G31:G32)</f>
        <v>22.085489424000006</v>
      </c>
      <c r="H33" s="35">
        <f t="shared" si="2"/>
        <v>1.0144510239999995</v>
      </c>
      <c r="I33" s="36">
        <f t="shared" si="10"/>
        <v>4.814432989690718E-2</v>
      </c>
      <c r="J33" s="36">
        <f t="shared" si="12"/>
        <v>5.0716396694452118E-2</v>
      </c>
      <c r="K33" s="111">
        <f t="shared" si="13"/>
        <v>5.1608726594800043E-2</v>
      </c>
    </row>
    <row r="34" spans="1:11" s="1" customFormat="1" x14ac:dyDescent="0.2">
      <c r="A34" s="110" t="s">
        <v>91</v>
      </c>
      <c r="B34" s="74"/>
      <c r="C34" s="35"/>
      <c r="D34" s="35">
        <f>D29+D33</f>
        <v>182.01827040000006</v>
      </c>
      <c r="E34" s="73"/>
      <c r="F34" s="35"/>
      <c r="G34" s="35">
        <f>G29+G33</f>
        <v>189.38576142400004</v>
      </c>
      <c r="H34" s="35">
        <f t="shared" si="2"/>
        <v>7.3674910239999747</v>
      </c>
      <c r="I34" s="36">
        <f t="shared" si="10"/>
        <v>4.0476656589524276E-2</v>
      </c>
      <c r="J34" s="36">
        <f t="shared" si="12"/>
        <v>0.43489927799484795</v>
      </c>
      <c r="K34" s="111">
        <f t="shared" si="13"/>
        <v>0.44255111555997567</v>
      </c>
    </row>
    <row r="35" spans="1:11" s="1" customFormat="1" x14ac:dyDescent="0.2">
      <c r="A35" s="110" t="s">
        <v>92</v>
      </c>
      <c r="B35" s="74"/>
      <c r="C35" s="35"/>
      <c r="D35" s="35">
        <f>D30+D33</f>
        <v>180.40476384000004</v>
      </c>
      <c r="E35" s="73"/>
      <c r="F35" s="35"/>
      <c r="G35" s="35">
        <f>G30+G33</f>
        <v>187.77225486400005</v>
      </c>
      <c r="H35" s="35">
        <f t="shared" si="2"/>
        <v>7.3674910240000031</v>
      </c>
      <c r="I35" s="36">
        <f t="shared" si="10"/>
        <v>4.0838672256649437E-2</v>
      </c>
      <c r="J35" s="36">
        <f t="shared" si="12"/>
        <v>0.43119407422077466</v>
      </c>
      <c r="K35" s="111">
        <f t="shared" si="13"/>
        <v>0.43878072055919898</v>
      </c>
    </row>
    <row r="36" spans="1:11" x14ac:dyDescent="0.2">
      <c r="A36" s="107" t="s">
        <v>42</v>
      </c>
      <c r="B36" s="73">
        <f>B8</f>
        <v>2172.2720000000004</v>
      </c>
      <c r="C36" s="34">
        <v>3.5999999999999999E-3</v>
      </c>
      <c r="D36" s="22">
        <f>B36*C36</f>
        <v>7.820179200000001</v>
      </c>
      <c r="E36" s="73">
        <f t="shared" si="7"/>
        <v>2172.2720000000004</v>
      </c>
      <c r="F36" s="34">
        <v>3.5999999999999999E-3</v>
      </c>
      <c r="G36" s="22">
        <f>E36*F36</f>
        <v>7.820179200000001</v>
      </c>
      <c r="H36" s="22">
        <f t="shared" si="2"/>
        <v>0</v>
      </c>
      <c r="I36" s="23">
        <f t="shared" si="10"/>
        <v>0</v>
      </c>
      <c r="J36" s="23">
        <f t="shared" si="12"/>
        <v>1.7958004140850557E-2</v>
      </c>
      <c r="K36" s="108">
        <f t="shared" si="13"/>
        <v>1.827396633631161E-2</v>
      </c>
    </row>
    <row r="37" spans="1:11" x14ac:dyDescent="0.2">
      <c r="A37" s="107" t="s">
        <v>43</v>
      </c>
      <c r="B37" s="73">
        <f>B8</f>
        <v>2172.2720000000004</v>
      </c>
      <c r="C37" s="34">
        <v>2.0999999999999999E-3</v>
      </c>
      <c r="D37" s="22">
        <f>B37*C37</f>
        <v>4.5617712000000008</v>
      </c>
      <c r="E37" s="73">
        <f t="shared" si="7"/>
        <v>2172.2720000000004</v>
      </c>
      <c r="F37" s="34">
        <v>2.0999999999999999E-3</v>
      </c>
      <c r="G37" s="22">
        <f>E37*F37</f>
        <v>4.5617712000000008</v>
      </c>
      <c r="H37" s="22">
        <f>G37-D37</f>
        <v>0</v>
      </c>
      <c r="I37" s="23">
        <f t="shared" si="10"/>
        <v>0</v>
      </c>
      <c r="J37" s="23">
        <f t="shared" si="12"/>
        <v>1.0475502415496158E-2</v>
      </c>
      <c r="K37" s="108">
        <f t="shared" si="13"/>
        <v>1.0659813696181773E-2</v>
      </c>
    </row>
    <row r="38" spans="1:11" x14ac:dyDescent="0.2">
      <c r="A38" s="107" t="s">
        <v>96</v>
      </c>
      <c r="B38" s="73">
        <f>B8</f>
        <v>2172.2720000000004</v>
      </c>
      <c r="C38" s="34">
        <v>0</v>
      </c>
      <c r="D38" s="22">
        <f>B38*C38</f>
        <v>0</v>
      </c>
      <c r="E38" s="73">
        <f t="shared" si="7"/>
        <v>2172.2720000000004</v>
      </c>
      <c r="F38" s="34">
        <v>0</v>
      </c>
      <c r="G38" s="22">
        <f>E38*F38</f>
        <v>0</v>
      </c>
      <c r="H38" s="22">
        <f>G38-D38</f>
        <v>0</v>
      </c>
      <c r="I38" s="23" t="str">
        <f t="shared" si="10"/>
        <v>N/A</v>
      </c>
      <c r="J38" s="23">
        <f t="shared" si="12"/>
        <v>0</v>
      </c>
      <c r="K38" s="108">
        <f t="shared" si="13"/>
        <v>0</v>
      </c>
    </row>
    <row r="39" spans="1:11" x14ac:dyDescent="0.2">
      <c r="A39" s="107" t="s">
        <v>44</v>
      </c>
      <c r="B39" s="73">
        <v>1</v>
      </c>
      <c r="C39" s="22">
        <v>0.25</v>
      </c>
      <c r="D39" s="22">
        <f>B39*C39</f>
        <v>0.25</v>
      </c>
      <c r="E39" s="73">
        <f t="shared" si="7"/>
        <v>1</v>
      </c>
      <c r="F39" s="22">
        <f>C39</f>
        <v>0.25</v>
      </c>
      <c r="G39" s="22">
        <f>E39*F39</f>
        <v>0.25</v>
      </c>
      <c r="H39" s="22">
        <f t="shared" si="2"/>
        <v>0</v>
      </c>
      <c r="I39" s="23">
        <f t="shared" si="10"/>
        <v>0</v>
      </c>
      <c r="J39" s="23">
        <f t="shared" si="12"/>
        <v>5.7409183605570556E-4</v>
      </c>
      <c r="K39" s="108">
        <f t="shared" si="13"/>
        <v>5.8419269779366463E-4</v>
      </c>
    </row>
    <row r="40" spans="1:11" s="1" customFormat="1" x14ac:dyDescent="0.2">
      <c r="A40" s="110" t="s">
        <v>45</v>
      </c>
      <c r="B40" s="74"/>
      <c r="C40" s="35"/>
      <c r="D40" s="35">
        <f>SUM(D36:D39)</f>
        <v>12.631950400000001</v>
      </c>
      <c r="E40" s="73"/>
      <c r="F40" s="35"/>
      <c r="G40" s="35">
        <f>SUM(G36:G39)</f>
        <v>12.631950400000001</v>
      </c>
      <c r="H40" s="35">
        <f t="shared" si="2"/>
        <v>0</v>
      </c>
      <c r="I40" s="36">
        <f t="shared" si="10"/>
        <v>0</v>
      </c>
      <c r="J40" s="36">
        <f t="shared" si="12"/>
        <v>2.9007598392402419E-2</v>
      </c>
      <c r="K40" s="111">
        <f t="shared" si="13"/>
        <v>2.9517972730287046E-2</v>
      </c>
    </row>
    <row r="41" spans="1:11" s="1" customFormat="1" ht="13.5" thickBot="1" x14ac:dyDescent="0.25">
      <c r="A41" s="112" t="s">
        <v>46</v>
      </c>
      <c r="B41" s="113">
        <f>B4</f>
        <v>1982</v>
      </c>
      <c r="C41" s="114">
        <v>7.0000000000000001E-3</v>
      </c>
      <c r="D41" s="115">
        <f>B41*C41</f>
        <v>13.874000000000001</v>
      </c>
      <c r="E41" s="116">
        <f t="shared" si="7"/>
        <v>1982</v>
      </c>
      <c r="F41" s="114">
        <f>C41</f>
        <v>7.0000000000000001E-3</v>
      </c>
      <c r="G41" s="115">
        <f>E41*F41</f>
        <v>13.874000000000001</v>
      </c>
      <c r="H41" s="115">
        <f t="shared" si="2"/>
        <v>0</v>
      </c>
      <c r="I41" s="117">
        <f t="shared" si="10"/>
        <v>0</v>
      </c>
      <c r="J41" s="117">
        <f t="shared" si="12"/>
        <v>3.1859800533747436E-2</v>
      </c>
      <c r="K41" s="118">
        <f t="shared" si="13"/>
        <v>3.2420357956757212E-2</v>
      </c>
    </row>
    <row r="42" spans="1:11" s="1" customFormat="1" x14ac:dyDescent="0.2">
      <c r="A42" s="37" t="s">
        <v>105</v>
      </c>
      <c r="B42" s="38"/>
      <c r="C42" s="39"/>
      <c r="D42" s="39">
        <f>SUM(D14,D25,D26,D27,D33,D40,D41)</f>
        <v>407.36622080000012</v>
      </c>
      <c r="E42" s="38"/>
      <c r="F42" s="39"/>
      <c r="G42" s="39">
        <f>SUM(G14,G25,G26,G27,G33,G40,G41)</f>
        <v>414.73371182400012</v>
      </c>
      <c r="H42" s="39">
        <f t="shared" si="2"/>
        <v>7.3674910240000031</v>
      </c>
      <c r="I42" s="40">
        <f t="shared" si="10"/>
        <v>1.8085669964317281E-2</v>
      </c>
      <c r="J42" s="40">
        <f t="shared" si="12"/>
        <v>0.95238095238095244</v>
      </c>
      <c r="K42" s="41"/>
    </row>
    <row r="43" spans="1:11" x14ac:dyDescent="0.2">
      <c r="A43" s="153" t="s">
        <v>106</v>
      </c>
      <c r="B43" s="43"/>
      <c r="C43" s="26">
        <v>0.13</v>
      </c>
      <c r="D43" s="26">
        <f>D42*C43</f>
        <v>52.957608704000016</v>
      </c>
      <c r="E43" s="26"/>
      <c r="F43" s="26">
        <f>C43</f>
        <v>0.13</v>
      </c>
      <c r="G43" s="26">
        <f>G42*F43</f>
        <v>53.915382537120017</v>
      </c>
      <c r="H43" s="26">
        <f t="shared" si="2"/>
        <v>0.95777383312000097</v>
      </c>
      <c r="I43" s="44">
        <f t="shared" si="10"/>
        <v>1.8085669964317291E-2</v>
      </c>
      <c r="J43" s="44">
        <f t="shared" si="12"/>
        <v>0.12380952380952381</v>
      </c>
      <c r="K43" s="45"/>
    </row>
    <row r="44" spans="1:11" s="1" customFormat="1" x14ac:dyDescent="0.2">
      <c r="A44" s="46" t="s">
        <v>107</v>
      </c>
      <c r="B44" s="24"/>
      <c r="C44" s="25"/>
      <c r="D44" s="25">
        <f>SUM(D42:D43)</f>
        <v>460.32382950400012</v>
      </c>
      <c r="E44" s="25"/>
      <c r="F44" s="25"/>
      <c r="G44" s="25">
        <f>SUM(G42:G43)</f>
        <v>468.64909436112015</v>
      </c>
      <c r="H44" s="25">
        <f t="shared" si="2"/>
        <v>8.3252648571200325</v>
      </c>
      <c r="I44" s="27">
        <f t="shared" si="10"/>
        <v>1.8085669964317343E-2</v>
      </c>
      <c r="J44" s="27">
        <f t="shared" si="12"/>
        <v>1.0761904761904761</v>
      </c>
      <c r="K44" s="47"/>
    </row>
    <row r="45" spans="1:11" x14ac:dyDescent="0.2">
      <c r="A45" s="42" t="s">
        <v>108</v>
      </c>
      <c r="B45" s="43"/>
      <c r="C45" s="26">
        <v>-0.08</v>
      </c>
      <c r="D45" s="26">
        <f>D42*C45</f>
        <v>-32.589297664000007</v>
      </c>
      <c r="E45" s="26"/>
      <c r="F45" s="26">
        <f>C45</f>
        <v>-0.08</v>
      </c>
      <c r="G45" s="26">
        <f>G42*F45</f>
        <v>-33.178696945920009</v>
      </c>
      <c r="H45" s="26">
        <f t="shared" si="2"/>
        <v>-0.58939928192000224</v>
      </c>
      <c r="I45" s="44">
        <f t="shared" si="10"/>
        <v>-1.8085669964317343E-2</v>
      </c>
      <c r="J45" s="44">
        <f t="shared" si="12"/>
        <v>-7.6190476190476183E-2</v>
      </c>
      <c r="K45" s="45"/>
    </row>
    <row r="46" spans="1:11" s="1" customFormat="1" ht="13.5" thickBot="1" x14ac:dyDescent="0.25">
      <c r="A46" s="48" t="s">
        <v>109</v>
      </c>
      <c r="B46" s="49"/>
      <c r="C46" s="50"/>
      <c r="D46" s="50">
        <f>SUM(D44:D45)</f>
        <v>427.7345318400001</v>
      </c>
      <c r="E46" s="50"/>
      <c r="F46" s="50"/>
      <c r="G46" s="50">
        <f>SUM(G44:G45)</f>
        <v>435.47039741520013</v>
      </c>
      <c r="H46" s="50">
        <f t="shared" si="2"/>
        <v>7.7358655752000232</v>
      </c>
      <c r="I46" s="51">
        <f t="shared" si="10"/>
        <v>1.8085669964317326E-2</v>
      </c>
      <c r="J46" s="51">
        <f t="shared" si="12"/>
        <v>1</v>
      </c>
      <c r="K46" s="52"/>
    </row>
    <row r="47" spans="1:11" x14ac:dyDescent="0.2">
      <c r="A47" s="53" t="s">
        <v>110</v>
      </c>
      <c r="B47" s="54"/>
      <c r="C47" s="55"/>
      <c r="D47" s="55">
        <f>SUM(D18,D25,D26,D28,D33,D40,D41)</f>
        <v>400.19535424000014</v>
      </c>
      <c r="E47" s="55"/>
      <c r="F47" s="55"/>
      <c r="G47" s="55">
        <f>SUM(G18,G25,G26,G28,G33,G40,G41)</f>
        <v>407.56284526400009</v>
      </c>
      <c r="H47" s="55">
        <f>G47-D47</f>
        <v>7.3674910239999463</v>
      </c>
      <c r="I47" s="56">
        <f t="shared" si="10"/>
        <v>1.8409736509788683E-2</v>
      </c>
      <c r="J47" s="56"/>
      <c r="K47" s="57">
        <f>G47/$G$51</f>
        <v>0.95238095238095233</v>
      </c>
    </row>
    <row r="48" spans="1:11" x14ac:dyDescent="0.2">
      <c r="A48" s="58" t="s">
        <v>106</v>
      </c>
      <c r="B48" s="59"/>
      <c r="C48" s="31">
        <v>0.13</v>
      </c>
      <c r="D48" s="31">
        <f>D47*C48</f>
        <v>52.025396051200019</v>
      </c>
      <c r="E48" s="31"/>
      <c r="F48" s="31">
        <f>C48</f>
        <v>0.13</v>
      </c>
      <c r="G48" s="31">
        <f>G47*F48</f>
        <v>52.983169884320013</v>
      </c>
      <c r="H48" s="31">
        <f>G48-D48</f>
        <v>0.95777383311999387</v>
      </c>
      <c r="I48" s="32">
        <f t="shared" si="10"/>
        <v>1.84097365097887E-2</v>
      </c>
      <c r="J48" s="32"/>
      <c r="K48" s="60">
        <f>G48/$G$51</f>
        <v>0.12380952380952381</v>
      </c>
    </row>
    <row r="49" spans="1:11" x14ac:dyDescent="0.2">
      <c r="A49" s="149" t="s">
        <v>111</v>
      </c>
      <c r="B49" s="29"/>
      <c r="C49" s="30"/>
      <c r="D49" s="30">
        <f>SUM(D47:D48)</f>
        <v>452.22075029120015</v>
      </c>
      <c r="E49" s="30"/>
      <c r="F49" s="30"/>
      <c r="G49" s="30">
        <f>SUM(G47:G48)</f>
        <v>460.54601514832012</v>
      </c>
      <c r="H49" s="30">
        <f>G49-D49</f>
        <v>8.3252648571199757</v>
      </c>
      <c r="I49" s="33">
        <f t="shared" si="10"/>
        <v>1.8409736509788766E-2</v>
      </c>
      <c r="J49" s="33"/>
      <c r="K49" s="62">
        <f>G49/$G$51</f>
        <v>1.0761904761904761</v>
      </c>
    </row>
    <row r="50" spans="1:11" x14ac:dyDescent="0.2">
      <c r="A50" s="58" t="s">
        <v>108</v>
      </c>
      <c r="B50" s="59"/>
      <c r="C50" s="31">
        <v>-0.08</v>
      </c>
      <c r="D50" s="31">
        <f>D47*C50</f>
        <v>-32.015628339200013</v>
      </c>
      <c r="E50" s="31"/>
      <c r="F50" s="31">
        <f>C50</f>
        <v>-0.08</v>
      </c>
      <c r="G50" s="31">
        <f>G47*F50</f>
        <v>-32.605027621120009</v>
      </c>
      <c r="H50" s="31">
        <f>G50-D50</f>
        <v>-0.58939928191999513</v>
      </c>
      <c r="I50" s="32">
        <f t="shared" si="10"/>
        <v>-1.8409736509788666E-2</v>
      </c>
      <c r="J50" s="32"/>
      <c r="K50" s="60">
        <f>G50/$G$51</f>
        <v>-7.6190476190476197E-2</v>
      </c>
    </row>
    <row r="51" spans="1:11" ht="13.5" thickBot="1" x14ac:dyDescent="0.25">
      <c r="A51" s="63" t="s">
        <v>121</v>
      </c>
      <c r="B51" s="64"/>
      <c r="C51" s="65"/>
      <c r="D51" s="65">
        <f>SUM(D49:D50)</f>
        <v>420.20512195200013</v>
      </c>
      <c r="E51" s="65"/>
      <c r="F51" s="65"/>
      <c r="G51" s="65">
        <f>SUM(G49:G50)</f>
        <v>427.94098752720009</v>
      </c>
      <c r="H51" s="65">
        <f>G51-D51</f>
        <v>7.7358655751999663</v>
      </c>
      <c r="I51" s="66">
        <f t="shared" si="10"/>
        <v>1.8409736509788738E-2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6"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101</v>
      </c>
      <c r="B1" s="191"/>
      <c r="C1" s="191"/>
      <c r="D1" s="191"/>
      <c r="E1" s="191"/>
      <c r="F1" s="191"/>
      <c r="G1" s="191"/>
      <c r="H1" s="191"/>
      <c r="I1" s="191"/>
      <c r="J1" s="191"/>
      <c r="K1" s="192"/>
    </row>
    <row r="3" spans="1:11" x14ac:dyDescent="0.2">
      <c r="A3" s="13" t="s">
        <v>13</v>
      </c>
      <c r="B3" s="13" t="s">
        <v>4</v>
      </c>
    </row>
    <row r="4" spans="1:11" x14ac:dyDescent="0.2">
      <c r="A4" s="15" t="s">
        <v>62</v>
      </c>
      <c r="B4" s="15">
        <v>15000</v>
      </c>
    </row>
    <row r="5" spans="1:11" x14ac:dyDescent="0.2">
      <c r="A5" s="15" t="s">
        <v>16</v>
      </c>
      <c r="B5" s="15">
        <f>VLOOKUP($B$3,'Data for Bill Impacts'!$A$6:$Y$18,5,0)</f>
        <v>0</v>
      </c>
    </row>
    <row r="6" spans="1:11" x14ac:dyDescent="0.2">
      <c r="A6" s="15" t="s">
        <v>20</v>
      </c>
      <c r="B6" s="15">
        <f>VLOOKUP($B$3,'Data for Bill Impacts'!$A$6:$Y$18,2,0)</f>
        <v>1.0960000000000001</v>
      </c>
    </row>
    <row r="7" spans="1:11" x14ac:dyDescent="0.2">
      <c r="A7" s="15" t="s">
        <v>15</v>
      </c>
      <c r="B7" s="15">
        <f>VLOOKUP($B$3,'Data for Bill Impacts'!$A$6:$Y$18,4,0)</f>
        <v>750</v>
      </c>
    </row>
    <row r="8" spans="1:11" x14ac:dyDescent="0.2">
      <c r="A8" s="15" t="s">
        <v>82</v>
      </c>
      <c r="B8" s="15">
        <f>B4*B6</f>
        <v>16440</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05">
        <f>G12/$G$46</f>
        <v>2.1582885645623863E-2</v>
      </c>
      <c r="K12" s="106"/>
    </row>
    <row r="13" spans="1:11" x14ac:dyDescent="0.2">
      <c r="A13" s="107" t="s">
        <v>32</v>
      </c>
      <c r="B13" s="73">
        <f>IF(B4&gt;B7,(B4)-B7,0)</f>
        <v>14250</v>
      </c>
      <c r="C13" s="21">
        <v>0.106</v>
      </c>
      <c r="D13" s="22">
        <f>B13*C13</f>
        <v>1510.5</v>
      </c>
      <c r="E13" s="73">
        <f t="shared" ref="E13" si="1">B13</f>
        <v>14250</v>
      </c>
      <c r="F13" s="21">
        <f>C13</f>
        <v>0.106</v>
      </c>
      <c r="G13" s="22">
        <f>E13*F13</f>
        <v>1510.5</v>
      </c>
      <c r="H13" s="22">
        <f t="shared" ref="H13:H46" si="2">G13-D13</f>
        <v>0</v>
      </c>
      <c r="I13" s="23">
        <f t="shared" si="0"/>
        <v>0</v>
      </c>
      <c r="J13" s="23">
        <f>G13/$G$46</f>
        <v>0.47766957901413692</v>
      </c>
      <c r="K13" s="108"/>
    </row>
    <row r="14" spans="1:11" s="1" customFormat="1" x14ac:dyDescent="0.2">
      <c r="A14" s="46" t="s">
        <v>33</v>
      </c>
      <c r="B14" s="24"/>
      <c r="C14" s="25"/>
      <c r="D14" s="25">
        <f>SUM(D12:D13)</f>
        <v>1578.75</v>
      </c>
      <c r="E14" s="76"/>
      <c r="F14" s="25"/>
      <c r="G14" s="25">
        <f>SUM(G12:G13)</f>
        <v>1578.75</v>
      </c>
      <c r="H14" s="25">
        <f t="shared" si="2"/>
        <v>0</v>
      </c>
      <c r="I14" s="27">
        <f t="shared" si="0"/>
        <v>0</v>
      </c>
      <c r="J14" s="27">
        <f>G14/$G$46</f>
        <v>0.49925246465976081</v>
      </c>
      <c r="K14" s="108"/>
    </row>
    <row r="15" spans="1:11" s="1" customFormat="1" x14ac:dyDescent="0.2">
      <c r="A15" s="109" t="s">
        <v>34</v>
      </c>
      <c r="B15" s="75">
        <f>B4*0.65</f>
        <v>9750</v>
      </c>
      <c r="C15" s="28">
        <v>7.6999999999999999E-2</v>
      </c>
      <c r="D15" s="22">
        <f>B15*C15</f>
        <v>750.75</v>
      </c>
      <c r="E15" s="73">
        <f t="shared" ref="E15:E17" si="3">B15</f>
        <v>9750</v>
      </c>
      <c r="F15" s="28">
        <f>C15</f>
        <v>7.6999999999999999E-2</v>
      </c>
      <c r="G15" s="22">
        <f>E15*F15</f>
        <v>750.75</v>
      </c>
      <c r="H15" s="22">
        <f t="shared" si="2"/>
        <v>0</v>
      </c>
      <c r="I15" s="23">
        <f t="shared" si="0"/>
        <v>0</v>
      </c>
      <c r="J15" s="23"/>
      <c r="K15" s="108">
        <f t="shared" ref="K15:K26" si="4">G15/$G$51</f>
        <v>0.24796389734436139</v>
      </c>
    </row>
    <row r="16" spans="1:11" s="1" customFormat="1" x14ac:dyDescent="0.2">
      <c r="A16" s="109" t="s">
        <v>35</v>
      </c>
      <c r="B16" s="75">
        <f>B4*0.17</f>
        <v>2550</v>
      </c>
      <c r="C16" s="28">
        <v>0.113</v>
      </c>
      <c r="D16" s="22">
        <f>B16*C16</f>
        <v>288.15000000000003</v>
      </c>
      <c r="E16" s="73">
        <f t="shared" si="3"/>
        <v>2550</v>
      </c>
      <c r="F16" s="28">
        <f t="shared" ref="F16:F17" si="5">C16</f>
        <v>0.113</v>
      </c>
      <c r="G16" s="22">
        <f>E16*F16</f>
        <v>288.15000000000003</v>
      </c>
      <c r="H16" s="22">
        <f t="shared" si="2"/>
        <v>0</v>
      </c>
      <c r="I16" s="23">
        <f t="shared" si="0"/>
        <v>0</v>
      </c>
      <c r="J16" s="23"/>
      <c r="K16" s="108">
        <f t="shared" si="4"/>
        <v>9.5172556802900765E-2</v>
      </c>
    </row>
    <row r="17" spans="1:11" s="1" customFormat="1" x14ac:dyDescent="0.2">
      <c r="A17" s="109" t="s">
        <v>36</v>
      </c>
      <c r="B17" s="75">
        <f>B4*0.18</f>
        <v>2700</v>
      </c>
      <c r="C17" s="28">
        <v>0.157</v>
      </c>
      <c r="D17" s="22">
        <f>B17*C17</f>
        <v>423.9</v>
      </c>
      <c r="E17" s="73">
        <f t="shared" si="3"/>
        <v>2700</v>
      </c>
      <c r="F17" s="28">
        <f t="shared" si="5"/>
        <v>0.157</v>
      </c>
      <c r="G17" s="22">
        <f>E17*F17</f>
        <v>423.9</v>
      </c>
      <c r="H17" s="22">
        <f t="shared" si="2"/>
        <v>0</v>
      </c>
      <c r="I17" s="23">
        <f t="shared" si="0"/>
        <v>0</v>
      </c>
      <c r="J17" s="23"/>
      <c r="K17" s="108">
        <f t="shared" si="4"/>
        <v>0.14000918559343961</v>
      </c>
    </row>
    <row r="18" spans="1:11" s="1" customFormat="1" x14ac:dyDescent="0.2">
      <c r="A18" s="61" t="s">
        <v>37</v>
      </c>
      <c r="B18" s="29"/>
      <c r="C18" s="30"/>
      <c r="D18" s="30">
        <f>SUM(D15:D17)</f>
        <v>1462.8000000000002</v>
      </c>
      <c r="E18" s="77"/>
      <c r="F18" s="30"/>
      <c r="G18" s="30">
        <f>SUM(G15:G17)</f>
        <v>1462.8000000000002</v>
      </c>
      <c r="H18" s="31">
        <f t="shared" si="2"/>
        <v>0</v>
      </c>
      <c r="I18" s="32">
        <f t="shared" si="0"/>
        <v>0</v>
      </c>
      <c r="J18" s="33">
        <f t="shared" ref="J18:J23" si="6">G18/$G$46</f>
        <v>0.4625852765189537</v>
      </c>
      <c r="K18" s="62">
        <f t="shared" si="4"/>
        <v>0.48314563974070185</v>
      </c>
    </row>
    <row r="19" spans="1:11" x14ac:dyDescent="0.2">
      <c r="A19" s="107" t="s">
        <v>38</v>
      </c>
      <c r="B19" s="73">
        <v>1</v>
      </c>
      <c r="C19" s="78">
        <f>VLOOKUP($B$3,'Data for Bill Impacts'!$A$6:$Y$18,7,0)</f>
        <v>27.87</v>
      </c>
      <c r="D19" s="22">
        <f>B19*C19</f>
        <v>27.87</v>
      </c>
      <c r="E19" s="73">
        <f t="shared" ref="E19:E41" si="7">B19</f>
        <v>1</v>
      </c>
      <c r="F19" s="78">
        <f>VLOOKUP($B$3,'Data for Bill Impacts'!$A$6:$Y$18,17,0)</f>
        <v>29.56</v>
      </c>
      <c r="G19" s="22">
        <f>E19*F19</f>
        <v>29.56</v>
      </c>
      <c r="H19" s="22">
        <f t="shared" si="2"/>
        <v>1.6899999999999977</v>
      </c>
      <c r="I19" s="23">
        <f>IF(ISERROR(H19/ABS(D19)),"N/A",(H19/ABS(D19)))</f>
        <v>6.063867958378176E-2</v>
      </c>
      <c r="J19" s="23">
        <f t="shared" si="6"/>
        <v>9.3478402884196541E-3</v>
      </c>
      <c r="K19" s="108">
        <f t="shared" si="4"/>
        <v>9.7633204202455179E-3</v>
      </c>
    </row>
    <row r="20" spans="1:11" hidden="1" x14ac:dyDescent="0.2">
      <c r="A20" s="107" t="s">
        <v>114</v>
      </c>
      <c r="B20" s="73">
        <v>1</v>
      </c>
      <c r="C20" s="78">
        <v>0</v>
      </c>
      <c r="D20" s="22">
        <f t="shared" ref="D20:D21" si="8">B20*C20</f>
        <v>0</v>
      </c>
      <c r="E20" s="73">
        <f t="shared" si="7"/>
        <v>1</v>
      </c>
      <c r="F20" s="121">
        <v>0</v>
      </c>
      <c r="G20" s="22">
        <f t="shared" ref="G20:G21" si="9">E20*F20</f>
        <v>0</v>
      </c>
      <c r="H20" s="22">
        <f t="shared" si="2"/>
        <v>0</v>
      </c>
      <c r="I20" s="23" t="str">
        <f t="shared" ref="I20:I51" si="10">IF(ISERROR(H20/ABS(D20)),"N/A",(H20/ABS(D20)))</f>
        <v>N/A</v>
      </c>
      <c r="J20" s="23">
        <f t="shared" si="6"/>
        <v>0</v>
      </c>
      <c r="K20" s="108">
        <f t="shared" si="4"/>
        <v>0</v>
      </c>
    </row>
    <row r="21" spans="1:11" x14ac:dyDescent="0.2">
      <c r="A21" s="107" t="s">
        <v>85</v>
      </c>
      <c r="B21" s="73">
        <v>1</v>
      </c>
      <c r="C21" s="78">
        <f>VLOOKUP($B$3,'Data for Bill Impacts'!$A$6:$Y$18,13,0)</f>
        <v>0.73</v>
      </c>
      <c r="D21" s="22">
        <f t="shared" si="8"/>
        <v>0.73</v>
      </c>
      <c r="E21" s="73">
        <f t="shared" si="7"/>
        <v>1</v>
      </c>
      <c r="F21" s="121">
        <f>VLOOKUP($B$3,'Data for Bill Impacts'!$A$6:$Y$18,22,0)</f>
        <v>2E-3</v>
      </c>
      <c r="G21" s="22">
        <f t="shared" si="9"/>
        <v>2E-3</v>
      </c>
      <c r="H21" s="22">
        <f t="shared" si="2"/>
        <v>-0.72799999999999998</v>
      </c>
      <c r="I21" s="23">
        <f t="shared" si="10"/>
        <v>-0.99726027397260275</v>
      </c>
      <c r="J21" s="23">
        <f t="shared" si="6"/>
        <v>6.3246551342487514E-7</v>
      </c>
      <c r="K21" s="108">
        <f t="shared" si="4"/>
        <v>6.6057648310186186E-7</v>
      </c>
    </row>
    <row r="22" spans="1:11" hidden="1" x14ac:dyDescent="0.2">
      <c r="A22" s="107" t="s">
        <v>123</v>
      </c>
      <c r="B22" s="73">
        <f>B4</f>
        <v>15000</v>
      </c>
      <c r="C22" s="78">
        <v>0</v>
      </c>
      <c r="D22" s="22">
        <f>B22*C22</f>
        <v>0</v>
      </c>
      <c r="E22" s="73">
        <f>B22</f>
        <v>15000</v>
      </c>
      <c r="F22" s="78">
        <f>C22</f>
        <v>0</v>
      </c>
      <c r="G22" s="22">
        <f>E22*F22</f>
        <v>0</v>
      </c>
      <c r="H22" s="22">
        <f>G22-D22</f>
        <v>0</v>
      </c>
      <c r="I22" s="23" t="str">
        <f t="shared" si="10"/>
        <v>N/A</v>
      </c>
      <c r="J22" s="23">
        <f t="shared" si="6"/>
        <v>0</v>
      </c>
      <c r="K22" s="108">
        <f t="shared" si="4"/>
        <v>0</v>
      </c>
    </row>
    <row r="23" spans="1:11" x14ac:dyDescent="0.2">
      <c r="A23" s="107" t="s">
        <v>39</v>
      </c>
      <c r="B23" s="73">
        <f>IF($B$9="kWh",$B$4,$B$5)</f>
        <v>15000</v>
      </c>
      <c r="C23" s="125">
        <f>VLOOKUP($B$3,'Data for Bill Impacts'!$A$6:$Y$18,10,0)</f>
        <v>5.6000000000000001E-2</v>
      </c>
      <c r="D23" s="22">
        <f>B23*C23</f>
        <v>840</v>
      </c>
      <c r="E23" s="73">
        <f t="shared" si="7"/>
        <v>15000</v>
      </c>
      <c r="F23" s="125">
        <f>VLOOKUP($B$3,'Data for Bill Impacts'!$A$6:$Y$18,19,0)</f>
        <v>5.8900000000000001E-2</v>
      </c>
      <c r="G23" s="22">
        <f>E23*F23</f>
        <v>883.5</v>
      </c>
      <c r="H23" s="22">
        <f t="shared" si="2"/>
        <v>43.5</v>
      </c>
      <c r="I23" s="23">
        <f t="shared" si="10"/>
        <v>5.1785714285714289E-2</v>
      </c>
      <c r="J23" s="23">
        <f t="shared" si="6"/>
        <v>0.27939164055543858</v>
      </c>
      <c r="K23" s="108">
        <f t="shared" si="4"/>
        <v>0.2918096614102475</v>
      </c>
    </row>
    <row r="24" spans="1:11" x14ac:dyDescent="0.2">
      <c r="A24" s="107" t="s">
        <v>124</v>
      </c>
      <c r="B24" s="73">
        <f>IF($B$9="kWh",$B$4,$B$5)</f>
        <v>15000</v>
      </c>
      <c r="C24" s="78">
        <f>VLOOKUP($B$3,'Data for Bill Impacts'!$A$6:$Y$18,14,0)</f>
        <v>2.0000000000000001E-4</v>
      </c>
      <c r="D24" s="22">
        <f>B24*C24</f>
        <v>3</v>
      </c>
      <c r="E24" s="73">
        <f t="shared" si="7"/>
        <v>15000</v>
      </c>
      <c r="F24" s="125">
        <f>VLOOKUP($B$3,'Data for Bill Impacts'!$A$6:$Y$18,23,0)</f>
        <v>2.0000000000000002E-5</v>
      </c>
      <c r="G24" s="22">
        <f>E24*F24</f>
        <v>0.30000000000000004</v>
      </c>
      <c r="H24" s="22">
        <f t="shared" si="2"/>
        <v>-2.7</v>
      </c>
      <c r="I24" s="23">
        <f t="shared" si="10"/>
        <v>-0.9</v>
      </c>
      <c r="J24" s="23">
        <f t="shared" ref="J24" si="11">G24/$G$46</f>
        <v>9.4869827013731276E-5</v>
      </c>
      <c r="K24" s="108">
        <f t="shared" si="4"/>
        <v>9.9086472465279295E-5</v>
      </c>
    </row>
    <row r="25" spans="1:11" s="1" customFormat="1" x14ac:dyDescent="0.2">
      <c r="A25" s="110" t="s">
        <v>72</v>
      </c>
      <c r="B25" s="74"/>
      <c r="C25" s="35"/>
      <c r="D25" s="35">
        <f>SUM(D19:D24)</f>
        <v>871.6</v>
      </c>
      <c r="E25" s="73"/>
      <c r="F25" s="35"/>
      <c r="G25" s="35">
        <f>SUM(G19:G24)</f>
        <v>913.36199999999997</v>
      </c>
      <c r="H25" s="35">
        <f t="shared" si="2"/>
        <v>41.761999999999944</v>
      </c>
      <c r="I25" s="36">
        <f t="shared" si="10"/>
        <v>4.7914180816888412E-2</v>
      </c>
      <c r="J25" s="36">
        <f>G25/$G$46</f>
        <v>0.28883498313638539</v>
      </c>
      <c r="K25" s="111">
        <f t="shared" si="4"/>
        <v>0.30167272887944135</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0"/>
        <v>0</v>
      </c>
      <c r="J26" s="23">
        <f>G26/$G$46</f>
        <v>2.4982387780282569E-4</v>
      </c>
      <c r="K26" s="108">
        <f t="shared" si="4"/>
        <v>2.6092771082523547E-4</v>
      </c>
    </row>
    <row r="27" spans="1:11" s="1" customFormat="1" x14ac:dyDescent="0.2">
      <c r="A27" s="119" t="s">
        <v>75</v>
      </c>
      <c r="B27" s="120">
        <f>B8-B4</f>
        <v>1440</v>
      </c>
      <c r="C27" s="176">
        <f>IF(B4&gt;B7,C13,C12)</f>
        <v>0.106</v>
      </c>
      <c r="D27" s="22">
        <f>B27*C27</f>
        <v>152.63999999999999</v>
      </c>
      <c r="E27" s="73">
        <f>B27</f>
        <v>1440</v>
      </c>
      <c r="F27" s="176">
        <f>C27</f>
        <v>0.106</v>
      </c>
      <c r="G27" s="22">
        <f>E27*F27</f>
        <v>152.63999999999999</v>
      </c>
      <c r="H27" s="22">
        <f t="shared" si="2"/>
        <v>0</v>
      </c>
      <c r="I27" s="23">
        <f t="shared" si="10"/>
        <v>0</v>
      </c>
      <c r="J27" s="23">
        <f t="shared" ref="J27:J46" si="12">G27/$G$46</f>
        <v>4.8269767984586466E-2</v>
      </c>
      <c r="K27" s="108">
        <f t="shared" ref="K27:K41" si="13">G27/$G$51</f>
        <v>5.0415197190334091E-2</v>
      </c>
    </row>
    <row r="28" spans="1:11" s="1" customFormat="1" x14ac:dyDescent="0.2">
      <c r="A28" s="119" t="s">
        <v>74</v>
      </c>
      <c r="B28" s="120">
        <f>B8-B4</f>
        <v>1440</v>
      </c>
      <c r="C28" s="176">
        <f>0.65*C15+0.17*C16+0.18*C17</f>
        <v>9.7519999999999996E-2</v>
      </c>
      <c r="D28" s="22">
        <f>B28*C28</f>
        <v>140.4288</v>
      </c>
      <c r="E28" s="73">
        <f>B28</f>
        <v>1440</v>
      </c>
      <c r="F28" s="176">
        <f>C28</f>
        <v>9.7519999999999996E-2</v>
      </c>
      <c r="G28" s="22">
        <f>E28*F28</f>
        <v>140.4288</v>
      </c>
      <c r="H28" s="22">
        <f t="shared" si="2"/>
        <v>0</v>
      </c>
      <c r="I28" s="23">
        <f t="shared" si="10"/>
        <v>0</v>
      </c>
      <c r="J28" s="23">
        <f t="shared" si="12"/>
        <v>4.4408186545819552E-2</v>
      </c>
      <c r="K28" s="108">
        <f t="shared" si="13"/>
        <v>4.6381981415107368E-2</v>
      </c>
    </row>
    <row r="29" spans="1:11" s="1" customFormat="1" x14ac:dyDescent="0.2">
      <c r="A29" s="110" t="s">
        <v>78</v>
      </c>
      <c r="B29" s="74"/>
      <c r="C29" s="35"/>
      <c r="D29" s="35">
        <f>SUM(D25,D26:D27)</f>
        <v>1025.03</v>
      </c>
      <c r="E29" s="73"/>
      <c r="F29" s="35"/>
      <c r="G29" s="35">
        <f>SUM(G25,G26:G27)</f>
        <v>1066.7919999999999</v>
      </c>
      <c r="H29" s="35">
        <f t="shared" si="2"/>
        <v>41.761999999999944</v>
      </c>
      <c r="I29" s="36">
        <f t="shared" si="10"/>
        <v>4.0742222178863002E-2</v>
      </c>
      <c r="J29" s="36">
        <f t="shared" si="12"/>
        <v>0.33735457499877469</v>
      </c>
      <c r="K29" s="111">
        <f t="shared" si="13"/>
        <v>0.35234885378060066</v>
      </c>
    </row>
    <row r="30" spans="1:11" s="1" customFormat="1" x14ac:dyDescent="0.2">
      <c r="A30" s="110" t="s">
        <v>77</v>
      </c>
      <c r="B30" s="74"/>
      <c r="C30" s="35"/>
      <c r="D30" s="35">
        <f>SUM(D25,D26,D28)</f>
        <v>1012.8188</v>
      </c>
      <c r="E30" s="73"/>
      <c r="F30" s="35"/>
      <c r="G30" s="35">
        <f>SUM(G25,G26,G28)</f>
        <v>1054.5808</v>
      </c>
      <c r="H30" s="35">
        <f t="shared" si="2"/>
        <v>41.761999999999944</v>
      </c>
      <c r="I30" s="36">
        <f t="shared" si="10"/>
        <v>4.1233436820090563E-2</v>
      </c>
      <c r="J30" s="36">
        <f t="shared" si="12"/>
        <v>0.33349299356000778</v>
      </c>
      <c r="K30" s="111">
        <f t="shared" si="13"/>
        <v>0.34831563800537396</v>
      </c>
    </row>
    <row r="31" spans="1:11" x14ac:dyDescent="0.2">
      <c r="A31" s="107" t="s">
        <v>40</v>
      </c>
      <c r="B31" s="73">
        <f>B8</f>
        <v>16440</v>
      </c>
      <c r="C31" s="78">
        <f>VLOOKUP($B$3,'Data for Bill Impacts'!$A$6:$Y$18,15,0)</f>
        <v>5.8999999999999999E-3</v>
      </c>
      <c r="D31" s="22">
        <f>B31*C31</f>
        <v>96.995999999999995</v>
      </c>
      <c r="E31" s="73">
        <f t="shared" si="7"/>
        <v>16440</v>
      </c>
      <c r="F31" s="125">
        <f>VLOOKUP($B$3,'Data for Bill Impacts'!$A$6:$Y$18,24,0)</f>
        <v>5.6930000000000001E-3</v>
      </c>
      <c r="G31" s="22">
        <f>E31*F31</f>
        <v>93.592920000000007</v>
      </c>
      <c r="H31" s="22">
        <f t="shared" si="2"/>
        <v>-3.4030799999999886</v>
      </c>
      <c r="I31" s="23">
        <f t="shared" si="10"/>
        <v>-3.5084745762711748E-2</v>
      </c>
      <c r="J31" s="23">
        <f t="shared" si="12"/>
        <v>2.9597147100366632E-2</v>
      </c>
      <c r="K31" s="108">
        <f t="shared" si="13"/>
        <v>3.0912640968416956E-2</v>
      </c>
    </row>
    <row r="32" spans="1:11" x14ac:dyDescent="0.2">
      <c r="A32" s="107" t="s">
        <v>41</v>
      </c>
      <c r="B32" s="73">
        <f>B8</f>
        <v>16440</v>
      </c>
      <c r="C32" s="125">
        <f>VLOOKUP($B$3,'Data for Bill Impacts'!$A$6:$Y$18,16,0)</f>
        <v>3.8E-3</v>
      </c>
      <c r="D32" s="22">
        <f>B32*C32</f>
        <v>62.472000000000001</v>
      </c>
      <c r="E32" s="73">
        <f t="shared" si="7"/>
        <v>16440</v>
      </c>
      <c r="F32" s="125">
        <f>VLOOKUP($B$3,'Data for Bill Impacts'!$A$6:$Y$18,25,0)</f>
        <v>4.4740000000000005E-3</v>
      </c>
      <c r="G32" s="22">
        <f>E32*F32</f>
        <v>73.552560000000014</v>
      </c>
      <c r="H32" s="22">
        <f t="shared" si="2"/>
        <v>11.080560000000013</v>
      </c>
      <c r="I32" s="23">
        <f t="shared" si="10"/>
        <v>0.17736842105263179</v>
      </c>
      <c r="J32" s="23">
        <f t="shared" si="12"/>
        <v>2.3259728812056971E-2</v>
      </c>
      <c r="K32" s="108">
        <f t="shared" si="13"/>
        <v>2.4293545703969344E-2</v>
      </c>
    </row>
    <row r="33" spans="1:11" s="1" customFormat="1" x14ac:dyDescent="0.2">
      <c r="A33" s="110" t="s">
        <v>76</v>
      </c>
      <c r="B33" s="74"/>
      <c r="C33" s="35"/>
      <c r="D33" s="35">
        <f>SUM(D31:D32)</f>
        <v>159.46799999999999</v>
      </c>
      <c r="E33" s="73"/>
      <c r="F33" s="35"/>
      <c r="G33" s="35">
        <f>SUM(G31:G32)</f>
        <v>167.14548000000002</v>
      </c>
      <c r="H33" s="35">
        <f t="shared" si="2"/>
        <v>7.6774800000000312</v>
      </c>
      <c r="I33" s="36">
        <f t="shared" si="10"/>
        <v>4.8144329896907416E-2</v>
      </c>
      <c r="J33" s="36">
        <f t="shared" si="12"/>
        <v>5.2856875912423607E-2</v>
      </c>
      <c r="K33" s="111">
        <f t="shared" si="13"/>
        <v>5.5206186672386304E-2</v>
      </c>
    </row>
    <row r="34" spans="1:11" s="1" customFormat="1" x14ac:dyDescent="0.2">
      <c r="A34" s="110" t="s">
        <v>91</v>
      </c>
      <c r="B34" s="74"/>
      <c r="C34" s="35"/>
      <c r="D34" s="35">
        <f>D29+D33</f>
        <v>1184.498</v>
      </c>
      <c r="E34" s="73"/>
      <c r="F34" s="35"/>
      <c r="G34" s="35">
        <f>G29+G33</f>
        <v>1233.9374800000001</v>
      </c>
      <c r="H34" s="35">
        <f t="shared" si="2"/>
        <v>49.439480000000003</v>
      </c>
      <c r="I34" s="36">
        <f t="shared" si="10"/>
        <v>4.1738761905887559E-2</v>
      </c>
      <c r="J34" s="36">
        <f t="shared" si="12"/>
        <v>0.3902114509111983</v>
      </c>
      <c r="K34" s="111">
        <f t="shared" si="13"/>
        <v>0.40755504045298702</v>
      </c>
    </row>
    <row r="35" spans="1:11" s="1" customFormat="1" x14ac:dyDescent="0.2">
      <c r="A35" s="110" t="s">
        <v>92</v>
      </c>
      <c r="B35" s="74"/>
      <c r="C35" s="35"/>
      <c r="D35" s="35">
        <f>D30+D33</f>
        <v>1172.2868000000001</v>
      </c>
      <c r="E35" s="73"/>
      <c r="F35" s="35"/>
      <c r="G35" s="35">
        <f>G30+G33</f>
        <v>1221.7262799999999</v>
      </c>
      <c r="H35" s="35">
        <f t="shared" si="2"/>
        <v>49.439479999999776</v>
      </c>
      <c r="I35" s="36">
        <f t="shared" si="10"/>
        <v>4.2173536373522051E-2</v>
      </c>
      <c r="J35" s="36">
        <f t="shared" si="12"/>
        <v>0.38634986947243133</v>
      </c>
      <c r="K35" s="111">
        <f t="shared" si="13"/>
        <v>0.40352182467776021</v>
      </c>
    </row>
    <row r="36" spans="1:11" x14ac:dyDescent="0.2">
      <c r="A36" s="107" t="s">
        <v>42</v>
      </c>
      <c r="B36" s="73">
        <f>B8</f>
        <v>16440</v>
      </c>
      <c r="C36" s="34">
        <v>3.5999999999999999E-3</v>
      </c>
      <c r="D36" s="22">
        <f>B36*C36</f>
        <v>59.183999999999997</v>
      </c>
      <c r="E36" s="73">
        <f t="shared" si="7"/>
        <v>16440</v>
      </c>
      <c r="F36" s="34">
        <v>3.5999999999999999E-3</v>
      </c>
      <c r="G36" s="22">
        <f>E36*F36</f>
        <v>59.183999999999997</v>
      </c>
      <c r="H36" s="22">
        <f t="shared" si="2"/>
        <v>0</v>
      </c>
      <c r="I36" s="23">
        <f t="shared" si="10"/>
        <v>0</v>
      </c>
      <c r="J36" s="23">
        <f t="shared" si="12"/>
        <v>1.8715919473268904E-2</v>
      </c>
      <c r="K36" s="108">
        <f t="shared" si="13"/>
        <v>1.9547779287950297E-2</v>
      </c>
    </row>
    <row r="37" spans="1:11" x14ac:dyDescent="0.2">
      <c r="A37" s="107" t="s">
        <v>43</v>
      </c>
      <c r="B37" s="73">
        <f>B8</f>
        <v>16440</v>
      </c>
      <c r="C37" s="34">
        <v>2.0999999999999999E-3</v>
      </c>
      <c r="D37" s="22">
        <f>B37*C37</f>
        <v>34.524000000000001</v>
      </c>
      <c r="E37" s="73">
        <f t="shared" si="7"/>
        <v>16440</v>
      </c>
      <c r="F37" s="34">
        <v>2.0999999999999999E-3</v>
      </c>
      <c r="G37" s="22">
        <f>E37*F37</f>
        <v>34.524000000000001</v>
      </c>
      <c r="H37" s="22">
        <f>G37-D37</f>
        <v>0</v>
      </c>
      <c r="I37" s="23">
        <f t="shared" si="10"/>
        <v>0</v>
      </c>
      <c r="J37" s="23">
        <f t="shared" si="12"/>
        <v>1.0917619692740195E-2</v>
      </c>
      <c r="K37" s="108">
        <f t="shared" si="13"/>
        <v>1.140287125130434E-2</v>
      </c>
    </row>
    <row r="38" spans="1:11" x14ac:dyDescent="0.2">
      <c r="A38" s="107" t="s">
        <v>96</v>
      </c>
      <c r="B38" s="73">
        <f>B8</f>
        <v>16440</v>
      </c>
      <c r="C38" s="34">
        <v>0</v>
      </c>
      <c r="D38" s="22">
        <f>B38*C38</f>
        <v>0</v>
      </c>
      <c r="E38" s="73">
        <f t="shared" si="7"/>
        <v>16440</v>
      </c>
      <c r="F38" s="34">
        <v>0</v>
      </c>
      <c r="G38" s="22">
        <f>E38*F38</f>
        <v>0</v>
      </c>
      <c r="H38" s="22">
        <f>G38-D38</f>
        <v>0</v>
      </c>
      <c r="I38" s="23" t="str">
        <f t="shared" si="10"/>
        <v>N/A</v>
      </c>
      <c r="J38" s="23">
        <f t="shared" ref="J38" si="14">G38/$G$46</f>
        <v>0</v>
      </c>
      <c r="K38" s="108">
        <f t="shared" ref="K38" si="15">G38/$G$51</f>
        <v>0</v>
      </c>
    </row>
    <row r="39" spans="1:11" x14ac:dyDescent="0.2">
      <c r="A39" s="107" t="s">
        <v>44</v>
      </c>
      <c r="B39" s="73">
        <v>1</v>
      </c>
      <c r="C39" s="22">
        <v>0.25</v>
      </c>
      <c r="D39" s="22">
        <f>B39*C39</f>
        <v>0.25</v>
      </c>
      <c r="E39" s="73">
        <f t="shared" si="7"/>
        <v>1</v>
      </c>
      <c r="F39" s="22">
        <f>C39</f>
        <v>0.25</v>
      </c>
      <c r="G39" s="22">
        <f>E39*F39</f>
        <v>0.25</v>
      </c>
      <c r="H39" s="22">
        <f t="shared" si="2"/>
        <v>0</v>
      </c>
      <c r="I39" s="23">
        <f t="shared" si="10"/>
        <v>0</v>
      </c>
      <c r="J39" s="23">
        <f t="shared" si="12"/>
        <v>7.905818917810939E-5</v>
      </c>
      <c r="K39" s="108">
        <f t="shared" si="13"/>
        <v>8.2572060387732732E-5</v>
      </c>
    </row>
    <row r="40" spans="1:11" s="1" customFormat="1" x14ac:dyDescent="0.2">
      <c r="A40" s="110" t="s">
        <v>45</v>
      </c>
      <c r="B40" s="74"/>
      <c r="C40" s="35"/>
      <c r="D40" s="35">
        <f>SUM(D36:D39)</f>
        <v>93.957999999999998</v>
      </c>
      <c r="E40" s="73"/>
      <c r="F40" s="35"/>
      <c r="G40" s="35">
        <f>SUM(G36:G39)</f>
        <v>93.957999999999998</v>
      </c>
      <c r="H40" s="35">
        <f t="shared" si="2"/>
        <v>0</v>
      </c>
      <c r="I40" s="36">
        <f t="shared" si="10"/>
        <v>0</v>
      </c>
      <c r="J40" s="36">
        <f t="shared" si="12"/>
        <v>2.9712597355187206E-2</v>
      </c>
      <c r="K40" s="111">
        <f t="shared" si="13"/>
        <v>3.1033222599642366E-2</v>
      </c>
    </row>
    <row r="41" spans="1:11" s="1" customFormat="1" ht="13.5" thickBot="1" x14ac:dyDescent="0.25">
      <c r="A41" s="112" t="s">
        <v>46</v>
      </c>
      <c r="B41" s="113">
        <f>B4</f>
        <v>15000</v>
      </c>
      <c r="C41" s="114">
        <v>7.0000000000000001E-3</v>
      </c>
      <c r="D41" s="115">
        <f>B41*C41</f>
        <v>105</v>
      </c>
      <c r="E41" s="116">
        <f t="shared" si="7"/>
        <v>15000</v>
      </c>
      <c r="F41" s="114">
        <f>C41</f>
        <v>7.0000000000000001E-3</v>
      </c>
      <c r="G41" s="115">
        <f>E41*F41</f>
        <v>105</v>
      </c>
      <c r="H41" s="115">
        <f t="shared" si="2"/>
        <v>0</v>
      </c>
      <c r="I41" s="117">
        <f t="shared" si="10"/>
        <v>0</v>
      </c>
      <c r="J41" s="117">
        <f t="shared" si="12"/>
        <v>3.3204439454805945E-2</v>
      </c>
      <c r="K41" s="118">
        <f t="shared" si="13"/>
        <v>3.4680265362847747E-2</v>
      </c>
    </row>
    <row r="42" spans="1:11" s="1" customFormat="1" x14ac:dyDescent="0.2">
      <c r="A42" s="37" t="s">
        <v>105</v>
      </c>
      <c r="B42" s="38"/>
      <c r="C42" s="39"/>
      <c r="D42" s="39">
        <f>SUM(D14,D25,D26,D27,D33,D40,D41)</f>
        <v>2962.2059999999997</v>
      </c>
      <c r="E42" s="38"/>
      <c r="F42" s="39"/>
      <c r="G42" s="39">
        <f>SUM(G14,G25,G26,G27,G33,G40,G41)</f>
        <v>3011.6454800000001</v>
      </c>
      <c r="H42" s="39">
        <f t="shared" si="2"/>
        <v>49.439480000000458</v>
      </c>
      <c r="I42" s="40">
        <f t="shared" si="10"/>
        <v>1.6690088400334233E-2</v>
      </c>
      <c r="J42" s="40">
        <f t="shared" si="12"/>
        <v>0.95238095238095233</v>
      </c>
      <c r="K42" s="41"/>
    </row>
    <row r="43" spans="1:11" x14ac:dyDescent="0.2">
      <c r="A43" s="153" t="s">
        <v>106</v>
      </c>
      <c r="B43" s="43"/>
      <c r="C43" s="26">
        <v>0.13</v>
      </c>
      <c r="D43" s="26">
        <f>D42*C43</f>
        <v>385.08677999999998</v>
      </c>
      <c r="E43" s="26"/>
      <c r="F43" s="26">
        <f>C43</f>
        <v>0.13</v>
      </c>
      <c r="G43" s="26">
        <f>G42*F43</f>
        <v>391.51391240000004</v>
      </c>
      <c r="H43" s="26">
        <f t="shared" si="2"/>
        <v>6.4271324000000618</v>
      </c>
      <c r="I43" s="44">
        <f t="shared" si="10"/>
        <v>1.6690088400334237E-2</v>
      </c>
      <c r="J43" s="44">
        <f t="shared" si="12"/>
        <v>0.1238095238095238</v>
      </c>
      <c r="K43" s="45"/>
    </row>
    <row r="44" spans="1:11" s="1" customFormat="1" x14ac:dyDescent="0.2">
      <c r="A44" s="46" t="s">
        <v>107</v>
      </c>
      <c r="B44" s="24"/>
      <c r="C44" s="25"/>
      <c r="D44" s="25">
        <f>SUM(D42:D43)</f>
        <v>3347.2927799999998</v>
      </c>
      <c r="E44" s="25"/>
      <c r="F44" s="25"/>
      <c r="G44" s="25">
        <f>SUM(G42:G43)</f>
        <v>3403.1593924000003</v>
      </c>
      <c r="H44" s="25">
        <f t="shared" si="2"/>
        <v>55.866612400000577</v>
      </c>
      <c r="I44" s="27">
        <f t="shared" si="10"/>
        <v>1.6690088400334247E-2</v>
      </c>
      <c r="J44" s="27">
        <f t="shared" si="12"/>
        <v>1.0761904761904761</v>
      </c>
      <c r="K44" s="47"/>
    </row>
    <row r="45" spans="1:11" x14ac:dyDescent="0.2">
      <c r="A45" s="42" t="s">
        <v>108</v>
      </c>
      <c r="B45" s="43"/>
      <c r="C45" s="26">
        <v>-0.08</v>
      </c>
      <c r="D45" s="26">
        <f>D42*C45</f>
        <v>-236.97647999999998</v>
      </c>
      <c r="E45" s="26"/>
      <c r="F45" s="26">
        <f>C45</f>
        <v>-0.08</v>
      </c>
      <c r="G45" s="26">
        <f>G42*F45</f>
        <v>-240.93163840000003</v>
      </c>
      <c r="H45" s="25">
        <f t="shared" si="2"/>
        <v>-3.9551584000000446</v>
      </c>
      <c r="I45" s="44">
        <f t="shared" si="10"/>
        <v>-1.6690088400334264E-2</v>
      </c>
      <c r="J45" s="44">
        <f t="shared" si="12"/>
        <v>-7.6190476190476183E-2</v>
      </c>
      <c r="K45" s="45"/>
    </row>
    <row r="46" spans="1:11" s="1" customFormat="1" ht="13.5" thickBot="1" x14ac:dyDescent="0.25">
      <c r="A46" s="48" t="s">
        <v>109</v>
      </c>
      <c r="B46" s="49"/>
      <c r="C46" s="50"/>
      <c r="D46" s="50">
        <f>SUM(D44:D45)</f>
        <v>3110.3163</v>
      </c>
      <c r="E46" s="50"/>
      <c r="F46" s="50"/>
      <c r="G46" s="50">
        <f>SUM(G44:G45)</f>
        <v>3162.2277540000005</v>
      </c>
      <c r="H46" s="50">
        <f t="shared" si="2"/>
        <v>51.911454000000504</v>
      </c>
      <c r="I46" s="51">
        <f t="shared" si="10"/>
        <v>1.6690088400334237E-2</v>
      </c>
      <c r="J46" s="51">
        <f t="shared" si="12"/>
        <v>1</v>
      </c>
      <c r="K46" s="52"/>
    </row>
    <row r="47" spans="1:11" x14ac:dyDescent="0.2">
      <c r="A47" s="53" t="s">
        <v>110</v>
      </c>
      <c r="B47" s="54"/>
      <c r="C47" s="55"/>
      <c r="D47" s="55">
        <f>SUM(D18,D25,D26,D28,D33,D40,D41)</f>
        <v>2834.0448000000001</v>
      </c>
      <c r="E47" s="55"/>
      <c r="F47" s="55"/>
      <c r="G47" s="55">
        <f>SUM(G18,G25,G26,G28,G33,G40,G41)</f>
        <v>2883.4842800000006</v>
      </c>
      <c r="H47" s="55">
        <f>G47-D47</f>
        <v>49.439480000000458</v>
      </c>
      <c r="I47" s="56">
        <f t="shared" si="10"/>
        <v>1.744484773141217E-2</v>
      </c>
      <c r="J47" s="56"/>
      <c r="K47" s="57">
        <f>G47/$G$51</f>
        <v>0.95238095238095233</v>
      </c>
    </row>
    <row r="48" spans="1:11" x14ac:dyDescent="0.2">
      <c r="A48" s="58" t="s">
        <v>106</v>
      </c>
      <c r="B48" s="59"/>
      <c r="C48" s="31">
        <v>0.13</v>
      </c>
      <c r="D48" s="31">
        <f>D47*C48</f>
        <v>368.42582400000003</v>
      </c>
      <c r="E48" s="31"/>
      <c r="F48" s="31">
        <f>C48</f>
        <v>0.13</v>
      </c>
      <c r="G48" s="31">
        <f>G47*F48</f>
        <v>374.8529564000001</v>
      </c>
      <c r="H48" s="31">
        <f>G48-D48</f>
        <v>6.4271324000000618</v>
      </c>
      <c r="I48" s="32">
        <f t="shared" si="10"/>
        <v>1.7444847731412173E-2</v>
      </c>
      <c r="J48" s="32"/>
      <c r="K48" s="60">
        <f>G48/$G$51</f>
        <v>0.12380952380952381</v>
      </c>
    </row>
    <row r="49" spans="1:11" x14ac:dyDescent="0.2">
      <c r="A49" s="149" t="s">
        <v>111</v>
      </c>
      <c r="B49" s="29"/>
      <c r="C49" s="30"/>
      <c r="D49" s="30">
        <f>SUM(D47:D48)</f>
        <v>3202.470624</v>
      </c>
      <c r="E49" s="30"/>
      <c r="F49" s="30"/>
      <c r="G49" s="30">
        <f>SUM(G47:G48)</f>
        <v>3258.3372364000006</v>
      </c>
      <c r="H49" s="30">
        <f>G49-D49</f>
        <v>55.866612400000577</v>
      </c>
      <c r="I49" s="33">
        <f t="shared" si="10"/>
        <v>1.7444847731412187E-2</v>
      </c>
      <c r="J49" s="33"/>
      <c r="K49" s="62">
        <f>G49/$G$51</f>
        <v>1.0761904761904761</v>
      </c>
    </row>
    <row r="50" spans="1:11" x14ac:dyDescent="0.2">
      <c r="A50" s="58" t="s">
        <v>108</v>
      </c>
      <c r="B50" s="59"/>
      <c r="C50" s="31">
        <v>-0.08</v>
      </c>
      <c r="D50" s="31">
        <f>D47*C50</f>
        <v>-226.72358400000002</v>
      </c>
      <c r="E50" s="31"/>
      <c r="F50" s="31">
        <f>C50</f>
        <v>-0.08</v>
      </c>
      <c r="G50" s="31">
        <f>G47*F50</f>
        <v>-230.67874240000006</v>
      </c>
      <c r="H50" s="31">
        <f>G50-D50</f>
        <v>-3.9551584000000446</v>
      </c>
      <c r="I50" s="32">
        <f t="shared" si="10"/>
        <v>-1.7444847731412205E-2</v>
      </c>
      <c r="J50" s="32"/>
      <c r="K50" s="60">
        <f>G50/$G$51</f>
        <v>-7.6190476190476197E-2</v>
      </c>
    </row>
    <row r="51" spans="1:11" ht="13.5" thickBot="1" x14ac:dyDescent="0.25">
      <c r="A51" s="63" t="s">
        <v>121</v>
      </c>
      <c r="B51" s="64"/>
      <c r="C51" s="65"/>
      <c r="D51" s="65">
        <f>SUM(D49:D50)</f>
        <v>2975.7470400000002</v>
      </c>
      <c r="E51" s="65"/>
      <c r="F51" s="65"/>
      <c r="G51" s="65">
        <f>SUM(G49:G50)</f>
        <v>3027.6584940000007</v>
      </c>
      <c r="H51" s="65">
        <f>G51-D51</f>
        <v>51.911454000000504</v>
      </c>
      <c r="I51" s="66">
        <f t="shared" si="10"/>
        <v>1.7444847731412177E-2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4"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40"/>
  <sheetViews>
    <sheetView tabSelected="1" view="pageLayout" topLeftCell="B1" zoomScaleNormal="100" zoomScaleSheetLayoutView="115"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98</v>
      </c>
      <c r="B1" s="191"/>
      <c r="C1" s="191"/>
      <c r="D1" s="191"/>
      <c r="E1" s="191"/>
      <c r="F1" s="191"/>
      <c r="G1" s="191"/>
      <c r="H1" s="191"/>
      <c r="I1" s="191"/>
      <c r="J1" s="192"/>
    </row>
    <row r="3" spans="1:10" x14ac:dyDescent="0.2">
      <c r="A3" s="13" t="s">
        <v>13</v>
      </c>
      <c r="B3" s="13" t="s">
        <v>7</v>
      </c>
    </row>
    <row r="4" spans="1:10" x14ac:dyDescent="0.2">
      <c r="A4" s="15" t="s">
        <v>62</v>
      </c>
      <c r="B4" s="79">
        <v>15000</v>
      </c>
    </row>
    <row r="5" spans="1:10" x14ac:dyDescent="0.2">
      <c r="A5" s="15" t="s">
        <v>16</v>
      </c>
      <c r="B5" s="79">
        <v>60</v>
      </c>
    </row>
    <row r="6" spans="1:10" x14ac:dyDescent="0.2">
      <c r="A6" s="15" t="s">
        <v>20</v>
      </c>
      <c r="B6" s="80">
        <f>VLOOKUP($B$3,'Data for Bill Impacts'!$A$6:$Y$18,2,0)</f>
        <v>1.05</v>
      </c>
    </row>
    <row r="7" spans="1:10" x14ac:dyDescent="0.2">
      <c r="A7" s="81" t="s">
        <v>48</v>
      </c>
      <c r="B7" s="82">
        <f>B4/(B5*730)</f>
        <v>0.34246575342465752</v>
      </c>
    </row>
    <row r="8" spans="1:10" x14ac:dyDescent="0.2">
      <c r="A8" s="15" t="s">
        <v>15</v>
      </c>
      <c r="B8" s="79">
        <f>VLOOKUP($B$3,'Data for Bill Impacts'!$A$6:$Y$18,4,0)</f>
        <v>0</v>
      </c>
    </row>
    <row r="9" spans="1:10" x14ac:dyDescent="0.2">
      <c r="A9" s="15" t="s">
        <v>82</v>
      </c>
      <c r="B9" s="79">
        <f>B4*B6</f>
        <v>15750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15750</v>
      </c>
      <c r="C13" s="103">
        <v>9.0999999999999998E-2</v>
      </c>
      <c r="D13" s="104">
        <f>B13*C13</f>
        <v>1433.25</v>
      </c>
      <c r="E13" s="102">
        <f>B13</f>
        <v>15750</v>
      </c>
      <c r="F13" s="103">
        <f>C13</f>
        <v>9.0999999999999998E-2</v>
      </c>
      <c r="G13" s="104">
        <f>E13*F13</f>
        <v>1433.25</v>
      </c>
      <c r="H13" s="104">
        <f>G13-D13</f>
        <v>0</v>
      </c>
      <c r="I13" s="105">
        <f t="shared" ref="I13:I18" si="0">IF(ISERROR(H13/ABS(D13)),"N/A",(H13/ABS(D13)))</f>
        <v>0</v>
      </c>
      <c r="J13" s="123">
        <f t="shared" ref="J13:J21" si="1">G13/$G$38</f>
        <v>0.49873052056323253</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1433.25</v>
      </c>
      <c r="E15" s="76"/>
      <c r="F15" s="25"/>
      <c r="G15" s="25">
        <f>SUM(G13:G14)</f>
        <v>1433.25</v>
      </c>
      <c r="H15" s="25">
        <f t="shared" si="3"/>
        <v>0</v>
      </c>
      <c r="I15" s="27">
        <f t="shared" si="0"/>
        <v>0</v>
      </c>
      <c r="J15" s="47">
        <f t="shared" si="1"/>
        <v>0.49873052056323253</v>
      </c>
    </row>
    <row r="16" spans="1:10" s="1" customFormat="1" x14ac:dyDescent="0.2">
      <c r="A16" s="107" t="s">
        <v>38</v>
      </c>
      <c r="B16" s="73">
        <v>1</v>
      </c>
      <c r="C16" s="78">
        <f>VLOOKUP($B$3,'Data for Bill Impacts'!$A$6:$Y$18,7,0)</f>
        <v>93.97</v>
      </c>
      <c r="D16" s="22">
        <f>B16*C16</f>
        <v>93.97</v>
      </c>
      <c r="E16" s="73">
        <f t="shared" ref="E16:E33" si="4">B16</f>
        <v>1</v>
      </c>
      <c r="F16" s="78">
        <f>VLOOKUP($B$3,'Data for Bill Impacts'!$A$6:$Y$18,17,0)</f>
        <v>100.72</v>
      </c>
      <c r="G16" s="22">
        <f>E16*F16</f>
        <v>100.72</v>
      </c>
      <c r="H16" s="22">
        <f t="shared" si="3"/>
        <v>6.75</v>
      </c>
      <c r="I16" s="23">
        <f t="shared" si="0"/>
        <v>7.1831435564541871E-2</v>
      </c>
      <c r="J16" s="124">
        <f t="shared" si="1"/>
        <v>3.5047715354005776E-2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78">
        <f>VLOOKUP($B$3,'Data for Bill Impacts'!$A$6:$Y$18,13,0)</f>
        <v>1.42</v>
      </c>
      <c r="D19" s="22">
        <f t="shared" si="6"/>
        <v>1.42</v>
      </c>
      <c r="E19" s="73">
        <f t="shared" si="4"/>
        <v>1</v>
      </c>
      <c r="F19" s="78">
        <f>VLOOKUP($B$3,'Data for Bill Impacts'!$A$6:$Y$18,22,0)</f>
        <v>1.7999999999999999E-2</v>
      </c>
      <c r="G19" s="22">
        <f t="shared" si="5"/>
        <v>1.7999999999999999E-2</v>
      </c>
      <c r="H19" s="22">
        <f t="shared" si="3"/>
        <v>-1.4019999999999999</v>
      </c>
      <c r="I19" s="23">
        <f>IF(ISERROR(H19/ABS(D19)),"N/A",(H19/ABS(D19)))</f>
        <v>-0.98732394366197185</v>
      </c>
      <c r="J19" s="124">
        <f t="shared" si="1"/>
        <v>6.2634916240280372E-6</v>
      </c>
    </row>
    <row r="20" spans="1:10" x14ac:dyDescent="0.2">
      <c r="A20" s="107" t="s">
        <v>39</v>
      </c>
      <c r="B20" s="73">
        <f>IF($B$10="kWh",$B$4,$B$5)</f>
        <v>60</v>
      </c>
      <c r="C20" s="78">
        <f>VLOOKUP($B$3,'Data for Bill Impacts'!$A$6:$Y$18,10,0)</f>
        <v>9.1837</v>
      </c>
      <c r="D20" s="22">
        <f>B20*C20</f>
        <v>551.02200000000005</v>
      </c>
      <c r="E20" s="73">
        <f t="shared" si="4"/>
        <v>60</v>
      </c>
      <c r="F20" s="125">
        <f>VLOOKUP($B$3,'Data for Bill Impacts'!$A$6:$Y$18,19,0)</f>
        <v>9.6226000000000003</v>
      </c>
      <c r="G20" s="22">
        <f>E20*F20</f>
        <v>577.35599999999999</v>
      </c>
      <c r="H20" s="22">
        <f t="shared" si="3"/>
        <v>26.333999999999946</v>
      </c>
      <c r="I20" s="23">
        <f t="shared" ref="I20:I38" si="7">IF(ISERROR(H20/ABS(D20)),"N/A",(H20/ABS(D20)))</f>
        <v>4.7791195269880231E-2</v>
      </c>
      <c r="J20" s="124">
        <f t="shared" si="1"/>
        <v>0.20090358167124067</v>
      </c>
    </row>
    <row r="21" spans="1:10" s="1" customFormat="1" x14ac:dyDescent="0.2">
      <c r="A21" s="107" t="s">
        <v>124</v>
      </c>
      <c r="B21" s="73">
        <f>IF($B$10="kWh",$B$4,$B$5)</f>
        <v>60</v>
      </c>
      <c r="C21" s="78">
        <f>VLOOKUP($B$3,'Data for Bill Impacts'!$A$6:$Y$18,14,0)</f>
        <v>-6.2300000000000001E-2</v>
      </c>
      <c r="D21" s="22">
        <f>B21*C21</f>
        <v>-3.738</v>
      </c>
      <c r="E21" s="73">
        <f t="shared" si="4"/>
        <v>60</v>
      </c>
      <c r="F21" s="125">
        <f>VLOOKUP($B$3,'Data for Bill Impacts'!$A$6:$Y$18,23,0)</f>
        <v>1.1179999999999999E-2</v>
      </c>
      <c r="G21" s="22">
        <f>E21*F21</f>
        <v>0.67079999999999995</v>
      </c>
      <c r="H21" s="22">
        <f t="shared" si="3"/>
        <v>4.4088000000000003</v>
      </c>
      <c r="I21" s="23">
        <f t="shared" si="7"/>
        <v>1.1794542536115571</v>
      </c>
      <c r="J21" s="124">
        <f t="shared" si="1"/>
        <v>2.3341945452211153E-4</v>
      </c>
    </row>
    <row r="22" spans="1:10" s="1" customFormat="1" x14ac:dyDescent="0.2">
      <c r="A22" s="107" t="s">
        <v>112</v>
      </c>
      <c r="B22" s="73">
        <f>B9</f>
        <v>15750</v>
      </c>
      <c r="C22" s="125">
        <f>VLOOKUP($B$3,'Data for Bill Impacts'!$A$6:$Y$18,20,0)</f>
        <v>-1E-3</v>
      </c>
      <c r="D22" s="22">
        <f>B22*C22</f>
        <v>-15.75</v>
      </c>
      <c r="E22" s="73">
        <f>B22</f>
        <v>15750</v>
      </c>
      <c r="F22" s="125">
        <f>VLOOKUP($B$3,'Data for Bill Impacts'!$A$6:$Y$18,21,0)</f>
        <v>0</v>
      </c>
      <c r="G22" s="22">
        <f>E22*F22</f>
        <v>0</v>
      </c>
      <c r="H22" s="22">
        <f t="shared" ref="H22" si="8">G22-D22</f>
        <v>15.75</v>
      </c>
      <c r="I22" s="23">
        <f t="shared" si="7"/>
        <v>1</v>
      </c>
      <c r="J22" s="124">
        <f t="shared" ref="J22" si="9">G22/$G$38</f>
        <v>0</v>
      </c>
    </row>
    <row r="23" spans="1:10" x14ac:dyDescent="0.2">
      <c r="A23" s="110" t="s">
        <v>93</v>
      </c>
      <c r="B23" s="74"/>
      <c r="C23" s="35"/>
      <c r="D23" s="35">
        <f>SUM(D16:D22)</f>
        <v>626.92399999999998</v>
      </c>
      <c r="E23" s="73"/>
      <c r="F23" s="35"/>
      <c r="G23" s="35">
        <f>SUM(G16:G22)</f>
        <v>678.76480000000004</v>
      </c>
      <c r="H23" s="35">
        <f t="shared" si="3"/>
        <v>51.840800000000058</v>
      </c>
      <c r="I23" s="36">
        <f t="shared" si="7"/>
        <v>8.2690724872552426E-2</v>
      </c>
      <c r="J23" s="111">
        <f t="shared" ref="J23:J29" si="10">G23/$G$38</f>
        <v>0.2361909799713926</v>
      </c>
    </row>
    <row r="24" spans="1:10" x14ac:dyDescent="0.2">
      <c r="A24" s="107" t="s">
        <v>40</v>
      </c>
      <c r="B24" s="73">
        <f>B5</f>
        <v>60</v>
      </c>
      <c r="C24" s="78">
        <f>VLOOKUP($B$3,'Data for Bill Impacts'!$A$6:$Y$18,15,0)</f>
        <v>2.1128999999999998</v>
      </c>
      <c r="D24" s="22">
        <f>B24*C24</f>
        <v>126.77399999999999</v>
      </c>
      <c r="E24" s="73">
        <f t="shared" si="4"/>
        <v>60</v>
      </c>
      <c r="F24" s="125">
        <f>VLOOKUP($B$3,'Data for Bill Impacts'!$A$6:$Y$18,24,0)</f>
        <v>2.2310400000000001</v>
      </c>
      <c r="G24" s="22">
        <f>E24*F24</f>
        <v>133.86240000000001</v>
      </c>
      <c r="H24" s="22">
        <f t="shared" si="3"/>
        <v>7.0884000000000214</v>
      </c>
      <c r="I24" s="23">
        <f t="shared" si="7"/>
        <v>5.5913673150646208E-2</v>
      </c>
      <c r="J24" s="124">
        <f t="shared" si="10"/>
        <v>4.6580334509571712E-2</v>
      </c>
    </row>
    <row r="25" spans="1:10" s="1" customFormat="1" x14ac:dyDescent="0.2">
      <c r="A25" s="107" t="s">
        <v>41</v>
      </c>
      <c r="B25" s="73">
        <f>B5</f>
        <v>60</v>
      </c>
      <c r="C25" s="78">
        <f>VLOOKUP($B$3,'Data for Bill Impacts'!$A$6:$Y$18,16,0)</f>
        <v>1.3900999999999999</v>
      </c>
      <c r="D25" s="22">
        <f>B25*C25</f>
        <v>83.405999999999992</v>
      </c>
      <c r="E25" s="73">
        <f t="shared" si="4"/>
        <v>60</v>
      </c>
      <c r="F25" s="125">
        <f>VLOOKUP($B$3,'Data for Bill Impacts'!$A$6:$Y$18,25,0)</f>
        <v>1.7046749999999999</v>
      </c>
      <c r="G25" s="22">
        <f>E25*F25</f>
        <v>102.28049999999999</v>
      </c>
      <c r="H25" s="22">
        <f t="shared" si="3"/>
        <v>18.874499999999998</v>
      </c>
      <c r="I25" s="23">
        <f t="shared" si="7"/>
        <v>0.22629666930436659</v>
      </c>
      <c r="J25" s="124">
        <f t="shared" si="10"/>
        <v>3.5590725280633312E-2</v>
      </c>
    </row>
    <row r="26" spans="1:10" x14ac:dyDescent="0.2">
      <c r="A26" s="110" t="s">
        <v>76</v>
      </c>
      <c r="B26" s="74"/>
      <c r="C26" s="35"/>
      <c r="D26" s="35">
        <f>SUM(D24:D25)</f>
        <v>210.17999999999998</v>
      </c>
      <c r="E26" s="73"/>
      <c r="F26" s="35"/>
      <c r="G26" s="35">
        <f>SUM(G24:G25)</f>
        <v>236.1429</v>
      </c>
      <c r="H26" s="35">
        <f t="shared" si="3"/>
        <v>25.962900000000019</v>
      </c>
      <c r="I26" s="36">
        <f t="shared" si="7"/>
        <v>0.12352697687696271</v>
      </c>
      <c r="J26" s="111">
        <f t="shared" si="10"/>
        <v>8.2171059790205031E-2</v>
      </c>
    </row>
    <row r="27" spans="1:10" s="1" customFormat="1" x14ac:dyDescent="0.2">
      <c r="A27" s="110" t="s">
        <v>80</v>
      </c>
      <c r="B27" s="74"/>
      <c r="C27" s="35"/>
      <c r="D27" s="35">
        <f>D23+D26</f>
        <v>837.10399999999993</v>
      </c>
      <c r="E27" s="73"/>
      <c r="F27" s="35"/>
      <c r="G27" s="35">
        <f>G23+G26</f>
        <v>914.90769999999998</v>
      </c>
      <c r="H27" s="35">
        <f t="shared" si="3"/>
        <v>77.803700000000049</v>
      </c>
      <c r="I27" s="36">
        <f t="shared" si="7"/>
        <v>9.2943887497849792E-2</v>
      </c>
      <c r="J27" s="111">
        <f t="shared" si="10"/>
        <v>0.3183620397615976</v>
      </c>
    </row>
    <row r="28" spans="1:10" x14ac:dyDescent="0.2">
      <c r="A28" s="107" t="s">
        <v>42</v>
      </c>
      <c r="B28" s="73">
        <f>B9</f>
        <v>15750</v>
      </c>
      <c r="C28" s="34">
        <v>3.5999999999999999E-3</v>
      </c>
      <c r="D28" s="22">
        <f>B28*C28</f>
        <v>56.699999999999996</v>
      </c>
      <c r="E28" s="73">
        <f t="shared" si="4"/>
        <v>15750</v>
      </c>
      <c r="F28" s="34">
        <v>3.5999999999999999E-3</v>
      </c>
      <c r="G28" s="22">
        <f>E28*F28</f>
        <v>56.699999999999996</v>
      </c>
      <c r="H28" s="22">
        <f t="shared" si="3"/>
        <v>0</v>
      </c>
      <c r="I28" s="23">
        <f t="shared" si="7"/>
        <v>0</v>
      </c>
      <c r="J28" s="124">
        <f t="shared" si="10"/>
        <v>1.9729998615688318E-2</v>
      </c>
    </row>
    <row r="29" spans="1:10" x14ac:dyDescent="0.2">
      <c r="A29" s="107" t="s">
        <v>43</v>
      </c>
      <c r="B29" s="73">
        <f>B9</f>
        <v>15750</v>
      </c>
      <c r="C29" s="34">
        <v>2.0999999999999999E-3</v>
      </c>
      <c r="D29" s="22">
        <f>B29*C29</f>
        <v>33.074999999999996</v>
      </c>
      <c r="E29" s="73">
        <f t="shared" si="4"/>
        <v>15750</v>
      </c>
      <c r="F29" s="34">
        <v>2.0999999999999999E-3</v>
      </c>
      <c r="G29" s="22">
        <f>E29*F29</f>
        <v>33.074999999999996</v>
      </c>
      <c r="H29" s="22">
        <f>G29-D29</f>
        <v>0</v>
      </c>
      <c r="I29" s="23">
        <f t="shared" si="7"/>
        <v>0</v>
      </c>
      <c r="J29" s="124">
        <f t="shared" si="10"/>
        <v>1.1509165859151519E-2</v>
      </c>
    </row>
    <row r="30" spans="1:10" x14ac:dyDescent="0.2">
      <c r="A30" s="107" t="s">
        <v>96</v>
      </c>
      <c r="B30" s="73">
        <f>B9</f>
        <v>15750</v>
      </c>
      <c r="C30" s="34">
        <v>0</v>
      </c>
      <c r="D30" s="22">
        <f>B30*C30</f>
        <v>0</v>
      </c>
      <c r="E30" s="73">
        <f t="shared" si="4"/>
        <v>15750</v>
      </c>
      <c r="F30" s="34">
        <v>0</v>
      </c>
      <c r="G30" s="22">
        <f>E30*F30</f>
        <v>0</v>
      </c>
      <c r="H30" s="22">
        <f>G30-D30</f>
        <v>0</v>
      </c>
      <c r="I30" s="23" t="str">
        <f t="shared" si="7"/>
        <v>N/A</v>
      </c>
      <c r="J30" s="124">
        <f t="shared" ref="J30" si="11">G30/$G$38</f>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ref="J31:J38" si="12">G31/$G$38</f>
        <v>8.6992939222611641E-5</v>
      </c>
    </row>
    <row r="32" spans="1:10" x14ac:dyDescent="0.2">
      <c r="A32" s="110" t="s">
        <v>45</v>
      </c>
      <c r="B32" s="74"/>
      <c r="C32" s="35"/>
      <c r="D32" s="35">
        <f>SUM(D28:D31)</f>
        <v>90.024999999999991</v>
      </c>
      <c r="E32" s="73"/>
      <c r="F32" s="35"/>
      <c r="G32" s="35">
        <f>SUM(G28:G31)</f>
        <v>90.024999999999991</v>
      </c>
      <c r="H32" s="35">
        <f t="shared" si="3"/>
        <v>0</v>
      </c>
      <c r="I32" s="36">
        <f t="shared" si="7"/>
        <v>0</v>
      </c>
      <c r="J32" s="111">
        <f t="shared" si="12"/>
        <v>3.1326157414062451E-2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3"/>
        <v>0</v>
      </c>
      <c r="I33" s="117">
        <f t="shared" si="7"/>
        <v>0</v>
      </c>
      <c r="J33" s="118">
        <f t="shared" si="12"/>
        <v>3.653703447349689E-2</v>
      </c>
    </row>
    <row r="34" spans="1:10" x14ac:dyDescent="0.2">
      <c r="A34" s="37" t="s">
        <v>115</v>
      </c>
      <c r="B34" s="38"/>
      <c r="C34" s="39"/>
      <c r="D34" s="39">
        <f>SUM(D15,D23,D26,D32,D33)</f>
        <v>2465.3789999999999</v>
      </c>
      <c r="E34" s="38"/>
      <c r="F34" s="39"/>
      <c r="G34" s="39">
        <f>SUM(G15,G23,G26,G32,G33)</f>
        <v>2543.1826999999998</v>
      </c>
      <c r="H34" s="39">
        <f t="shared" si="3"/>
        <v>77.803699999999935</v>
      </c>
      <c r="I34" s="40">
        <f t="shared" si="7"/>
        <v>3.155851493827113E-2</v>
      </c>
      <c r="J34" s="41">
        <f t="shared" si="12"/>
        <v>0.88495575221238942</v>
      </c>
    </row>
    <row r="35" spans="1:10" x14ac:dyDescent="0.2">
      <c r="A35" s="46" t="s">
        <v>106</v>
      </c>
      <c r="B35" s="43"/>
      <c r="C35" s="26">
        <v>0.13</v>
      </c>
      <c r="D35" s="26">
        <f>D34*C35</f>
        <v>320.49927000000002</v>
      </c>
      <c r="E35" s="26"/>
      <c r="F35" s="26">
        <f>C35</f>
        <v>0.13</v>
      </c>
      <c r="G35" s="26">
        <f>G34*F35</f>
        <v>330.61375099999998</v>
      </c>
      <c r="H35" s="26">
        <f t="shared" si="3"/>
        <v>10.114480999999955</v>
      </c>
      <c r="I35" s="44">
        <f t="shared" si="7"/>
        <v>3.1558514938271012E-2</v>
      </c>
      <c r="J35" s="45">
        <f t="shared" si="12"/>
        <v>0.11504424778761062</v>
      </c>
    </row>
    <row r="36" spans="1:10" x14ac:dyDescent="0.2">
      <c r="A36" s="46" t="s">
        <v>107</v>
      </c>
      <c r="B36" s="24"/>
      <c r="C36" s="25"/>
      <c r="D36" s="25">
        <f>SUM(D34:D35)</f>
        <v>2785.8782700000002</v>
      </c>
      <c r="E36" s="25"/>
      <c r="F36" s="25"/>
      <c r="G36" s="25">
        <f>SUM(G34:G35)</f>
        <v>2873.7964509999997</v>
      </c>
      <c r="H36" s="25">
        <f t="shared" si="3"/>
        <v>87.918180999999549</v>
      </c>
      <c r="I36" s="27">
        <f t="shared" si="7"/>
        <v>3.1558514938270991E-2</v>
      </c>
      <c r="J36" s="47">
        <f t="shared" si="12"/>
        <v>1</v>
      </c>
    </row>
    <row r="37" spans="1:10" x14ac:dyDescent="0.2">
      <c r="A37" s="46" t="s">
        <v>108</v>
      </c>
      <c r="B37" s="43"/>
      <c r="C37" s="26">
        <v>0</v>
      </c>
      <c r="D37" s="26">
        <f>D34*C37</f>
        <v>0</v>
      </c>
      <c r="E37" s="26"/>
      <c r="F37" s="26">
        <f>C37</f>
        <v>0</v>
      </c>
      <c r="G37" s="26">
        <f>G34*F37</f>
        <v>0</v>
      </c>
      <c r="H37" s="26">
        <f t="shared" si="3"/>
        <v>0</v>
      </c>
      <c r="I37" s="44" t="str">
        <f t="shared" si="7"/>
        <v>N/A</v>
      </c>
      <c r="J37" s="45">
        <f t="shared" si="12"/>
        <v>0</v>
      </c>
    </row>
    <row r="38" spans="1:10" ht="13.5" thickBot="1" x14ac:dyDescent="0.25">
      <c r="A38" s="46" t="s">
        <v>109</v>
      </c>
      <c r="B38" s="49"/>
      <c r="C38" s="50"/>
      <c r="D38" s="50">
        <f>SUM(D36:D37)</f>
        <v>2785.8782700000002</v>
      </c>
      <c r="E38" s="50"/>
      <c r="F38" s="50"/>
      <c r="G38" s="50">
        <f>SUM(G36:G37)</f>
        <v>2873.7964509999997</v>
      </c>
      <c r="H38" s="50">
        <f t="shared" si="3"/>
        <v>87.918180999999549</v>
      </c>
      <c r="I38" s="51">
        <f t="shared" si="7"/>
        <v>3.1558514938270991E-2</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120</v>
      </c>
      <c r="B1" s="191"/>
      <c r="C1" s="191"/>
      <c r="D1" s="191"/>
      <c r="E1" s="191"/>
      <c r="F1" s="191"/>
      <c r="G1" s="191"/>
      <c r="H1" s="191"/>
      <c r="I1" s="191"/>
      <c r="J1" s="192"/>
    </row>
    <row r="3" spans="1:10" x14ac:dyDescent="0.2">
      <c r="A3" s="13" t="s">
        <v>13</v>
      </c>
      <c r="B3" s="13" t="s">
        <v>7</v>
      </c>
    </row>
    <row r="4" spans="1:10" x14ac:dyDescent="0.2">
      <c r="A4" s="15" t="s">
        <v>62</v>
      </c>
      <c r="B4" s="79">
        <f>VLOOKUP(B3,'Data for Bill Impacts'!A22:D34,3,FALSE)</f>
        <v>50525</v>
      </c>
    </row>
    <row r="5" spans="1:10" x14ac:dyDescent="0.2">
      <c r="A5" s="15" t="s">
        <v>16</v>
      </c>
      <c r="B5" s="79">
        <f>VLOOKUP(B3,'Data for Bill Impacts'!A22:D34,4,FALSE)</f>
        <v>135</v>
      </c>
    </row>
    <row r="6" spans="1:10" x14ac:dyDescent="0.2">
      <c r="A6" s="15" t="s">
        <v>20</v>
      </c>
      <c r="B6" s="80">
        <f>VLOOKUP($B$3,'Data for Bill Impacts'!$A$6:$Y$18,2,0)</f>
        <v>1.05</v>
      </c>
    </row>
    <row r="7" spans="1:10" x14ac:dyDescent="0.2">
      <c r="A7" s="81" t="s">
        <v>48</v>
      </c>
      <c r="B7" s="82">
        <f>B4/(B5*730)</f>
        <v>0.51268391679350589</v>
      </c>
    </row>
    <row r="8" spans="1:10" x14ac:dyDescent="0.2">
      <c r="A8" s="15" t="s">
        <v>15</v>
      </c>
      <c r="B8" s="79">
        <f>VLOOKUP($B$3,'Data for Bill Impacts'!$A$6:$Y$18,4,0)</f>
        <v>0</v>
      </c>
    </row>
    <row r="9" spans="1:10" x14ac:dyDescent="0.2">
      <c r="A9" s="15" t="s">
        <v>82</v>
      </c>
      <c r="B9" s="79">
        <f>B4*B6</f>
        <v>53051.25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53051.25</v>
      </c>
      <c r="C13" s="103">
        <v>9.0999999999999998E-2</v>
      </c>
      <c r="D13" s="104">
        <f>B13*C13</f>
        <v>4827.6637499999997</v>
      </c>
      <c r="E13" s="102">
        <f>B13</f>
        <v>53051.25</v>
      </c>
      <c r="F13" s="103">
        <f>C13</f>
        <v>9.0999999999999998E-2</v>
      </c>
      <c r="G13" s="104">
        <f>E13*F13</f>
        <v>4827.6637499999997</v>
      </c>
      <c r="H13" s="104">
        <f>G13-D13</f>
        <v>0</v>
      </c>
      <c r="I13" s="105">
        <f t="shared" ref="I13:I18" si="0">IF(ISERROR(H13/ABS(D13)),"N/A",(H13/ABS(D13)))</f>
        <v>0</v>
      </c>
      <c r="J13" s="123">
        <f t="shared" ref="J13:J21" si="1">G13/$G$38</f>
        <v>0.57604136694452679</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4827.6637499999997</v>
      </c>
      <c r="E15" s="76"/>
      <c r="F15" s="25"/>
      <c r="G15" s="25">
        <f>SUM(G13:G14)</f>
        <v>4827.6637499999997</v>
      </c>
      <c r="H15" s="25">
        <f t="shared" si="3"/>
        <v>0</v>
      </c>
      <c r="I15" s="27">
        <f t="shared" si="0"/>
        <v>0</v>
      </c>
      <c r="J15" s="47">
        <f t="shared" si="1"/>
        <v>0.57604136694452679</v>
      </c>
    </row>
    <row r="16" spans="1:10" s="1" customFormat="1" x14ac:dyDescent="0.2">
      <c r="A16" s="107" t="s">
        <v>38</v>
      </c>
      <c r="B16" s="73">
        <v>1</v>
      </c>
      <c r="C16" s="78">
        <f>VLOOKUP($B$3,'Data for Bill Impacts'!$A$6:$Y$18,7,0)</f>
        <v>93.97</v>
      </c>
      <c r="D16" s="22">
        <f>B16*C16</f>
        <v>93.97</v>
      </c>
      <c r="E16" s="73">
        <f t="shared" ref="E16:E33" si="4">B16</f>
        <v>1</v>
      </c>
      <c r="F16" s="78">
        <f>VLOOKUP($B$3,'Data for Bill Impacts'!$A$6:$Y$18,17,0)</f>
        <v>100.72</v>
      </c>
      <c r="G16" s="22">
        <f>E16*F16</f>
        <v>100.72</v>
      </c>
      <c r="H16" s="22">
        <f t="shared" si="3"/>
        <v>6.75</v>
      </c>
      <c r="I16" s="23">
        <f t="shared" si="0"/>
        <v>7.1831435564541871E-2</v>
      </c>
      <c r="J16" s="124">
        <f t="shared" si="1"/>
        <v>1.2018004874231918E-2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78">
        <f>VLOOKUP($B$3,'Data for Bill Impacts'!$A$6:$Y$18,13,0)</f>
        <v>1.42</v>
      </c>
      <c r="D19" s="22">
        <f t="shared" si="6"/>
        <v>1.42</v>
      </c>
      <c r="E19" s="73">
        <f t="shared" si="4"/>
        <v>1</v>
      </c>
      <c r="F19" s="78">
        <f>VLOOKUP($B$3,'Data for Bill Impacts'!$A$6:$Y$18,22,0)</f>
        <v>1.7999999999999999E-2</v>
      </c>
      <c r="G19" s="22">
        <f t="shared" si="5"/>
        <v>1.7999999999999999E-2</v>
      </c>
      <c r="H19" s="22">
        <f t="shared" si="3"/>
        <v>-1.4019999999999999</v>
      </c>
      <c r="I19" s="23">
        <f>IF(ISERROR(H19/ABS(D19)),"N/A",(H19/ABS(D19)))</f>
        <v>-0.98732394366197185</v>
      </c>
      <c r="J19" s="124">
        <f t="shared" si="1"/>
        <v>2.1477768837983968E-6</v>
      </c>
    </row>
    <row r="20" spans="1:10" x14ac:dyDescent="0.2">
      <c r="A20" s="107" t="s">
        <v>39</v>
      </c>
      <c r="B20" s="73">
        <f>IF($B$10="kWh",$B$4,$B$5)</f>
        <v>135</v>
      </c>
      <c r="C20" s="78">
        <f>VLOOKUP($B$3,'Data for Bill Impacts'!$A$6:$Y$18,10,0)</f>
        <v>9.1837</v>
      </c>
      <c r="D20" s="22">
        <f>B20*C20</f>
        <v>1239.7995000000001</v>
      </c>
      <c r="E20" s="73">
        <f t="shared" si="4"/>
        <v>135</v>
      </c>
      <c r="F20" s="125">
        <f>VLOOKUP($B$3,'Data for Bill Impacts'!$A$6:$Y$18,19,0)</f>
        <v>9.6226000000000003</v>
      </c>
      <c r="G20" s="22">
        <f>E20*F20</f>
        <v>1299.0509999999999</v>
      </c>
      <c r="H20" s="22">
        <f t="shared" si="3"/>
        <v>59.251499999999851</v>
      </c>
      <c r="I20" s="23">
        <f t="shared" ref="I20:I38" si="7">IF(ISERROR(H20/ABS(D20)),"N/A",(H20/ABS(D20)))</f>
        <v>4.779119526988021E-2</v>
      </c>
      <c r="J20" s="124">
        <f t="shared" si="1"/>
        <v>0.1550039838152884</v>
      </c>
    </row>
    <row r="21" spans="1:10" s="1" customFormat="1" x14ac:dyDescent="0.2">
      <c r="A21" s="107" t="s">
        <v>124</v>
      </c>
      <c r="B21" s="73">
        <f>IF($B$10="kWh",$B$4,$B$5)</f>
        <v>135</v>
      </c>
      <c r="C21" s="78">
        <f>VLOOKUP($B$3,'Data for Bill Impacts'!$A$6:$Y$18,14,0)</f>
        <v>-6.2300000000000001E-2</v>
      </c>
      <c r="D21" s="22">
        <f>B21*C21</f>
        <v>-8.4105000000000008</v>
      </c>
      <c r="E21" s="73">
        <f t="shared" si="4"/>
        <v>135</v>
      </c>
      <c r="F21" s="125">
        <f>VLOOKUP($B$3,'Data for Bill Impacts'!$A$6:$Y$18,23,0)</f>
        <v>1.1179999999999999E-2</v>
      </c>
      <c r="G21" s="22">
        <f>E21*F21</f>
        <v>1.5092999999999999</v>
      </c>
      <c r="H21" s="22">
        <f t="shared" si="3"/>
        <v>9.9198000000000004</v>
      </c>
      <c r="I21" s="23">
        <f t="shared" si="7"/>
        <v>1.1794542536115569</v>
      </c>
      <c r="J21" s="124">
        <f t="shared" si="1"/>
        <v>1.8009109170649557E-4</v>
      </c>
    </row>
    <row r="22" spans="1:10" s="1" customFormat="1" x14ac:dyDescent="0.2">
      <c r="A22" s="107" t="s">
        <v>112</v>
      </c>
      <c r="B22" s="73">
        <f>B9</f>
        <v>53051.25</v>
      </c>
      <c r="C22" s="125">
        <f>VLOOKUP($B$3,'Data for Bill Impacts'!$A$6:$Y$18,20,0)</f>
        <v>-1E-3</v>
      </c>
      <c r="D22" s="22">
        <f>B22*C22</f>
        <v>-53.051250000000003</v>
      </c>
      <c r="E22" s="73">
        <f>B22</f>
        <v>53051.25</v>
      </c>
      <c r="F22" s="125">
        <f>VLOOKUP($B$3,'Data for Bill Impacts'!$A$6:$Y$18,21,0)</f>
        <v>0</v>
      </c>
      <c r="G22" s="22">
        <f>E22*F22</f>
        <v>0</v>
      </c>
      <c r="H22" s="22">
        <f t="shared" ref="H22" si="8">G22-D22</f>
        <v>53.051250000000003</v>
      </c>
      <c r="I22" s="23">
        <f t="shared" si="7"/>
        <v>1</v>
      </c>
      <c r="J22" s="124">
        <f t="shared" ref="J22" si="9">G22/$G$38</f>
        <v>0</v>
      </c>
    </row>
    <row r="23" spans="1:10" x14ac:dyDescent="0.2">
      <c r="A23" s="110" t="s">
        <v>93</v>
      </c>
      <c r="B23" s="74"/>
      <c r="C23" s="35"/>
      <c r="D23" s="35">
        <f>SUM(D16:D22)</f>
        <v>1273.7277500000002</v>
      </c>
      <c r="E23" s="73"/>
      <c r="F23" s="35"/>
      <c r="G23" s="35">
        <f>SUM(G16:G22)</f>
        <v>1401.2982999999999</v>
      </c>
      <c r="H23" s="35">
        <f t="shared" si="3"/>
        <v>127.57054999999968</v>
      </c>
      <c r="I23" s="36">
        <f t="shared" si="7"/>
        <v>0.10015527258474165</v>
      </c>
      <c r="J23" s="111">
        <f t="shared" ref="J23:J29" si="10">G23/$G$38</f>
        <v>0.1672042275581106</v>
      </c>
    </row>
    <row r="24" spans="1:10" x14ac:dyDescent="0.2">
      <c r="A24" s="107" t="s">
        <v>40</v>
      </c>
      <c r="B24" s="73">
        <f>B5</f>
        <v>135</v>
      </c>
      <c r="C24" s="78">
        <f>VLOOKUP($B$3,'Data for Bill Impacts'!$A$6:$Y$18,15,0)</f>
        <v>2.1128999999999998</v>
      </c>
      <c r="D24" s="22">
        <f>B24*C24</f>
        <v>285.24149999999997</v>
      </c>
      <c r="E24" s="73">
        <f t="shared" si="4"/>
        <v>135</v>
      </c>
      <c r="F24" s="125">
        <f>VLOOKUP($B$3,'Data for Bill Impacts'!$A$6:$Y$18,24,0)</f>
        <v>2.2310400000000001</v>
      </c>
      <c r="G24" s="22">
        <f>E24*F24</f>
        <v>301.19040000000001</v>
      </c>
      <c r="H24" s="22">
        <f t="shared" si="3"/>
        <v>15.948900000000037</v>
      </c>
      <c r="I24" s="23">
        <f t="shared" si="7"/>
        <v>5.5913673150646166E-2</v>
      </c>
      <c r="J24" s="124">
        <f t="shared" si="10"/>
        <v>3.5938321041221813E-2</v>
      </c>
    </row>
    <row r="25" spans="1:10" s="1" customFormat="1" x14ac:dyDescent="0.2">
      <c r="A25" s="107" t="s">
        <v>41</v>
      </c>
      <c r="B25" s="73">
        <f>B5</f>
        <v>135</v>
      </c>
      <c r="C25" s="78">
        <f>VLOOKUP($B$3,'Data for Bill Impacts'!$A$6:$Y$18,16,0)</f>
        <v>1.3900999999999999</v>
      </c>
      <c r="D25" s="22">
        <f>B25*C25</f>
        <v>187.6635</v>
      </c>
      <c r="E25" s="73">
        <f t="shared" si="4"/>
        <v>135</v>
      </c>
      <c r="F25" s="125">
        <f>VLOOKUP($B$3,'Data for Bill Impacts'!$A$6:$Y$18,25,0)</f>
        <v>1.7046749999999999</v>
      </c>
      <c r="G25" s="22">
        <f>E25*F25</f>
        <v>230.131125</v>
      </c>
      <c r="H25" s="22">
        <f t="shared" si="3"/>
        <v>42.467624999999998</v>
      </c>
      <c r="I25" s="23">
        <f t="shared" si="7"/>
        <v>0.22629666930436659</v>
      </c>
      <c r="J25" s="124">
        <f t="shared" si="10"/>
        <v>2.7459461695417742E-2</v>
      </c>
    </row>
    <row r="26" spans="1:10" x14ac:dyDescent="0.2">
      <c r="A26" s="110" t="s">
        <v>76</v>
      </c>
      <c r="B26" s="74"/>
      <c r="C26" s="35"/>
      <c r="D26" s="35">
        <f>SUM(D24:D25)</f>
        <v>472.90499999999997</v>
      </c>
      <c r="E26" s="73"/>
      <c r="F26" s="35"/>
      <c r="G26" s="35">
        <f>SUM(G24:G25)</f>
        <v>531.32152500000007</v>
      </c>
      <c r="H26" s="35">
        <f t="shared" si="3"/>
        <v>58.416525000000092</v>
      </c>
      <c r="I26" s="36">
        <f t="shared" si="7"/>
        <v>0.1235269768769628</v>
      </c>
      <c r="J26" s="111">
        <f t="shared" si="10"/>
        <v>6.3397782736639569E-2</v>
      </c>
    </row>
    <row r="27" spans="1:10" s="1" customFormat="1" x14ac:dyDescent="0.2">
      <c r="A27" s="110" t="s">
        <v>80</v>
      </c>
      <c r="B27" s="74"/>
      <c r="C27" s="35"/>
      <c r="D27" s="35">
        <f>D23+D26</f>
        <v>1746.6327500000002</v>
      </c>
      <c r="E27" s="73"/>
      <c r="F27" s="35"/>
      <c r="G27" s="35">
        <f>G23+G26</f>
        <v>1932.619825</v>
      </c>
      <c r="H27" s="35">
        <f t="shared" si="3"/>
        <v>185.98707499999978</v>
      </c>
      <c r="I27" s="36">
        <f t="shared" si="7"/>
        <v>0.10648321749377467</v>
      </c>
      <c r="J27" s="111">
        <f t="shared" si="10"/>
        <v>0.23060201029475016</v>
      </c>
    </row>
    <row r="28" spans="1:10" x14ac:dyDescent="0.2">
      <c r="A28" s="107" t="s">
        <v>42</v>
      </c>
      <c r="B28" s="73">
        <f>B9</f>
        <v>53051.25</v>
      </c>
      <c r="C28" s="34">
        <v>3.5999999999999999E-3</v>
      </c>
      <c r="D28" s="22">
        <f>B28*C28</f>
        <v>190.9845</v>
      </c>
      <c r="E28" s="73">
        <f t="shared" si="4"/>
        <v>53051.25</v>
      </c>
      <c r="F28" s="34">
        <v>3.5999999999999999E-3</v>
      </c>
      <c r="G28" s="22">
        <f>E28*F28</f>
        <v>190.9845</v>
      </c>
      <c r="H28" s="22">
        <f t="shared" si="3"/>
        <v>0</v>
      </c>
      <c r="I28" s="23">
        <f t="shared" si="7"/>
        <v>0</v>
      </c>
      <c r="J28" s="124">
        <f t="shared" si="10"/>
        <v>2.2788449681321939E-2</v>
      </c>
    </row>
    <row r="29" spans="1:10" x14ac:dyDescent="0.2">
      <c r="A29" s="107" t="s">
        <v>43</v>
      </c>
      <c r="B29" s="73">
        <f>B9</f>
        <v>53051.25</v>
      </c>
      <c r="C29" s="34">
        <v>2.0999999999999999E-3</v>
      </c>
      <c r="D29" s="22">
        <f>B29*C29</f>
        <v>111.407625</v>
      </c>
      <c r="E29" s="73">
        <f t="shared" si="4"/>
        <v>53051.25</v>
      </c>
      <c r="F29" s="34">
        <v>2.0999999999999999E-3</v>
      </c>
      <c r="G29" s="22">
        <f>E29*F29</f>
        <v>111.407625</v>
      </c>
      <c r="H29" s="22">
        <f>G29-D29</f>
        <v>0</v>
      </c>
      <c r="I29" s="23">
        <f t="shared" si="7"/>
        <v>0</v>
      </c>
      <c r="J29" s="124">
        <f t="shared" si="10"/>
        <v>1.3293262314104465E-2</v>
      </c>
    </row>
    <row r="30" spans="1:10" x14ac:dyDescent="0.2">
      <c r="A30" s="107" t="s">
        <v>96</v>
      </c>
      <c r="B30" s="73">
        <f>B9</f>
        <v>53051.25</v>
      </c>
      <c r="C30" s="34">
        <v>0</v>
      </c>
      <c r="D30" s="22">
        <f>B30*C30</f>
        <v>0</v>
      </c>
      <c r="E30" s="73">
        <f t="shared" si="4"/>
        <v>53051.25</v>
      </c>
      <c r="F30" s="34">
        <v>0</v>
      </c>
      <c r="G30" s="22">
        <f>E30*F30</f>
        <v>0</v>
      </c>
      <c r="H30" s="22">
        <f>G30-D30</f>
        <v>0</v>
      </c>
      <c r="I30" s="23" t="str">
        <f t="shared" si="7"/>
        <v>N/A</v>
      </c>
      <c r="J30" s="124">
        <f t="shared" ref="J30" si="11">G30/$G$38</f>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ref="J31:J38" si="12">G31/$G$38</f>
        <v>2.9830234497199955E-5</v>
      </c>
    </row>
    <row r="32" spans="1:10" x14ac:dyDescent="0.2">
      <c r="A32" s="110" t="s">
        <v>45</v>
      </c>
      <c r="B32" s="74"/>
      <c r="C32" s="35"/>
      <c r="D32" s="35">
        <f>SUM(D28:D31)</f>
        <v>302.64212499999996</v>
      </c>
      <c r="E32" s="73"/>
      <c r="F32" s="35"/>
      <c r="G32" s="35">
        <f>SUM(G28:G31)</f>
        <v>302.64212499999996</v>
      </c>
      <c r="H32" s="35">
        <f t="shared" si="3"/>
        <v>0</v>
      </c>
      <c r="I32" s="36">
        <f t="shared" si="7"/>
        <v>0</v>
      </c>
      <c r="J32" s="111">
        <f t="shared" si="12"/>
        <v>3.6111542229923597E-2</v>
      </c>
    </row>
    <row r="33" spans="1:10" ht="13.5" thickBot="1" x14ac:dyDescent="0.25">
      <c r="A33" s="112" t="s">
        <v>46</v>
      </c>
      <c r="B33" s="113">
        <f>B4</f>
        <v>50525</v>
      </c>
      <c r="C33" s="114">
        <v>7.0000000000000001E-3</v>
      </c>
      <c r="D33" s="115">
        <f>B33*C33</f>
        <v>353.67500000000001</v>
      </c>
      <c r="E33" s="116">
        <f t="shared" si="4"/>
        <v>50525</v>
      </c>
      <c r="F33" s="114">
        <f>C33</f>
        <v>7.0000000000000001E-3</v>
      </c>
      <c r="G33" s="115">
        <f>E33*F33</f>
        <v>353.67500000000001</v>
      </c>
      <c r="H33" s="115">
        <f t="shared" si="3"/>
        <v>0</v>
      </c>
      <c r="I33" s="117">
        <f t="shared" si="7"/>
        <v>0</v>
      </c>
      <c r="J33" s="118">
        <f t="shared" si="12"/>
        <v>4.2200832743188782E-2</v>
      </c>
    </row>
    <row r="34" spans="1:10" x14ac:dyDescent="0.2">
      <c r="A34" s="37" t="s">
        <v>115</v>
      </c>
      <c r="B34" s="38"/>
      <c r="C34" s="39"/>
      <c r="D34" s="39">
        <f>SUM(D15,D23,D26,D32,D33)</f>
        <v>7230.613625</v>
      </c>
      <c r="E34" s="38"/>
      <c r="F34" s="39"/>
      <c r="G34" s="39">
        <f>SUM(G15,G23,G26,G32,G33)</f>
        <v>7416.6007000000009</v>
      </c>
      <c r="H34" s="39">
        <f t="shared" si="3"/>
        <v>185.98707500000091</v>
      </c>
      <c r="I34" s="40">
        <f t="shared" si="7"/>
        <v>2.5722170295055826E-2</v>
      </c>
      <c r="J34" s="41">
        <f t="shared" si="12"/>
        <v>0.88495575221238942</v>
      </c>
    </row>
    <row r="35" spans="1:10" x14ac:dyDescent="0.2">
      <c r="A35" s="46" t="s">
        <v>106</v>
      </c>
      <c r="B35" s="43"/>
      <c r="C35" s="26">
        <v>0.13</v>
      </c>
      <c r="D35" s="26">
        <f>D34*C35</f>
        <v>939.97977125</v>
      </c>
      <c r="E35" s="26"/>
      <c r="F35" s="26">
        <f>C35</f>
        <v>0.13</v>
      </c>
      <c r="G35" s="26">
        <f>G34*F35</f>
        <v>964.15809100000013</v>
      </c>
      <c r="H35" s="26">
        <f t="shared" si="3"/>
        <v>24.178319750000128</v>
      </c>
      <c r="I35" s="44">
        <f t="shared" si="7"/>
        <v>2.5722170295055833E-2</v>
      </c>
      <c r="J35" s="45">
        <f t="shared" si="12"/>
        <v>0.11504424778761063</v>
      </c>
    </row>
    <row r="36" spans="1:10" x14ac:dyDescent="0.2">
      <c r="A36" s="46" t="s">
        <v>107</v>
      </c>
      <c r="B36" s="24"/>
      <c r="C36" s="25"/>
      <c r="D36" s="25">
        <f>SUM(D34:D35)</f>
        <v>8170.5933962500003</v>
      </c>
      <c r="E36" s="25"/>
      <c r="F36" s="25"/>
      <c r="G36" s="25">
        <f>SUM(G34:G35)</f>
        <v>8380.7587910000002</v>
      </c>
      <c r="H36" s="25">
        <f t="shared" si="3"/>
        <v>210.1653947499999</v>
      </c>
      <c r="I36" s="27">
        <f t="shared" si="7"/>
        <v>2.5722170295055684E-2</v>
      </c>
      <c r="J36" s="47">
        <f t="shared" si="12"/>
        <v>1</v>
      </c>
    </row>
    <row r="37" spans="1:10" x14ac:dyDescent="0.2">
      <c r="A37" s="46" t="s">
        <v>108</v>
      </c>
      <c r="B37" s="43"/>
      <c r="C37" s="26">
        <v>0</v>
      </c>
      <c r="D37" s="26">
        <f>D34*C37</f>
        <v>0</v>
      </c>
      <c r="E37" s="26"/>
      <c r="F37" s="26">
        <f>C37</f>
        <v>0</v>
      </c>
      <c r="G37" s="26">
        <f>G34*F37</f>
        <v>0</v>
      </c>
      <c r="H37" s="26">
        <f t="shared" si="3"/>
        <v>0</v>
      </c>
      <c r="I37" s="44" t="str">
        <f t="shared" si="7"/>
        <v>N/A</v>
      </c>
      <c r="J37" s="45">
        <f t="shared" si="12"/>
        <v>0</v>
      </c>
    </row>
    <row r="38" spans="1:10" ht="13.5" thickBot="1" x14ac:dyDescent="0.25">
      <c r="A38" s="46" t="s">
        <v>109</v>
      </c>
      <c r="B38" s="49"/>
      <c r="C38" s="50"/>
      <c r="D38" s="50">
        <f>SUM(D36:D37)</f>
        <v>8170.5933962500003</v>
      </c>
      <c r="E38" s="50"/>
      <c r="F38" s="50"/>
      <c r="G38" s="50">
        <f>SUM(G36:G37)</f>
        <v>8380.7587910000002</v>
      </c>
      <c r="H38" s="50">
        <f t="shared" si="3"/>
        <v>210.1653947499999</v>
      </c>
      <c r="I38" s="51">
        <f t="shared" si="7"/>
        <v>2.5722170295055684E-2</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1" tint="0.499984740745262"/>
    <pageSetUpPr fitToPage="1"/>
  </sheetPr>
  <dimension ref="A1:J40"/>
  <sheetViews>
    <sheetView tabSelected="1" view="pageLayout" topLeftCell="A10"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101</v>
      </c>
      <c r="B1" s="191"/>
      <c r="C1" s="191"/>
      <c r="D1" s="191"/>
      <c r="E1" s="191"/>
      <c r="F1" s="191"/>
      <c r="G1" s="191"/>
      <c r="H1" s="191"/>
      <c r="I1" s="191"/>
      <c r="J1" s="192"/>
    </row>
    <row r="3" spans="1:10" x14ac:dyDescent="0.2">
      <c r="A3" s="13" t="s">
        <v>13</v>
      </c>
      <c r="B3" s="13" t="s">
        <v>7</v>
      </c>
    </row>
    <row r="4" spans="1:10" x14ac:dyDescent="0.2">
      <c r="A4" s="15" t="s">
        <v>62</v>
      </c>
      <c r="B4" s="79">
        <v>175000</v>
      </c>
    </row>
    <row r="5" spans="1:10" x14ac:dyDescent="0.2">
      <c r="A5" s="15" t="s">
        <v>16</v>
      </c>
      <c r="B5" s="79">
        <v>500</v>
      </c>
    </row>
    <row r="6" spans="1:10" x14ac:dyDescent="0.2">
      <c r="A6" s="15" t="s">
        <v>20</v>
      </c>
      <c r="B6" s="80">
        <f>VLOOKUP($B$3,'Data for Bill Impacts'!$A$6:$Y$18,2,0)</f>
        <v>1.05</v>
      </c>
    </row>
    <row r="7" spans="1:10" x14ac:dyDescent="0.2">
      <c r="A7" s="81" t="s">
        <v>48</v>
      </c>
      <c r="B7" s="82">
        <f>B4/(B5*730)</f>
        <v>0.47945205479452052</v>
      </c>
    </row>
    <row r="8" spans="1:10" x14ac:dyDescent="0.2">
      <c r="A8" s="15" t="s">
        <v>15</v>
      </c>
      <c r="B8" s="79">
        <f>VLOOKUP($B$3,'Data for Bill Impacts'!$A$6:$Y$18,4,0)</f>
        <v>0</v>
      </c>
    </row>
    <row r="9" spans="1:10" x14ac:dyDescent="0.2">
      <c r="A9" s="15" t="s">
        <v>82</v>
      </c>
      <c r="B9" s="79">
        <f>B4*B6</f>
        <v>183750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183750</v>
      </c>
      <c r="C13" s="103">
        <v>9.0999999999999998E-2</v>
      </c>
      <c r="D13" s="104">
        <f>B13*C13</f>
        <v>16721.25</v>
      </c>
      <c r="E13" s="102">
        <f>B13</f>
        <v>183750</v>
      </c>
      <c r="F13" s="103">
        <f>C13</f>
        <v>9.0999999999999998E-2</v>
      </c>
      <c r="G13" s="104">
        <f>E13*F13</f>
        <v>16721.25</v>
      </c>
      <c r="H13" s="104">
        <f>G13-D13</f>
        <v>0</v>
      </c>
      <c r="I13" s="105">
        <f t="shared" ref="I13:I18" si="0">IF(ISERROR(H13/ABS(D13)),"N/A",(H13/ABS(D13)))</f>
        <v>0</v>
      </c>
      <c r="J13" s="123">
        <f t="shared" ref="J13:J29" si="1">G13/$G$38</f>
        <v>0.57179026397044908</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16721.25</v>
      </c>
      <c r="E15" s="76"/>
      <c r="F15" s="25"/>
      <c r="G15" s="25">
        <f>SUM(G13:G14)</f>
        <v>16721.25</v>
      </c>
      <c r="H15" s="25">
        <f t="shared" si="3"/>
        <v>0</v>
      </c>
      <c r="I15" s="27">
        <f t="shared" si="0"/>
        <v>0</v>
      </c>
      <c r="J15" s="47">
        <f t="shared" si="1"/>
        <v>0.57179026397044908</v>
      </c>
    </row>
    <row r="16" spans="1:10" s="1" customFormat="1" x14ac:dyDescent="0.2">
      <c r="A16" s="107" t="s">
        <v>38</v>
      </c>
      <c r="B16" s="73">
        <v>1</v>
      </c>
      <c r="C16" s="78">
        <f>VLOOKUP($B$3,'Data for Bill Impacts'!$A$6:$Y$18,7,0)</f>
        <v>93.97</v>
      </c>
      <c r="D16" s="22">
        <f>B16*C16</f>
        <v>93.97</v>
      </c>
      <c r="E16" s="73">
        <f t="shared" ref="E16:E33" si="4">B16</f>
        <v>1</v>
      </c>
      <c r="F16" s="78">
        <f>VLOOKUP($B$3,'Data for Bill Impacts'!$A$6:$Y$18,17,0)</f>
        <v>100.72</v>
      </c>
      <c r="G16" s="22">
        <f>E16*F16</f>
        <v>100.72</v>
      </c>
      <c r="H16" s="22">
        <f t="shared" si="3"/>
        <v>6.75</v>
      </c>
      <c r="I16" s="23">
        <f t="shared" si="0"/>
        <v>7.1831435564541871E-2</v>
      </c>
      <c r="J16" s="124">
        <f t="shared" si="1"/>
        <v>3.4441632884565231E-3</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78">
        <f>VLOOKUP($B$3,'Data for Bill Impacts'!$A$6:$Y$18,13,0)</f>
        <v>1.42</v>
      </c>
      <c r="D19" s="22">
        <f t="shared" si="6"/>
        <v>1.42</v>
      </c>
      <c r="E19" s="73">
        <f t="shared" si="4"/>
        <v>1</v>
      </c>
      <c r="F19" s="78">
        <f>VLOOKUP($B$3,'Data for Bill Impacts'!$A$6:$Y$18,22,0)</f>
        <v>1.7999999999999999E-2</v>
      </c>
      <c r="G19" s="22">
        <f t="shared" si="5"/>
        <v>1.7999999999999999E-2</v>
      </c>
      <c r="H19" s="22">
        <f t="shared" si="3"/>
        <v>-1.4019999999999999</v>
      </c>
      <c r="I19" s="23">
        <f>IF(ISERROR(H19/ABS(D19)),"N/A",(H19/ABS(D19)))</f>
        <v>-0.98732394366197185</v>
      </c>
      <c r="J19" s="124">
        <f t="shared" si="1"/>
        <v>6.1551766473607438E-7</v>
      </c>
    </row>
    <row r="20" spans="1:10" x14ac:dyDescent="0.2">
      <c r="A20" s="107" t="s">
        <v>39</v>
      </c>
      <c r="B20" s="73">
        <f>IF($B$10="kWh",$B$4,$B$5)</f>
        <v>500</v>
      </c>
      <c r="C20" s="78">
        <f>VLOOKUP($B$3,'Data for Bill Impacts'!$A$6:$Y$18,10,0)</f>
        <v>9.1837</v>
      </c>
      <c r="D20" s="22">
        <f>B20*C20</f>
        <v>4591.8500000000004</v>
      </c>
      <c r="E20" s="73">
        <f t="shared" si="4"/>
        <v>500</v>
      </c>
      <c r="F20" s="125">
        <f>VLOOKUP($B$3,'Data for Bill Impacts'!$A$6:$Y$18,19,0)</f>
        <v>9.6226000000000003</v>
      </c>
      <c r="G20" s="22">
        <f>E20*F20</f>
        <v>4811.3</v>
      </c>
      <c r="H20" s="22">
        <f t="shared" si="3"/>
        <v>219.44999999999982</v>
      </c>
      <c r="I20" s="23">
        <f t="shared" ref="I20:I38" si="7">IF(ISERROR(H20/ABS(D20)),"N/A",(H20/ABS(D20)))</f>
        <v>4.7791195269880286E-2</v>
      </c>
      <c r="J20" s="124">
        <f t="shared" si="1"/>
        <v>0.16452445224137083</v>
      </c>
    </row>
    <row r="21" spans="1:10" s="1" customFormat="1" x14ac:dyDescent="0.2">
      <c r="A21" s="107" t="s">
        <v>124</v>
      </c>
      <c r="B21" s="73">
        <f>IF($B$10="kWh",$B$4,$B$5)</f>
        <v>500</v>
      </c>
      <c r="C21" s="78">
        <f>VLOOKUP($B$3,'Data for Bill Impacts'!$A$6:$Y$18,14,0)</f>
        <v>-6.2300000000000001E-2</v>
      </c>
      <c r="D21" s="22">
        <f>B21*C21</f>
        <v>-31.150000000000002</v>
      </c>
      <c r="E21" s="73">
        <f t="shared" si="4"/>
        <v>500</v>
      </c>
      <c r="F21" s="125">
        <f>VLOOKUP($B$3,'Data for Bill Impacts'!$A$6:$Y$18,23,0)</f>
        <v>1.1179999999999999E-2</v>
      </c>
      <c r="G21" s="22">
        <f>E21*F21</f>
        <v>5.59</v>
      </c>
      <c r="H21" s="22">
        <f t="shared" si="3"/>
        <v>36.74</v>
      </c>
      <c r="I21" s="23">
        <f t="shared" si="7"/>
        <v>1.1794542536115569</v>
      </c>
      <c r="J21" s="124">
        <f t="shared" si="1"/>
        <v>1.9115243032636977E-4</v>
      </c>
    </row>
    <row r="22" spans="1:10" s="1" customFormat="1" x14ac:dyDescent="0.2">
      <c r="A22" s="107" t="s">
        <v>112</v>
      </c>
      <c r="B22" s="73">
        <f>B9</f>
        <v>183750</v>
      </c>
      <c r="C22" s="125">
        <f>VLOOKUP($B$3,'Data for Bill Impacts'!$A$6:$Y$18,20,0)</f>
        <v>-1E-3</v>
      </c>
      <c r="D22" s="22">
        <f>B22*C22</f>
        <v>-183.75</v>
      </c>
      <c r="E22" s="73">
        <f>B22</f>
        <v>183750</v>
      </c>
      <c r="F22" s="125">
        <f>VLOOKUP($B$3,'Data for Bill Impacts'!$A$6:$Y$18,21,0)</f>
        <v>0</v>
      </c>
      <c r="G22" s="22">
        <f>E22*F22</f>
        <v>0</v>
      </c>
      <c r="H22" s="22">
        <f t="shared" ref="H22" si="8">G22-D22</f>
        <v>183.75</v>
      </c>
      <c r="I22" s="23">
        <f t="shared" si="7"/>
        <v>1</v>
      </c>
      <c r="J22" s="124">
        <f t="shared" si="1"/>
        <v>0</v>
      </c>
    </row>
    <row r="23" spans="1:10" x14ac:dyDescent="0.2">
      <c r="A23" s="110" t="s">
        <v>93</v>
      </c>
      <c r="B23" s="74"/>
      <c r="C23" s="35"/>
      <c r="D23" s="35">
        <f>SUM(D16:D22)</f>
        <v>4472.3400000000011</v>
      </c>
      <c r="E23" s="73"/>
      <c r="F23" s="35"/>
      <c r="G23" s="35">
        <f>SUM(G16:G22)</f>
        <v>4917.6280000000006</v>
      </c>
      <c r="H23" s="35">
        <f t="shared" si="3"/>
        <v>445.28799999999956</v>
      </c>
      <c r="I23" s="36">
        <f t="shared" si="7"/>
        <v>9.9564881024251164E-2</v>
      </c>
      <c r="J23" s="111">
        <f t="shared" si="1"/>
        <v>0.16816038347781848</v>
      </c>
    </row>
    <row r="24" spans="1:10" x14ac:dyDescent="0.2">
      <c r="A24" s="107" t="s">
        <v>40</v>
      </c>
      <c r="B24" s="73">
        <f>B5</f>
        <v>500</v>
      </c>
      <c r="C24" s="78">
        <f>VLOOKUP($B$3,'Data for Bill Impacts'!$A$6:$Y$18,15,0)</f>
        <v>2.1128999999999998</v>
      </c>
      <c r="D24" s="22">
        <f>B24*C24</f>
        <v>1056.4499999999998</v>
      </c>
      <c r="E24" s="73">
        <f t="shared" si="4"/>
        <v>500</v>
      </c>
      <c r="F24" s="125">
        <f>VLOOKUP($B$3,'Data for Bill Impacts'!$A$6:$Y$18,24,0)</f>
        <v>2.2310400000000001</v>
      </c>
      <c r="G24" s="22">
        <f>E24*F24</f>
        <v>1115.52</v>
      </c>
      <c r="H24" s="22">
        <f t="shared" si="3"/>
        <v>59.070000000000164</v>
      </c>
      <c r="I24" s="23">
        <f t="shared" si="7"/>
        <v>5.5913673150646194E-2</v>
      </c>
      <c r="J24" s="124">
        <f t="shared" si="1"/>
        <v>3.8145681409243654E-2</v>
      </c>
    </row>
    <row r="25" spans="1:10" s="1" customFormat="1" x14ac:dyDescent="0.2">
      <c r="A25" s="107" t="s">
        <v>41</v>
      </c>
      <c r="B25" s="73">
        <f>B5</f>
        <v>500</v>
      </c>
      <c r="C25" s="78">
        <f>VLOOKUP($B$3,'Data for Bill Impacts'!$A$6:$Y$18,16,0)</f>
        <v>1.3900999999999999</v>
      </c>
      <c r="D25" s="22">
        <f>B25*C25</f>
        <v>695.05</v>
      </c>
      <c r="E25" s="73">
        <f t="shared" si="4"/>
        <v>500</v>
      </c>
      <c r="F25" s="125">
        <f>VLOOKUP($B$3,'Data for Bill Impacts'!$A$6:$Y$18,25,0)</f>
        <v>1.7046749999999999</v>
      </c>
      <c r="G25" s="22">
        <f>E25*F25</f>
        <v>852.33749999999998</v>
      </c>
      <c r="H25" s="22">
        <f t="shared" si="3"/>
        <v>157.28750000000002</v>
      </c>
      <c r="I25" s="23">
        <f t="shared" si="7"/>
        <v>0.22629666930436665</v>
      </c>
      <c r="J25" s="124">
        <f t="shared" si="1"/>
        <v>2.9146043753721321E-2</v>
      </c>
    </row>
    <row r="26" spans="1:10" x14ac:dyDescent="0.2">
      <c r="A26" s="110" t="s">
        <v>76</v>
      </c>
      <c r="B26" s="74"/>
      <c r="C26" s="35"/>
      <c r="D26" s="35">
        <f>SUM(D24:D25)</f>
        <v>1751.4999999999998</v>
      </c>
      <c r="E26" s="73"/>
      <c r="F26" s="35"/>
      <c r="G26" s="35">
        <f>SUM(G24:G25)</f>
        <v>1967.8575000000001</v>
      </c>
      <c r="H26" s="35">
        <f t="shared" si="3"/>
        <v>216.3575000000003</v>
      </c>
      <c r="I26" s="36">
        <f t="shared" si="7"/>
        <v>0.12352697687696279</v>
      </c>
      <c r="J26" s="111">
        <f t="shared" si="1"/>
        <v>6.7291725162964972E-2</v>
      </c>
    </row>
    <row r="27" spans="1:10" s="1" customFormat="1" x14ac:dyDescent="0.2">
      <c r="A27" s="110" t="s">
        <v>80</v>
      </c>
      <c r="B27" s="74"/>
      <c r="C27" s="35"/>
      <c r="D27" s="35">
        <f>D23+D26</f>
        <v>6223.8400000000011</v>
      </c>
      <c r="E27" s="73"/>
      <c r="F27" s="35"/>
      <c r="G27" s="35">
        <f>G23+G26</f>
        <v>6885.4855000000007</v>
      </c>
      <c r="H27" s="35">
        <f t="shared" si="3"/>
        <v>661.64549999999963</v>
      </c>
      <c r="I27" s="36">
        <f t="shared" si="7"/>
        <v>0.1063082437851872</v>
      </c>
      <c r="J27" s="111">
        <f t="shared" si="1"/>
        <v>0.23545210864078345</v>
      </c>
    </row>
    <row r="28" spans="1:10" x14ac:dyDescent="0.2">
      <c r="A28" s="107" t="s">
        <v>42</v>
      </c>
      <c r="B28" s="73">
        <f>B9</f>
        <v>183750</v>
      </c>
      <c r="C28" s="34">
        <v>3.5999999999999999E-3</v>
      </c>
      <c r="D28" s="22">
        <f>B28*C28</f>
        <v>661.5</v>
      </c>
      <c r="E28" s="73">
        <f t="shared" si="4"/>
        <v>183750</v>
      </c>
      <c r="F28" s="34">
        <v>3.5999999999999999E-3</v>
      </c>
      <c r="G28" s="22">
        <f>E28*F28</f>
        <v>661.5</v>
      </c>
      <c r="H28" s="22">
        <f t="shared" si="3"/>
        <v>0</v>
      </c>
      <c r="I28" s="23">
        <f t="shared" si="7"/>
        <v>0</v>
      </c>
      <c r="J28" s="124">
        <f t="shared" si="1"/>
        <v>2.2620274179050735E-2</v>
      </c>
    </row>
    <row r="29" spans="1:10" x14ac:dyDescent="0.2">
      <c r="A29" s="107" t="s">
        <v>43</v>
      </c>
      <c r="B29" s="73">
        <f>B9</f>
        <v>183750</v>
      </c>
      <c r="C29" s="34">
        <v>2.0999999999999999E-3</v>
      </c>
      <c r="D29" s="22">
        <f>B29*C29</f>
        <v>385.875</v>
      </c>
      <c r="E29" s="73">
        <f t="shared" si="4"/>
        <v>183750</v>
      </c>
      <c r="F29" s="34">
        <v>2.0999999999999999E-3</v>
      </c>
      <c r="G29" s="22">
        <f>E29*F29</f>
        <v>385.875</v>
      </c>
      <c r="H29" s="22">
        <f>G29-D29</f>
        <v>0</v>
      </c>
      <c r="I29" s="23">
        <f t="shared" si="7"/>
        <v>0</v>
      </c>
      <c r="J29" s="124">
        <f t="shared" si="1"/>
        <v>1.3195159937779595E-2</v>
      </c>
    </row>
    <row r="30" spans="1:10" x14ac:dyDescent="0.2">
      <c r="A30" s="107" t="s">
        <v>96</v>
      </c>
      <c r="B30" s="73">
        <f>B9</f>
        <v>183750</v>
      </c>
      <c r="C30" s="34">
        <v>0</v>
      </c>
      <c r="D30" s="22">
        <f>B30*C30</f>
        <v>0</v>
      </c>
      <c r="E30" s="73">
        <f t="shared" si="4"/>
        <v>183750</v>
      </c>
      <c r="F30" s="34">
        <v>0</v>
      </c>
      <c r="G30" s="22">
        <f>E30*F30</f>
        <v>0</v>
      </c>
      <c r="H30" s="22">
        <f>G30-D30</f>
        <v>0</v>
      </c>
      <c r="I30" s="23" t="str">
        <f t="shared" si="7"/>
        <v>N/A</v>
      </c>
      <c r="J30" s="124">
        <f t="shared" ref="J30" si="9">G30/$G$38</f>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ref="J31:J38" si="10">G31/$G$38</f>
        <v>8.5488564546676994E-6</v>
      </c>
    </row>
    <row r="32" spans="1:10" x14ac:dyDescent="0.2">
      <c r="A32" s="110" t="s">
        <v>45</v>
      </c>
      <c r="B32" s="74"/>
      <c r="C32" s="35"/>
      <c r="D32" s="35">
        <f>SUM(D28:D31)</f>
        <v>1047.625</v>
      </c>
      <c r="E32" s="73"/>
      <c r="F32" s="35"/>
      <c r="G32" s="35">
        <f>SUM(G28:G31)</f>
        <v>1047.625</v>
      </c>
      <c r="H32" s="35">
        <f t="shared" si="3"/>
        <v>0</v>
      </c>
      <c r="I32" s="36">
        <f t="shared" si="7"/>
        <v>0</v>
      </c>
      <c r="J32" s="111">
        <f t="shared" si="10"/>
        <v>3.5823982973284998E-2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3"/>
        <v>0</v>
      </c>
      <c r="I33" s="117">
        <f t="shared" si="7"/>
        <v>0</v>
      </c>
      <c r="J33" s="118">
        <f t="shared" si="10"/>
        <v>4.1889396627871729E-2</v>
      </c>
    </row>
    <row r="34" spans="1:10" x14ac:dyDescent="0.2">
      <c r="A34" s="37" t="s">
        <v>115</v>
      </c>
      <c r="B34" s="38"/>
      <c r="C34" s="39"/>
      <c r="D34" s="39">
        <f>SUM(D15,D23,D26,D32,D33)</f>
        <v>25217.715</v>
      </c>
      <c r="E34" s="38"/>
      <c r="F34" s="39"/>
      <c r="G34" s="39">
        <f>SUM(G15,G23,G26,G32,G33)</f>
        <v>25879.360500000003</v>
      </c>
      <c r="H34" s="39">
        <f t="shared" si="3"/>
        <v>661.64550000000236</v>
      </c>
      <c r="I34" s="40">
        <f t="shared" si="7"/>
        <v>2.6237329591519389E-2</v>
      </c>
      <c r="J34" s="41">
        <f t="shared" si="10"/>
        <v>0.88495575221238942</v>
      </c>
    </row>
    <row r="35" spans="1:10" x14ac:dyDescent="0.2">
      <c r="A35" s="46" t="s">
        <v>106</v>
      </c>
      <c r="B35" s="43"/>
      <c r="C35" s="26">
        <v>0.13</v>
      </c>
      <c r="D35" s="26">
        <f>D34*C35</f>
        <v>3278.3029500000002</v>
      </c>
      <c r="E35" s="26"/>
      <c r="F35" s="26">
        <f>C35</f>
        <v>0.13</v>
      </c>
      <c r="G35" s="26">
        <f>G34*F35</f>
        <v>3364.3168650000002</v>
      </c>
      <c r="H35" s="26">
        <f t="shared" si="3"/>
        <v>86.013914999999997</v>
      </c>
      <c r="I35" s="44">
        <f t="shared" si="7"/>
        <v>2.6237329591519292E-2</v>
      </c>
      <c r="J35" s="45">
        <f t="shared" si="10"/>
        <v>0.11504424778761062</v>
      </c>
    </row>
    <row r="36" spans="1:10" x14ac:dyDescent="0.2">
      <c r="A36" s="46" t="s">
        <v>107</v>
      </c>
      <c r="B36" s="24"/>
      <c r="C36" s="25"/>
      <c r="D36" s="25">
        <f>SUM(D34:D35)</f>
        <v>28496.017950000001</v>
      </c>
      <c r="E36" s="25"/>
      <c r="F36" s="25"/>
      <c r="G36" s="25">
        <f>SUM(G34:G35)</f>
        <v>29243.677365000003</v>
      </c>
      <c r="H36" s="25">
        <f t="shared" si="3"/>
        <v>747.6594150000019</v>
      </c>
      <c r="I36" s="27">
        <f t="shared" si="7"/>
        <v>2.6237329591519361E-2</v>
      </c>
      <c r="J36" s="47">
        <f t="shared" si="10"/>
        <v>1</v>
      </c>
    </row>
    <row r="37" spans="1:10" x14ac:dyDescent="0.2">
      <c r="A37" s="46" t="s">
        <v>108</v>
      </c>
      <c r="B37" s="43"/>
      <c r="C37" s="26">
        <v>0</v>
      </c>
      <c r="D37" s="26">
        <f>D34*C37</f>
        <v>0</v>
      </c>
      <c r="E37" s="26"/>
      <c r="F37" s="26">
        <f>C37</f>
        <v>0</v>
      </c>
      <c r="G37" s="26">
        <f>G34*F37</f>
        <v>0</v>
      </c>
      <c r="H37" s="26">
        <f t="shared" si="3"/>
        <v>0</v>
      </c>
      <c r="I37" s="44" t="str">
        <f t="shared" si="7"/>
        <v>N/A</v>
      </c>
      <c r="J37" s="45">
        <f t="shared" si="10"/>
        <v>0</v>
      </c>
    </row>
    <row r="38" spans="1:10" ht="13.5" thickBot="1" x14ac:dyDescent="0.25">
      <c r="A38" s="46" t="s">
        <v>109</v>
      </c>
      <c r="B38" s="49"/>
      <c r="C38" s="50"/>
      <c r="D38" s="50">
        <f>SUM(D36:D37)</f>
        <v>28496.017950000001</v>
      </c>
      <c r="E38" s="50"/>
      <c r="F38" s="50"/>
      <c r="G38" s="50">
        <f>SUM(G36:G37)</f>
        <v>29243.677365000003</v>
      </c>
      <c r="H38" s="50">
        <f t="shared" si="3"/>
        <v>747.6594150000019</v>
      </c>
      <c r="I38" s="51">
        <f t="shared" si="7"/>
        <v>2.6237329591519361E-2</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98</v>
      </c>
      <c r="B1" s="191"/>
      <c r="C1" s="191"/>
      <c r="D1" s="191"/>
      <c r="E1" s="191"/>
      <c r="F1" s="191"/>
      <c r="G1" s="191"/>
      <c r="H1" s="191"/>
      <c r="I1" s="191"/>
      <c r="J1" s="192"/>
    </row>
    <row r="3" spans="1:10" x14ac:dyDescent="0.2">
      <c r="A3" s="13" t="s">
        <v>13</v>
      </c>
      <c r="B3" s="13" t="s">
        <v>5</v>
      </c>
    </row>
    <row r="4" spans="1:10" x14ac:dyDescent="0.2">
      <c r="A4" s="15" t="s">
        <v>62</v>
      </c>
      <c r="B4" s="79">
        <v>15000</v>
      </c>
    </row>
    <row r="5" spans="1:10" x14ac:dyDescent="0.2">
      <c r="A5" s="15" t="s">
        <v>16</v>
      </c>
      <c r="B5" s="79">
        <v>60</v>
      </c>
    </row>
    <row r="6" spans="1:10" x14ac:dyDescent="0.2">
      <c r="A6" s="15" t="s">
        <v>20</v>
      </c>
      <c r="B6" s="80">
        <f>VLOOKUP($B$3,'Data for Bill Impacts'!$A$6:$Y$18,2,0)</f>
        <v>1.0609999999999999</v>
      </c>
    </row>
    <row r="7" spans="1:10" x14ac:dyDescent="0.2">
      <c r="A7" s="81" t="s">
        <v>48</v>
      </c>
      <c r="B7" s="82">
        <f>B4/(B5*730)</f>
        <v>0.34246575342465752</v>
      </c>
    </row>
    <row r="8" spans="1:10" x14ac:dyDescent="0.2">
      <c r="A8" s="15" t="s">
        <v>15</v>
      </c>
      <c r="B8" s="79">
        <f>VLOOKUP($B$3,'Data for Bill Impacts'!$A$6:$Y$18,4,0)</f>
        <v>0</v>
      </c>
    </row>
    <row r="9" spans="1:10" x14ac:dyDescent="0.2">
      <c r="A9" s="15" t="s">
        <v>82</v>
      </c>
      <c r="B9" s="79">
        <f>B4*B6</f>
        <v>15915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15915</v>
      </c>
      <c r="C13" s="103">
        <v>9.0999999999999998E-2</v>
      </c>
      <c r="D13" s="104">
        <f>B13*C13</f>
        <v>1448.2649999999999</v>
      </c>
      <c r="E13" s="102">
        <f>B13</f>
        <v>15915</v>
      </c>
      <c r="F13" s="103">
        <f>C13</f>
        <v>9.0999999999999998E-2</v>
      </c>
      <c r="G13" s="104">
        <f>E13*F13</f>
        <v>1448.2649999999999</v>
      </c>
      <c r="H13" s="104">
        <f>G13-D13</f>
        <v>0</v>
      </c>
      <c r="I13" s="105">
        <f t="shared" ref="I13:I18" si="0">IF(ISERROR(H13/ABS(D13)),"N/A",(H13/ABS(D13)))</f>
        <v>0</v>
      </c>
      <c r="J13" s="123">
        <f t="shared" ref="J13:J21" si="1">G13/$G$38</f>
        <v>0.43740709124652866</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1448.2649999999999</v>
      </c>
      <c r="E15" s="76"/>
      <c r="F15" s="25"/>
      <c r="G15" s="25">
        <f>SUM(G13:G14)</f>
        <v>1448.2649999999999</v>
      </c>
      <c r="H15" s="25">
        <f t="shared" si="3"/>
        <v>0</v>
      </c>
      <c r="I15" s="27">
        <f t="shared" si="0"/>
        <v>0</v>
      </c>
      <c r="J15" s="47">
        <f t="shared" si="1"/>
        <v>0.43740709124652866</v>
      </c>
    </row>
    <row r="16" spans="1:10" s="1" customFormat="1" x14ac:dyDescent="0.2">
      <c r="A16" s="107" t="s">
        <v>38</v>
      </c>
      <c r="B16" s="73">
        <v>1</v>
      </c>
      <c r="C16" s="78">
        <f>VLOOKUP($B$3,'Data for Bill Impacts'!$A$6:$Y$18,7,0)</f>
        <v>89.48</v>
      </c>
      <c r="D16" s="22">
        <f>B16*C16</f>
        <v>89.48</v>
      </c>
      <c r="E16" s="73">
        <f t="shared" ref="E16:E33" si="4">B16</f>
        <v>1</v>
      </c>
      <c r="F16" s="78">
        <f>VLOOKUP($B$3,'Data for Bill Impacts'!$A$6:$Y$18,17,0)</f>
        <v>102.52</v>
      </c>
      <c r="G16" s="22">
        <f>E16*F16</f>
        <v>102.52</v>
      </c>
      <c r="H16" s="22">
        <f t="shared" si="3"/>
        <v>13.039999999999992</v>
      </c>
      <c r="I16" s="23">
        <f t="shared" si="0"/>
        <v>0.14573088958426456</v>
      </c>
      <c r="J16" s="124">
        <f t="shared" si="1"/>
        <v>3.0963238768177175E-2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ref="H18" si="7">G18-D18</f>
        <v>0</v>
      </c>
      <c r="I18" s="23" t="str">
        <f t="shared" si="0"/>
        <v>N/A</v>
      </c>
      <c r="J18" s="124">
        <f t="shared" si="1"/>
        <v>0</v>
      </c>
    </row>
    <row r="19" spans="1:10" x14ac:dyDescent="0.2">
      <c r="A19" s="107" t="s">
        <v>85</v>
      </c>
      <c r="B19" s="73">
        <v>1</v>
      </c>
      <c r="C19" s="78">
        <f>VLOOKUP($B$3,'Data for Bill Impacts'!$A$6:$Y$18,13,0)</f>
        <v>1.37</v>
      </c>
      <c r="D19" s="22">
        <f t="shared" si="6"/>
        <v>1.37</v>
      </c>
      <c r="E19" s="73">
        <f t="shared" si="4"/>
        <v>1</v>
      </c>
      <c r="F19" s="78">
        <f>VLOOKUP($B$3,'Data for Bill Impacts'!$A$6:$Y$18,22,0)</f>
        <v>-8.9999999999999993E-3</v>
      </c>
      <c r="G19" s="22">
        <f t="shared" si="5"/>
        <v>-8.9999999999999993E-3</v>
      </c>
      <c r="H19" s="22">
        <f t="shared" ref="H19" si="8">G19-D19</f>
        <v>-1.379</v>
      </c>
      <c r="I19" s="23">
        <f>IF(ISERROR(H19/ABS(D19)),"N/A",(H19/ABS(D19)))</f>
        <v>-1.0065693430656935</v>
      </c>
      <c r="J19" s="124">
        <f t="shared" si="1"/>
        <v>-2.7181930249082575E-6</v>
      </c>
    </row>
    <row r="20" spans="1:10" x14ac:dyDescent="0.2">
      <c r="A20" s="107" t="s">
        <v>39</v>
      </c>
      <c r="B20" s="73">
        <f>IF($B$10="kWh",$B$4,$B$5)</f>
        <v>60</v>
      </c>
      <c r="C20" s="78">
        <f>VLOOKUP($B$3,'Data for Bill Impacts'!$A$6:$Y$18,10,0)</f>
        <v>16.023600000000002</v>
      </c>
      <c r="D20" s="22">
        <f>B20*C20</f>
        <v>961.41600000000017</v>
      </c>
      <c r="E20" s="73">
        <f t="shared" si="4"/>
        <v>60</v>
      </c>
      <c r="F20" s="125">
        <f>VLOOKUP($B$3,'Data for Bill Impacts'!$A$6:$Y$18,19,0)</f>
        <v>16.768899999999999</v>
      </c>
      <c r="G20" s="22">
        <f>E20*F20</f>
        <v>1006.1339999999999</v>
      </c>
      <c r="H20" s="22">
        <f t="shared" si="3"/>
        <v>44.717999999999734</v>
      </c>
      <c r="I20" s="23">
        <f t="shared" ref="I20:I38" si="9">IF(ISERROR(H20/ABS(D20)),"N/A",(H20/ABS(D20)))</f>
        <v>4.6512643850320494E-2</v>
      </c>
      <c r="J20" s="124">
        <f t="shared" si="1"/>
        <v>0.30387404676922719</v>
      </c>
    </row>
    <row r="21" spans="1:10" s="1" customFormat="1" x14ac:dyDescent="0.2">
      <c r="A21" s="107" t="s">
        <v>124</v>
      </c>
      <c r="B21" s="73">
        <f>IF($B$10="kWh",$B$4,$B$5)</f>
        <v>60</v>
      </c>
      <c r="C21" s="78">
        <f>VLOOKUP($B$3,'Data for Bill Impacts'!$A$6:$Y$18,14,0)</f>
        <v>4.2799999999999998E-2</v>
      </c>
      <c r="D21" s="22">
        <f>B21*C21</f>
        <v>2.5680000000000001</v>
      </c>
      <c r="E21" s="73">
        <f t="shared" si="4"/>
        <v>60</v>
      </c>
      <c r="F21" s="125">
        <f>VLOOKUP($B$3,'Data for Bill Impacts'!$A$6:$Y$18,23,0)</f>
        <v>5.1599999999999997E-3</v>
      </c>
      <c r="G21" s="22">
        <f>E21*F21</f>
        <v>0.30959999999999999</v>
      </c>
      <c r="H21" s="22">
        <f t="shared" si="3"/>
        <v>-2.2584</v>
      </c>
      <c r="I21" s="23">
        <f t="shared" si="9"/>
        <v>-0.8794392523364486</v>
      </c>
      <c r="J21" s="124">
        <f t="shared" si="1"/>
        <v>9.3505840056844067E-5</v>
      </c>
    </row>
    <row r="22" spans="1:10" s="1" customFormat="1" x14ac:dyDescent="0.2">
      <c r="A22" s="107" t="s">
        <v>112</v>
      </c>
      <c r="B22" s="73">
        <f>B9</f>
        <v>15915</v>
      </c>
      <c r="C22" s="125">
        <f>VLOOKUP($B$3,'Data for Bill Impacts'!$A$6:$Y$18,20,0)</f>
        <v>-1E-3</v>
      </c>
      <c r="D22" s="22">
        <f>B22*C22</f>
        <v>-15.915000000000001</v>
      </c>
      <c r="E22" s="73">
        <f>B22</f>
        <v>15915</v>
      </c>
      <c r="F22" s="125">
        <f>VLOOKUP($B$3,'Data for Bill Impacts'!$A$6:$Y$18,21,0)</f>
        <v>0</v>
      </c>
      <c r="G22" s="22">
        <f>E22*F22</f>
        <v>0</v>
      </c>
      <c r="H22" s="22">
        <f t="shared" ref="H22" si="10">G22-D22</f>
        <v>15.915000000000001</v>
      </c>
      <c r="I22" s="23">
        <f t="shared" si="9"/>
        <v>1</v>
      </c>
      <c r="J22" s="124">
        <f t="shared" ref="J22" si="11">G22/$G$38</f>
        <v>0</v>
      </c>
    </row>
    <row r="23" spans="1:10" x14ac:dyDescent="0.2">
      <c r="A23" s="110" t="s">
        <v>79</v>
      </c>
      <c r="B23" s="74"/>
      <c r="C23" s="35"/>
      <c r="D23" s="35">
        <f>SUM(D16:D22)</f>
        <v>1038.9190000000001</v>
      </c>
      <c r="E23" s="73"/>
      <c r="F23" s="35"/>
      <c r="G23" s="35">
        <f>SUM(G16:G22)</f>
        <v>1108.9546</v>
      </c>
      <c r="H23" s="35">
        <f t="shared" si="3"/>
        <v>70.035599999999931</v>
      </c>
      <c r="I23" s="36">
        <f t="shared" si="9"/>
        <v>6.7411992657752842E-2</v>
      </c>
      <c r="J23" s="111">
        <f t="shared" ref="J23:J29" si="12">G23/$G$38</f>
        <v>0.33492807318443635</v>
      </c>
    </row>
    <row r="24" spans="1:10" x14ac:dyDescent="0.2">
      <c r="A24" s="107" t="s">
        <v>40</v>
      </c>
      <c r="B24" s="73">
        <f>B5</f>
        <v>60</v>
      </c>
      <c r="C24" s="78">
        <f>VLOOKUP($B$3,'Data for Bill Impacts'!$A$6:$Y$18,15,0)</f>
        <v>1.7027000000000001</v>
      </c>
      <c r="D24" s="22">
        <f>B24*C24</f>
        <v>102.16200000000001</v>
      </c>
      <c r="E24" s="73">
        <f t="shared" si="4"/>
        <v>60</v>
      </c>
      <c r="F24" s="125">
        <f>VLOOKUP($B$3,'Data for Bill Impacts'!$A$6:$Y$18,24,0)</f>
        <v>1.6718177000000001</v>
      </c>
      <c r="G24" s="22">
        <f>E24*F24</f>
        <v>100.30906200000001</v>
      </c>
      <c r="H24" s="22">
        <f t="shared" si="3"/>
        <v>-1.8529379999999946</v>
      </c>
      <c r="I24" s="23">
        <f t="shared" si="9"/>
        <v>-1.8137252598813595E-2</v>
      </c>
      <c r="J24" s="124">
        <f t="shared" si="12"/>
        <v>3.0295488073721111E-2</v>
      </c>
    </row>
    <row r="25" spans="1:10" s="1" customFormat="1" x14ac:dyDescent="0.2">
      <c r="A25" s="107" t="s">
        <v>41</v>
      </c>
      <c r="B25" s="73">
        <f>B5</f>
        <v>60</v>
      </c>
      <c r="C25" s="78">
        <f>VLOOKUP($B$3,'Data for Bill Impacts'!$A$6:$Y$18,16,0)</f>
        <v>1.1397999999999999</v>
      </c>
      <c r="D25" s="22">
        <f>B25*C25</f>
        <v>68.387999999999991</v>
      </c>
      <c r="E25" s="73">
        <f t="shared" si="4"/>
        <v>60</v>
      </c>
      <c r="F25" s="125">
        <f>VLOOKUP($B$3,'Data for Bill Impacts'!$A$6:$Y$18,25,0)</f>
        <v>1.2769135</v>
      </c>
      <c r="G25" s="22">
        <f>E25*F25</f>
        <v>76.614810000000006</v>
      </c>
      <c r="H25" s="22">
        <f t="shared" si="3"/>
        <v>8.2268100000000146</v>
      </c>
      <c r="I25" s="23">
        <f t="shared" si="9"/>
        <v>0.12029610457975107</v>
      </c>
      <c r="J25" s="124">
        <f t="shared" si="12"/>
        <v>2.3139315794074605E-2</v>
      </c>
    </row>
    <row r="26" spans="1:10" x14ac:dyDescent="0.2">
      <c r="A26" s="110" t="s">
        <v>76</v>
      </c>
      <c r="B26" s="74"/>
      <c r="C26" s="35"/>
      <c r="D26" s="35">
        <f>SUM(D24:D25)</f>
        <v>170.55</v>
      </c>
      <c r="E26" s="73"/>
      <c r="F26" s="35"/>
      <c r="G26" s="35">
        <f>SUM(G24:G25)</f>
        <v>176.92387200000002</v>
      </c>
      <c r="H26" s="35">
        <f t="shared" si="3"/>
        <v>6.3738720000000058</v>
      </c>
      <c r="I26" s="36">
        <f t="shared" si="9"/>
        <v>3.7372453825857549E-2</v>
      </c>
      <c r="J26" s="111">
        <f t="shared" si="12"/>
        <v>5.343480386779572E-2</v>
      </c>
    </row>
    <row r="27" spans="1:10" s="1" customFormat="1" x14ac:dyDescent="0.2">
      <c r="A27" s="110" t="s">
        <v>80</v>
      </c>
      <c r="B27" s="74"/>
      <c r="C27" s="35"/>
      <c r="D27" s="35">
        <f>D23+D26</f>
        <v>1209.4690000000001</v>
      </c>
      <c r="E27" s="73"/>
      <c r="F27" s="35"/>
      <c r="G27" s="35">
        <f>G23+G26</f>
        <v>1285.8784720000001</v>
      </c>
      <c r="H27" s="35">
        <f t="shared" si="3"/>
        <v>76.409472000000051</v>
      </c>
      <c r="I27" s="36">
        <f t="shared" si="9"/>
        <v>6.3176048331953977E-2</v>
      </c>
      <c r="J27" s="111">
        <f t="shared" si="12"/>
        <v>0.3883628770522321</v>
      </c>
    </row>
    <row r="28" spans="1:10" x14ac:dyDescent="0.2">
      <c r="A28" s="107" t="s">
        <v>42</v>
      </c>
      <c r="B28" s="73">
        <f>B9</f>
        <v>15915</v>
      </c>
      <c r="C28" s="34">
        <v>3.5999999999999999E-3</v>
      </c>
      <c r="D28" s="22">
        <f>B28*C28</f>
        <v>57.293999999999997</v>
      </c>
      <c r="E28" s="73">
        <f t="shared" si="4"/>
        <v>15915</v>
      </c>
      <c r="F28" s="34">
        <v>3.5999999999999999E-3</v>
      </c>
      <c r="G28" s="22">
        <f>E28*F28</f>
        <v>57.293999999999997</v>
      </c>
      <c r="H28" s="22">
        <f t="shared" si="3"/>
        <v>0</v>
      </c>
      <c r="I28" s="23">
        <f t="shared" si="9"/>
        <v>0</v>
      </c>
      <c r="J28" s="124">
        <f t="shared" si="12"/>
        <v>1.7304016796565968E-2</v>
      </c>
    </row>
    <row r="29" spans="1:10" x14ac:dyDescent="0.2">
      <c r="A29" s="107" t="s">
        <v>43</v>
      </c>
      <c r="B29" s="73">
        <f>B9</f>
        <v>15915</v>
      </c>
      <c r="C29" s="34">
        <v>2.0999999999999999E-3</v>
      </c>
      <c r="D29" s="22">
        <f>B29*C29</f>
        <v>33.421499999999995</v>
      </c>
      <c r="E29" s="73">
        <f t="shared" si="4"/>
        <v>15915</v>
      </c>
      <c r="F29" s="34">
        <v>2.0999999999999999E-3</v>
      </c>
      <c r="G29" s="22">
        <f>E29*F29</f>
        <v>33.421499999999995</v>
      </c>
      <c r="H29" s="22">
        <f>G29-D29</f>
        <v>0</v>
      </c>
      <c r="I29" s="23">
        <f t="shared" si="9"/>
        <v>0</v>
      </c>
      <c r="J29" s="124">
        <f t="shared" si="12"/>
        <v>1.0094009797996814E-2</v>
      </c>
    </row>
    <row r="30" spans="1:10" x14ac:dyDescent="0.2">
      <c r="A30" s="107" t="s">
        <v>96</v>
      </c>
      <c r="B30" s="73">
        <f>B9</f>
        <v>15915</v>
      </c>
      <c r="C30" s="34">
        <v>0</v>
      </c>
      <c r="D30" s="22">
        <f>B30*C30</f>
        <v>0</v>
      </c>
      <c r="E30" s="73">
        <f t="shared" si="4"/>
        <v>15915</v>
      </c>
      <c r="F30" s="34">
        <v>0</v>
      </c>
      <c r="G30" s="22">
        <f>E30*F30</f>
        <v>0</v>
      </c>
      <c r="H30" s="22">
        <f>G30-D30</f>
        <v>0</v>
      </c>
      <c r="I30" s="23" t="str">
        <f t="shared" si="9"/>
        <v>N/A</v>
      </c>
      <c r="J30" s="124">
        <f t="shared" ref="J30" si="13">G30/$G$38</f>
        <v>0</v>
      </c>
    </row>
    <row r="31" spans="1:10" x14ac:dyDescent="0.2">
      <c r="A31" s="107" t="s">
        <v>44</v>
      </c>
      <c r="B31" s="73">
        <v>1</v>
      </c>
      <c r="C31" s="22">
        <v>0.25</v>
      </c>
      <c r="D31" s="22">
        <f>B31*C31</f>
        <v>0.25</v>
      </c>
      <c r="E31" s="73">
        <f t="shared" si="4"/>
        <v>1</v>
      </c>
      <c r="F31" s="22">
        <f>C31</f>
        <v>0.25</v>
      </c>
      <c r="G31" s="22">
        <f>E31*F31</f>
        <v>0.25</v>
      </c>
      <c r="H31" s="22">
        <f t="shared" si="3"/>
        <v>0</v>
      </c>
      <c r="I31" s="23">
        <f t="shared" si="9"/>
        <v>0</v>
      </c>
      <c r="J31" s="124">
        <f t="shared" ref="J31:J38" si="14">G31/$G$38</f>
        <v>7.5505361803007167E-5</v>
      </c>
    </row>
    <row r="32" spans="1:10" x14ac:dyDescent="0.2">
      <c r="A32" s="110" t="s">
        <v>45</v>
      </c>
      <c r="B32" s="74"/>
      <c r="C32" s="35"/>
      <c r="D32" s="35">
        <f>SUM(D28:D31)</f>
        <v>90.965499999999992</v>
      </c>
      <c r="E32" s="73"/>
      <c r="F32" s="35"/>
      <c r="G32" s="35">
        <f>SUM(G28:G31)</f>
        <v>90.965499999999992</v>
      </c>
      <c r="H32" s="35">
        <f t="shared" si="3"/>
        <v>0</v>
      </c>
      <c r="I32" s="36">
        <f t="shared" si="9"/>
        <v>0</v>
      </c>
      <c r="J32" s="111">
        <f t="shared" si="14"/>
        <v>2.7473531956365791E-2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3"/>
        <v>0</v>
      </c>
      <c r="I33" s="117">
        <f t="shared" si="9"/>
        <v>0</v>
      </c>
      <c r="J33" s="118">
        <f t="shared" si="14"/>
        <v>3.1712251957263009E-2</v>
      </c>
    </row>
    <row r="34" spans="1:10" x14ac:dyDescent="0.2">
      <c r="A34" s="37" t="s">
        <v>115</v>
      </c>
      <c r="B34" s="38"/>
      <c r="C34" s="39"/>
      <c r="D34" s="39">
        <f>SUM(D15,D23,D26,D32,D33)</f>
        <v>2853.6995000000002</v>
      </c>
      <c r="E34" s="38"/>
      <c r="F34" s="39"/>
      <c r="G34" s="39">
        <f>SUM(G15,G23,G26,G32,G33)</f>
        <v>2930.1089719999995</v>
      </c>
      <c r="H34" s="39">
        <f t="shared" si="3"/>
        <v>76.409471999999369</v>
      </c>
      <c r="I34" s="40">
        <f t="shared" si="9"/>
        <v>2.6775584465007392E-2</v>
      </c>
      <c r="J34" s="41">
        <f t="shared" si="14"/>
        <v>0.88495575221238942</v>
      </c>
    </row>
    <row r="35" spans="1:10" x14ac:dyDescent="0.2">
      <c r="A35" s="46" t="s">
        <v>106</v>
      </c>
      <c r="B35" s="43"/>
      <c r="C35" s="26">
        <v>0.13</v>
      </c>
      <c r="D35" s="26">
        <f>D34*C35</f>
        <v>370.98093500000004</v>
      </c>
      <c r="E35" s="26"/>
      <c r="F35" s="26">
        <f>C35</f>
        <v>0.13</v>
      </c>
      <c r="G35" s="26">
        <f>G34*F35</f>
        <v>380.91416635999997</v>
      </c>
      <c r="H35" s="26">
        <f t="shared" si="3"/>
        <v>9.9332313599999225</v>
      </c>
      <c r="I35" s="44">
        <f t="shared" si="9"/>
        <v>2.6775584465007402E-2</v>
      </c>
      <c r="J35" s="45">
        <f t="shared" si="14"/>
        <v>0.11504424778761063</v>
      </c>
    </row>
    <row r="36" spans="1:10" x14ac:dyDescent="0.2">
      <c r="A36" s="46" t="s">
        <v>107</v>
      </c>
      <c r="B36" s="24"/>
      <c r="C36" s="25"/>
      <c r="D36" s="25">
        <f>SUM(D34:D35)</f>
        <v>3224.6804350000002</v>
      </c>
      <c r="E36" s="25"/>
      <c r="F36" s="25"/>
      <c r="G36" s="25">
        <f>SUM(G34:G35)</f>
        <v>3311.0231383599994</v>
      </c>
      <c r="H36" s="25">
        <f t="shared" si="3"/>
        <v>86.342703359999177</v>
      </c>
      <c r="I36" s="27">
        <f t="shared" si="9"/>
        <v>2.6775584465007357E-2</v>
      </c>
      <c r="J36" s="47">
        <f t="shared" si="14"/>
        <v>1</v>
      </c>
    </row>
    <row r="37" spans="1:10" x14ac:dyDescent="0.2">
      <c r="A37" s="46" t="s">
        <v>108</v>
      </c>
      <c r="B37" s="43"/>
      <c r="C37" s="26">
        <v>0</v>
      </c>
      <c r="D37" s="26">
        <f>D34*C37</f>
        <v>0</v>
      </c>
      <c r="E37" s="26"/>
      <c r="F37" s="26">
        <f>C37</f>
        <v>0</v>
      </c>
      <c r="G37" s="26">
        <f>G34*F37</f>
        <v>0</v>
      </c>
      <c r="H37" s="26">
        <f t="shared" si="3"/>
        <v>0</v>
      </c>
      <c r="I37" s="44" t="str">
        <f t="shared" si="9"/>
        <v>N/A</v>
      </c>
      <c r="J37" s="45">
        <f t="shared" si="14"/>
        <v>0</v>
      </c>
    </row>
    <row r="38" spans="1:10" ht="13.5" thickBot="1" x14ac:dyDescent="0.25">
      <c r="A38" s="46" t="s">
        <v>109</v>
      </c>
      <c r="B38" s="49"/>
      <c r="C38" s="50"/>
      <c r="D38" s="50">
        <f>SUM(D36:D37)</f>
        <v>3224.6804350000002</v>
      </c>
      <c r="E38" s="50"/>
      <c r="F38" s="50"/>
      <c r="G38" s="50">
        <f>SUM(G36:G37)</f>
        <v>3311.0231383599994</v>
      </c>
      <c r="H38" s="50">
        <f t="shared" si="3"/>
        <v>86.342703359999177</v>
      </c>
      <c r="I38" s="51">
        <f t="shared" si="9"/>
        <v>2.6775584465007357E-2</v>
      </c>
      <c r="J38" s="52">
        <f t="shared" si="14"/>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abSelected="1" view="pageLayout" topLeftCell="C4"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98</v>
      </c>
      <c r="B1" s="191"/>
      <c r="C1" s="191"/>
      <c r="D1" s="191"/>
      <c r="E1" s="191"/>
      <c r="F1" s="191"/>
      <c r="G1" s="191"/>
      <c r="H1" s="191"/>
      <c r="I1" s="191"/>
      <c r="J1" s="191"/>
      <c r="K1" s="192"/>
    </row>
    <row r="3" spans="1:11" x14ac:dyDescent="0.2">
      <c r="A3" s="13" t="s">
        <v>13</v>
      </c>
      <c r="B3" s="13" t="s">
        <v>0</v>
      </c>
    </row>
    <row r="4" spans="1:11" x14ac:dyDescent="0.2">
      <c r="A4" s="15" t="s">
        <v>62</v>
      </c>
      <c r="B4" s="15">
        <v>350</v>
      </c>
    </row>
    <row r="5" spans="1:11" x14ac:dyDescent="0.2">
      <c r="A5" s="15" t="s">
        <v>16</v>
      </c>
      <c r="B5" s="15">
        <f>VLOOKUP($B$3,'Data for Bill Impacts'!$A$6:$Y$18,5,0)</f>
        <v>0</v>
      </c>
    </row>
    <row r="6" spans="1:11" x14ac:dyDescent="0.2">
      <c r="A6" s="15" t="s">
        <v>20</v>
      </c>
      <c r="B6" s="15">
        <f>VLOOKUP($B$3,'Data for Bill Impacts'!$A$6:$Y$18,2,0)</f>
        <v>1.0569999999999999</v>
      </c>
    </row>
    <row r="7" spans="1:11" x14ac:dyDescent="0.2">
      <c r="A7" s="15" t="s">
        <v>15</v>
      </c>
      <c r="B7" s="15">
        <f>VLOOKUP($B$3,'Data for Bill Impacts'!$A$6:$Y$18,4,0)</f>
        <v>600</v>
      </c>
    </row>
    <row r="8" spans="1:11" x14ac:dyDescent="0.2">
      <c r="A8" s="15" t="s">
        <v>82</v>
      </c>
      <c r="B8" s="15">
        <f>B4*B6</f>
        <v>369.95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9.0999999999999998E-2</v>
      </c>
      <c r="D12" s="104">
        <f>B12*C12</f>
        <v>31.849999999999998</v>
      </c>
      <c r="E12" s="102">
        <f>B12</f>
        <v>350</v>
      </c>
      <c r="F12" s="103">
        <f>C12</f>
        <v>9.0999999999999998E-2</v>
      </c>
      <c r="G12" s="104">
        <f>E12*F12</f>
        <v>31.849999999999998</v>
      </c>
      <c r="H12" s="104">
        <f>G12-D12</f>
        <v>0</v>
      </c>
      <c r="I12" s="105">
        <f t="shared" ref="I12:I18" si="0">IF(ISERROR(H12/ABS(D12)),"N/A",(H12/ABS(D12)))</f>
        <v>0</v>
      </c>
      <c r="J12" s="105">
        <f>G12/$G$46</f>
        <v>0.41810607897150587</v>
      </c>
      <c r="K12" s="106"/>
    </row>
    <row r="13" spans="1:11" x14ac:dyDescent="0.2">
      <c r="A13" s="107" t="s">
        <v>32</v>
      </c>
      <c r="B13" s="73">
        <f>IF(B4&gt;B7,(B4)-B7,0)</f>
        <v>0</v>
      </c>
      <c r="C13" s="21">
        <v>0.106</v>
      </c>
      <c r="D13" s="22">
        <f>B13*C13</f>
        <v>0</v>
      </c>
      <c r="E13" s="73">
        <f t="shared" ref="E13:E41" si="1">B13</f>
        <v>0</v>
      </c>
      <c r="F13" s="21">
        <f>C13</f>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31.849999999999998</v>
      </c>
      <c r="E14" s="76"/>
      <c r="F14" s="25"/>
      <c r="G14" s="25">
        <f>SUM(G12:G13)</f>
        <v>31.849999999999998</v>
      </c>
      <c r="H14" s="25">
        <f t="shared" si="2"/>
        <v>0</v>
      </c>
      <c r="I14" s="27">
        <f t="shared" si="0"/>
        <v>0</v>
      </c>
      <c r="J14" s="27">
        <f>G14/$G$46</f>
        <v>0.41810607897150587</v>
      </c>
      <c r="K14" s="108"/>
    </row>
    <row r="15" spans="1:11" s="1" customFormat="1" x14ac:dyDescent="0.2">
      <c r="A15" s="109" t="s">
        <v>34</v>
      </c>
      <c r="B15" s="75">
        <f>B4*0.65</f>
        <v>227.5</v>
      </c>
      <c r="C15" s="28">
        <v>7.6999999999999999E-2</v>
      </c>
      <c r="D15" s="22">
        <f>B15*C15</f>
        <v>17.517499999999998</v>
      </c>
      <c r="E15" s="73">
        <f t="shared" ref="E15:E17" si="3">B15</f>
        <v>227.5</v>
      </c>
      <c r="F15" s="28">
        <f>C15</f>
        <v>7.6999999999999999E-2</v>
      </c>
      <c r="G15" s="22">
        <f>E15*F15</f>
        <v>17.517499999999998</v>
      </c>
      <c r="H15" s="22">
        <f t="shared" si="2"/>
        <v>0</v>
      </c>
      <c r="I15" s="23">
        <f t="shared" si="0"/>
        <v>0</v>
      </c>
      <c r="J15" s="23"/>
      <c r="K15" s="108">
        <f t="shared" ref="K15:K26" si="4">G15/$G$51</f>
        <v>0.22255885245464696</v>
      </c>
    </row>
    <row r="16" spans="1:11" s="1" customFormat="1" x14ac:dyDescent="0.2">
      <c r="A16" s="109" t="s">
        <v>35</v>
      </c>
      <c r="B16" s="75">
        <f>B4*0.17</f>
        <v>59.500000000000007</v>
      </c>
      <c r="C16" s="28">
        <v>0.113</v>
      </c>
      <c r="D16" s="22">
        <f>B16*C16</f>
        <v>6.7235000000000014</v>
      </c>
      <c r="E16" s="73">
        <f t="shared" si="3"/>
        <v>59.500000000000007</v>
      </c>
      <c r="F16" s="28">
        <f t="shared" ref="F16:F17" si="5">C16</f>
        <v>0.113</v>
      </c>
      <c r="G16" s="22">
        <f>E16*F16</f>
        <v>6.7235000000000014</v>
      </c>
      <c r="H16" s="22">
        <f t="shared" si="2"/>
        <v>0</v>
      </c>
      <c r="I16" s="23">
        <f t="shared" si="0"/>
        <v>0</v>
      </c>
      <c r="J16" s="23"/>
      <c r="K16" s="108">
        <f t="shared" si="4"/>
        <v>8.5421689423651734E-2</v>
      </c>
    </row>
    <row r="17" spans="1:11" s="1" customFormat="1" x14ac:dyDescent="0.2">
      <c r="A17" s="109" t="s">
        <v>36</v>
      </c>
      <c r="B17" s="75">
        <f>B4*0.18</f>
        <v>63</v>
      </c>
      <c r="C17" s="28">
        <v>0.157</v>
      </c>
      <c r="D17" s="22">
        <f>B17*C17</f>
        <v>9.891</v>
      </c>
      <c r="E17" s="73">
        <f t="shared" si="3"/>
        <v>63</v>
      </c>
      <c r="F17" s="28">
        <f t="shared" si="5"/>
        <v>0.157</v>
      </c>
      <c r="G17" s="22">
        <f>E17*F17</f>
        <v>9.891</v>
      </c>
      <c r="H17" s="22">
        <f t="shared" si="2"/>
        <v>0</v>
      </c>
      <c r="I17" s="23">
        <f t="shared" si="0"/>
        <v>0</v>
      </c>
      <c r="J17" s="23"/>
      <c r="K17" s="108">
        <f t="shared" si="4"/>
        <v>0.12566459880855793</v>
      </c>
    </row>
    <row r="18" spans="1:11" s="1" customFormat="1" x14ac:dyDescent="0.2">
      <c r="A18" s="61" t="s">
        <v>37</v>
      </c>
      <c r="B18" s="29"/>
      <c r="C18" s="30"/>
      <c r="D18" s="30">
        <f>SUM(D15:D17)</f>
        <v>34.131999999999998</v>
      </c>
      <c r="E18" s="77"/>
      <c r="F18" s="30"/>
      <c r="G18" s="30">
        <f>SUM(G15:G17)</f>
        <v>34.131999999999998</v>
      </c>
      <c r="H18" s="31">
        <f t="shared" si="2"/>
        <v>0</v>
      </c>
      <c r="I18" s="32">
        <f t="shared" si="0"/>
        <v>0</v>
      </c>
      <c r="J18" s="33">
        <f t="shared" ref="J18:J26" si="6">G18/$G$46</f>
        <v>0.44806269034396978</v>
      </c>
      <c r="K18" s="62">
        <f t="shared" si="4"/>
        <v>0.43364514068685661</v>
      </c>
    </row>
    <row r="19" spans="1:11" x14ac:dyDescent="0.2">
      <c r="A19" s="107" t="s">
        <v>38</v>
      </c>
      <c r="B19" s="73">
        <v>1</v>
      </c>
      <c r="C19" s="121">
        <f>VLOOKUP($B$3,'Data for Bill Impacts'!$A$6:$Y$18,7,0)</f>
        <v>24.78</v>
      </c>
      <c r="D19" s="22">
        <f>B19*C19</f>
        <v>24.78</v>
      </c>
      <c r="E19" s="73">
        <f t="shared" si="1"/>
        <v>1</v>
      </c>
      <c r="F19" s="121">
        <f>VLOOKUP($B$3,'Data for Bill Impacts'!$A$6:$Y$18,17,0)</f>
        <v>27.71</v>
      </c>
      <c r="G19" s="22">
        <f>E19*F19</f>
        <v>27.71</v>
      </c>
      <c r="H19" s="22">
        <f t="shared" si="2"/>
        <v>2.9299999999999997</v>
      </c>
      <c r="I19" s="23">
        <f>IF(ISERROR(H19/ABS(D19)),"N/A",(H19/ABS(D19)))</f>
        <v>0.11824051654560128</v>
      </c>
      <c r="J19" s="23">
        <f t="shared" si="6"/>
        <v>0.36375885237991928</v>
      </c>
      <c r="K19" s="108">
        <f t="shared" si="4"/>
        <v>0.35205399180923469</v>
      </c>
    </row>
    <row r="20" spans="1:11" hidden="1" x14ac:dyDescent="0.2">
      <c r="A20" s="107" t="s">
        <v>113</v>
      </c>
      <c r="B20" s="73">
        <v>1</v>
      </c>
      <c r="C20" s="78">
        <f>VLOOKUP($B$3,'Data for Bill Impacts'!$A$6:$Y$18,11,0)</f>
        <v>0</v>
      </c>
      <c r="D20" s="22">
        <f t="shared" ref="D20:D21" si="7">B20*C20</f>
        <v>0</v>
      </c>
      <c r="E20" s="73">
        <f t="shared" si="1"/>
        <v>1</v>
      </c>
      <c r="F20" s="121">
        <f>VLOOKUP($B$3,'Data for Bill Impacts'!$A$6:$Y$18,12,0)</f>
        <v>0</v>
      </c>
      <c r="G20" s="22">
        <f t="shared" ref="G20:G21" si="8">E20*F20</f>
        <v>0</v>
      </c>
      <c r="H20" s="22">
        <f t="shared" ref="H20:H21" si="9">G20-D20</f>
        <v>0</v>
      </c>
      <c r="I20" s="23">
        <f t="shared" ref="I20" si="10">IF(ISERROR(H20/D20),0,(H20/D20))</f>
        <v>0</v>
      </c>
      <c r="J20" s="23">
        <f t="shared" si="6"/>
        <v>0</v>
      </c>
      <c r="K20" s="108">
        <f t="shared" si="4"/>
        <v>0</v>
      </c>
    </row>
    <row r="21" spans="1:11" x14ac:dyDescent="0.2">
      <c r="A21" s="107" t="s">
        <v>85</v>
      </c>
      <c r="B21" s="73">
        <v>1</v>
      </c>
      <c r="C21" s="125">
        <f>VLOOKUP($B$3,'Data for Bill Impacts'!$A$6:$Y$18,13,0)</f>
        <v>0.72</v>
      </c>
      <c r="D21" s="22">
        <f t="shared" si="7"/>
        <v>0.72</v>
      </c>
      <c r="E21" s="73">
        <f t="shared" si="1"/>
        <v>1</v>
      </c>
      <c r="F21" s="125">
        <f>VLOOKUP($B$3,'Data for Bill Impacts'!$A$6:$Y$18,22,0)</f>
        <v>7.0000000000000001E-3</v>
      </c>
      <c r="G21" s="22">
        <f t="shared" si="8"/>
        <v>7.0000000000000001E-3</v>
      </c>
      <c r="H21" s="22">
        <f t="shared" si="9"/>
        <v>-0.71299999999999997</v>
      </c>
      <c r="I21" s="23">
        <f t="shared" ref="I21:I51" si="11">IF(ISERROR(H21/ABS(D21)),"N/A",(H21/ABS(D21)))</f>
        <v>-0.99027777777777781</v>
      </c>
      <c r="J21" s="23">
        <f t="shared" si="6"/>
        <v>9.1891445927803491E-5</v>
      </c>
      <c r="K21" s="108">
        <f t="shared" si="4"/>
        <v>8.8934606375483312E-5</v>
      </c>
    </row>
    <row r="22" spans="1:11" hidden="1" x14ac:dyDescent="0.2">
      <c r="A22" s="107" t="s">
        <v>123</v>
      </c>
      <c r="B22" s="73">
        <f>B4</f>
        <v>350</v>
      </c>
      <c r="C22" s="78">
        <v>0</v>
      </c>
      <c r="D22" s="22">
        <f>B22*C22</f>
        <v>0</v>
      </c>
      <c r="E22" s="73">
        <f>B22</f>
        <v>350</v>
      </c>
      <c r="F22" s="78">
        <f>C22</f>
        <v>0</v>
      </c>
      <c r="G22" s="22">
        <f>E22*F22</f>
        <v>0</v>
      </c>
      <c r="H22" s="22">
        <f>G22-D22</f>
        <v>0</v>
      </c>
      <c r="I22" s="23" t="str">
        <f t="shared" si="11"/>
        <v>N/A</v>
      </c>
      <c r="J22" s="23">
        <f t="shared" si="6"/>
        <v>0</v>
      </c>
      <c r="K22" s="108">
        <f t="shared" si="4"/>
        <v>0</v>
      </c>
    </row>
    <row r="23" spans="1:11" x14ac:dyDescent="0.2">
      <c r="A23" s="107" t="s">
        <v>39</v>
      </c>
      <c r="B23" s="73">
        <f>IF($B$9="kWh",$B$4,$B$5)</f>
        <v>350</v>
      </c>
      <c r="C23" s="78">
        <f>VLOOKUP($B$3,'Data for Bill Impacts'!$A$6:$Y$18,10,0)</f>
        <v>9.4000000000000004E-3</v>
      </c>
      <c r="D23" s="22">
        <f>B23*C23</f>
        <v>3.29</v>
      </c>
      <c r="E23" s="73">
        <f t="shared" si="1"/>
        <v>350</v>
      </c>
      <c r="F23" s="125">
        <f>VLOOKUP($B$3,'Data for Bill Impacts'!$A$6:$Y$18,19,0)</f>
        <v>7.7999999999999996E-3</v>
      </c>
      <c r="G23" s="22">
        <f>E23*F23</f>
        <v>2.73</v>
      </c>
      <c r="H23" s="22">
        <f t="shared" si="2"/>
        <v>-0.56000000000000005</v>
      </c>
      <c r="I23" s="23">
        <f t="shared" si="11"/>
        <v>-0.17021276595744683</v>
      </c>
      <c r="J23" s="23">
        <f t="shared" si="6"/>
        <v>3.5837663911843363E-2</v>
      </c>
      <c r="K23" s="108">
        <f t="shared" si="4"/>
        <v>3.4684496486438489E-2</v>
      </c>
    </row>
    <row r="24" spans="1:11" x14ac:dyDescent="0.2">
      <c r="A24" s="107" t="s">
        <v>124</v>
      </c>
      <c r="B24" s="73">
        <f>IF($B$9="kWh",$B$4,$B$5)</f>
        <v>350</v>
      </c>
      <c r="C24" s="78">
        <f>VLOOKUP($B$3,'Data for Bill Impacts'!$A$6:$Y$18,14,0)</f>
        <v>-2.9999999999999997E-4</v>
      </c>
      <c r="D24" s="22">
        <f>B24*C24</f>
        <v>-0.105</v>
      </c>
      <c r="E24" s="73">
        <f>B24</f>
        <v>350</v>
      </c>
      <c r="F24" s="125">
        <f>VLOOKUP($B$3,'Data for Bill Impacts'!$A$6:$Y$18,23,0)</f>
        <v>3.0000000000000004E-5</v>
      </c>
      <c r="G24" s="22">
        <f>E24*F24</f>
        <v>1.0500000000000001E-2</v>
      </c>
      <c r="H24" s="22">
        <f t="shared" ref="H24" si="12">G24-D24</f>
        <v>0.11549999999999999</v>
      </c>
      <c r="I24" s="23">
        <f t="shared" si="11"/>
        <v>1.0999999999999999</v>
      </c>
      <c r="J24" s="23">
        <f t="shared" si="6"/>
        <v>1.3783716889170526E-4</v>
      </c>
      <c r="K24" s="108">
        <f t="shared" si="4"/>
        <v>1.3340190956322498E-4</v>
      </c>
    </row>
    <row r="25" spans="1:11" s="1" customFormat="1" x14ac:dyDescent="0.2">
      <c r="A25" s="110" t="s">
        <v>72</v>
      </c>
      <c r="B25" s="74"/>
      <c r="C25" s="35"/>
      <c r="D25" s="35">
        <f>SUM(D19:D24)</f>
        <v>28.684999999999999</v>
      </c>
      <c r="E25" s="73"/>
      <c r="F25" s="35"/>
      <c r="G25" s="35">
        <f>SUM(G19:G24)</f>
        <v>30.457500000000003</v>
      </c>
      <c r="H25" s="35">
        <f t="shared" si="2"/>
        <v>1.7725000000000044</v>
      </c>
      <c r="I25" s="36">
        <f t="shared" si="11"/>
        <v>6.1791877287781224E-2</v>
      </c>
      <c r="J25" s="36">
        <f t="shared" si="6"/>
        <v>0.39982624490658214</v>
      </c>
      <c r="K25" s="111">
        <f t="shared" si="4"/>
        <v>0.38696082481161193</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11"/>
        <v>0</v>
      </c>
      <c r="J26" s="23">
        <f t="shared" si="6"/>
        <v>1.0370606040423537E-2</v>
      </c>
      <c r="K26" s="108">
        <f t="shared" si="4"/>
        <v>1.0036905576661689E-2</v>
      </c>
    </row>
    <row r="27" spans="1:11" s="1" customFormat="1" x14ac:dyDescent="0.2">
      <c r="A27" s="119" t="s">
        <v>75</v>
      </c>
      <c r="B27" s="120">
        <f>B8-B4</f>
        <v>19.949999999999989</v>
      </c>
      <c r="C27" s="176">
        <f>IF(B4&gt;B7,C13,C12)</f>
        <v>9.0999999999999998E-2</v>
      </c>
      <c r="D27" s="22">
        <f>B27*C27</f>
        <v>1.8154499999999989</v>
      </c>
      <c r="E27" s="73">
        <f>B27</f>
        <v>19.949999999999989</v>
      </c>
      <c r="F27" s="176">
        <f>C27</f>
        <v>9.0999999999999998E-2</v>
      </c>
      <c r="G27" s="22">
        <f>E27*F27</f>
        <v>1.8154499999999989</v>
      </c>
      <c r="H27" s="22">
        <f t="shared" ref="H27:H29" si="13">G27-D27</f>
        <v>0</v>
      </c>
      <c r="I27" s="23">
        <f t="shared" si="11"/>
        <v>0</v>
      </c>
      <c r="J27" s="23">
        <f t="shared" ref="J27:J29" si="14">G27/$G$46</f>
        <v>2.3832046501375822E-2</v>
      </c>
      <c r="K27" s="108">
        <f t="shared" ref="K27:K29" si="15">G27/$G$51</f>
        <v>2.3065190163481582E-2</v>
      </c>
    </row>
    <row r="28" spans="1:11" s="1" customFormat="1" x14ac:dyDescent="0.2">
      <c r="A28" s="119" t="s">
        <v>74</v>
      </c>
      <c r="B28" s="120">
        <f>B8-B4</f>
        <v>19.949999999999989</v>
      </c>
      <c r="C28" s="176">
        <f>0.65*C15+0.17*C16+0.18*C17</f>
        <v>9.7519999999999996E-2</v>
      </c>
      <c r="D28" s="22">
        <f>B28*C28</f>
        <v>1.9455239999999987</v>
      </c>
      <c r="E28" s="73">
        <f>B28</f>
        <v>19.949999999999989</v>
      </c>
      <c r="F28" s="176">
        <f>C28</f>
        <v>9.7519999999999996E-2</v>
      </c>
      <c r="G28" s="22">
        <f>E28*F28</f>
        <v>1.9455239999999987</v>
      </c>
      <c r="H28" s="22">
        <f t="shared" ref="H28" si="16">G28-D28</f>
        <v>0</v>
      </c>
      <c r="I28" s="23">
        <f t="shared" si="11"/>
        <v>0</v>
      </c>
      <c r="J28" s="23">
        <f t="shared" ref="J28" si="17">G28/$G$46</f>
        <v>2.5539573349606264E-2</v>
      </c>
      <c r="K28" s="108">
        <f t="shared" ref="K28" si="18">G28/$G$51</f>
        <v>2.4717773019150811E-2</v>
      </c>
    </row>
    <row r="29" spans="1:11" s="1" customFormat="1" x14ac:dyDescent="0.2">
      <c r="A29" s="110" t="s">
        <v>78</v>
      </c>
      <c r="B29" s="74"/>
      <c r="C29" s="35"/>
      <c r="D29" s="35">
        <f>SUM(D25,D26:D27)</f>
        <v>31.290449999999996</v>
      </c>
      <c r="E29" s="73"/>
      <c r="F29" s="35"/>
      <c r="G29" s="35">
        <f>SUM(G25,G26:G27)</f>
        <v>33.062950000000001</v>
      </c>
      <c r="H29" s="35">
        <f t="shared" si="13"/>
        <v>1.7725000000000044</v>
      </c>
      <c r="I29" s="36">
        <f t="shared" si="11"/>
        <v>5.6646676541884336E-2</v>
      </c>
      <c r="J29" s="36">
        <f t="shared" si="14"/>
        <v>0.43402889744838152</v>
      </c>
      <c r="K29" s="111">
        <f t="shared" si="15"/>
        <v>0.42006292055175515</v>
      </c>
    </row>
    <row r="30" spans="1:11" s="1" customFormat="1" x14ac:dyDescent="0.2">
      <c r="A30" s="110" t="s">
        <v>77</v>
      </c>
      <c r="B30" s="74"/>
      <c r="C30" s="35"/>
      <c r="D30" s="35">
        <f>SUM(D25,D26,D28)</f>
        <v>31.420523999999997</v>
      </c>
      <c r="E30" s="73"/>
      <c r="F30" s="35"/>
      <c r="G30" s="35">
        <f>SUM(G25,G26,G28)</f>
        <v>33.193024000000001</v>
      </c>
      <c r="H30" s="35">
        <f t="shared" ref="H30" si="19">G30-D30</f>
        <v>1.7725000000000044</v>
      </c>
      <c r="I30" s="36">
        <f t="shared" si="11"/>
        <v>5.6412171865752606E-2</v>
      </c>
      <c r="J30" s="36">
        <f t="shared" ref="J30" si="20">G30/$G$46</f>
        <v>0.43573642429661197</v>
      </c>
      <c r="K30" s="111">
        <f t="shared" ref="K30" si="21">G30/$G$51</f>
        <v>0.42171550340742442</v>
      </c>
    </row>
    <row r="31" spans="1:11" x14ac:dyDescent="0.2">
      <c r="A31" s="107" t="s">
        <v>40</v>
      </c>
      <c r="B31" s="73">
        <f>B8</f>
        <v>369.95</v>
      </c>
      <c r="C31" s="78">
        <f>VLOOKUP($B$3,'Data for Bill Impacts'!$A$6:$Y$18,15,0)</f>
        <v>6.7000000000000002E-3</v>
      </c>
      <c r="D31" s="22">
        <f>B31*C31</f>
        <v>2.4786649999999999</v>
      </c>
      <c r="E31" s="73">
        <f t="shared" si="1"/>
        <v>369.95</v>
      </c>
      <c r="F31" s="125">
        <f>VLOOKUP($B$3,'Data for Bill Impacts'!$A$6:$Y$18,24,0)</f>
        <v>7.8279999999999999E-3</v>
      </c>
      <c r="G31" s="22">
        <f>E31*F31</f>
        <v>2.8959685999999998</v>
      </c>
      <c r="H31" s="22">
        <f t="shared" si="2"/>
        <v>0.41730359999999989</v>
      </c>
      <c r="I31" s="23">
        <f t="shared" si="11"/>
        <v>0.16835820895522385</v>
      </c>
      <c r="J31" s="23">
        <f t="shared" ref="J31:J46" si="22">G31/$G$46</f>
        <v>3.8016391716502396E-2</v>
      </c>
      <c r="K31" s="108">
        <f t="shared" ref="K31:K41" si="23">G31/$G$51</f>
        <v>3.6793118216679924E-2</v>
      </c>
    </row>
    <row r="32" spans="1:11" x14ac:dyDescent="0.2">
      <c r="A32" s="107" t="s">
        <v>41</v>
      </c>
      <c r="B32" s="73">
        <f>B8</f>
        <v>369.95</v>
      </c>
      <c r="C32" s="78">
        <f>VLOOKUP($B$3,'Data for Bill Impacts'!$A$6:$Y$18,16,0)</f>
        <v>4.7000000000000002E-3</v>
      </c>
      <c r="D32" s="22">
        <f>B32*C32</f>
        <v>1.7387650000000001</v>
      </c>
      <c r="E32" s="73">
        <f t="shared" si="1"/>
        <v>369.95</v>
      </c>
      <c r="F32" s="125">
        <f>VLOOKUP($B$3,'Data for Bill Impacts'!$A$6:$Y$18,25,0)</f>
        <v>6.4380000000000001E-3</v>
      </c>
      <c r="G32" s="22">
        <f>E32*F32</f>
        <v>2.3817381000000002</v>
      </c>
      <c r="H32" s="22">
        <f t="shared" si="2"/>
        <v>0.64297310000000008</v>
      </c>
      <c r="I32" s="23">
        <f t="shared" si="11"/>
        <v>0.3697872340425532</v>
      </c>
      <c r="J32" s="23">
        <f t="shared" si="22"/>
        <v>3.1265908261477064E-2</v>
      </c>
      <c r="K32" s="108">
        <f t="shared" si="23"/>
        <v>3.0259848630427362E-2</v>
      </c>
    </row>
    <row r="33" spans="1:11" s="1" customFormat="1" x14ac:dyDescent="0.2">
      <c r="A33" s="110" t="s">
        <v>76</v>
      </c>
      <c r="B33" s="74"/>
      <c r="C33" s="35"/>
      <c r="D33" s="35">
        <f>SUM(D31:D32)</f>
        <v>4.2174300000000002</v>
      </c>
      <c r="E33" s="73"/>
      <c r="F33" s="35"/>
      <c r="G33" s="35">
        <f>SUM(G31:G32)</f>
        <v>5.2777066999999995</v>
      </c>
      <c r="H33" s="35">
        <f t="shared" si="2"/>
        <v>1.0602766999999993</v>
      </c>
      <c r="I33" s="36">
        <f t="shared" si="11"/>
        <v>0.25140350877192963</v>
      </c>
      <c r="J33" s="36">
        <f t="shared" si="22"/>
        <v>6.9282299977979453E-2</v>
      </c>
      <c r="K33" s="111">
        <f t="shared" si="23"/>
        <v>6.7052966847107279E-2</v>
      </c>
    </row>
    <row r="34" spans="1:11" s="1" customFormat="1" x14ac:dyDescent="0.2">
      <c r="A34" s="110" t="s">
        <v>91</v>
      </c>
      <c r="B34" s="74"/>
      <c r="C34" s="35"/>
      <c r="D34" s="35">
        <f>D29+D33</f>
        <v>35.50788</v>
      </c>
      <c r="E34" s="73"/>
      <c r="F34" s="35"/>
      <c r="G34" s="35">
        <f>G29+G33</f>
        <v>38.340656699999997</v>
      </c>
      <c r="H34" s="35">
        <f t="shared" si="2"/>
        <v>2.8327766999999966</v>
      </c>
      <c r="I34" s="36">
        <f t="shared" si="11"/>
        <v>7.9778818110233463E-2</v>
      </c>
      <c r="J34" s="36">
        <f t="shared" si="22"/>
        <v>0.50331119742636088</v>
      </c>
      <c r="K34" s="111">
        <f t="shared" si="23"/>
        <v>0.48711588739886241</v>
      </c>
    </row>
    <row r="35" spans="1:11" s="1" customFormat="1" x14ac:dyDescent="0.2">
      <c r="A35" s="110" t="s">
        <v>92</v>
      </c>
      <c r="B35" s="74"/>
      <c r="C35" s="35"/>
      <c r="D35" s="35">
        <f>D30+D33</f>
        <v>35.637953999999993</v>
      </c>
      <c r="E35" s="73"/>
      <c r="F35" s="35"/>
      <c r="G35" s="35">
        <f>G30+G33</f>
        <v>38.470730700000004</v>
      </c>
      <c r="H35" s="35">
        <f t="shared" ref="H35" si="24">G35-D35</f>
        <v>2.8327767000000108</v>
      </c>
      <c r="I35" s="36">
        <f t="shared" si="11"/>
        <v>7.9487635569651702E-2</v>
      </c>
      <c r="J35" s="36">
        <f t="shared" ref="J35" si="25">G35/$G$46</f>
        <v>0.50501872427459149</v>
      </c>
      <c r="K35" s="111">
        <f t="shared" ref="K35" si="26">G35/$G$51</f>
        <v>0.48876847025453174</v>
      </c>
    </row>
    <row r="36" spans="1:11" x14ac:dyDescent="0.2">
      <c r="A36" s="107" t="s">
        <v>42</v>
      </c>
      <c r="B36" s="73">
        <f>B8</f>
        <v>369.95</v>
      </c>
      <c r="C36" s="34">
        <v>3.5999999999999999E-3</v>
      </c>
      <c r="D36" s="22">
        <f>B36*C36</f>
        <v>1.33182</v>
      </c>
      <c r="E36" s="73">
        <f t="shared" si="1"/>
        <v>369.95</v>
      </c>
      <c r="F36" s="34">
        <v>3.5999999999999999E-3</v>
      </c>
      <c r="G36" s="22">
        <f>E36*F36</f>
        <v>1.33182</v>
      </c>
      <c r="H36" s="22">
        <f t="shared" si="2"/>
        <v>0</v>
      </c>
      <c r="I36" s="23">
        <f t="shared" si="11"/>
        <v>0</v>
      </c>
      <c r="J36" s="23">
        <f t="shared" si="22"/>
        <v>1.7483266502223892E-2</v>
      </c>
      <c r="K36" s="108">
        <f t="shared" si="23"/>
        <v>1.6920698208999455E-2</v>
      </c>
    </row>
    <row r="37" spans="1:11" x14ac:dyDescent="0.2">
      <c r="A37" s="107" t="s">
        <v>43</v>
      </c>
      <c r="B37" s="73">
        <f>B8</f>
        <v>369.95</v>
      </c>
      <c r="C37" s="34">
        <v>2.0999999999999999E-3</v>
      </c>
      <c r="D37" s="22">
        <f>B37*C37</f>
        <v>0.77689499999999989</v>
      </c>
      <c r="E37" s="73">
        <f t="shared" si="1"/>
        <v>369.95</v>
      </c>
      <c r="F37" s="34">
        <v>2.0999999999999999E-3</v>
      </c>
      <c r="G37" s="22">
        <f>E37*F37</f>
        <v>0.77689499999999989</v>
      </c>
      <c r="H37" s="22">
        <f>G37-D37</f>
        <v>0</v>
      </c>
      <c r="I37" s="23">
        <f t="shared" si="11"/>
        <v>0</v>
      </c>
      <c r="J37" s="23">
        <f t="shared" si="22"/>
        <v>1.0198572126297269E-2</v>
      </c>
      <c r="K37" s="108">
        <f t="shared" si="23"/>
        <v>9.8704072885830146E-3</v>
      </c>
    </row>
    <row r="38" spans="1:11" x14ac:dyDescent="0.2">
      <c r="A38" s="107" t="s">
        <v>96</v>
      </c>
      <c r="B38" s="73">
        <f>B8</f>
        <v>369.95</v>
      </c>
      <c r="C38" s="34">
        <v>0</v>
      </c>
      <c r="D38" s="22">
        <f>B38*C38</f>
        <v>0</v>
      </c>
      <c r="E38" s="73">
        <f t="shared" si="1"/>
        <v>369.95</v>
      </c>
      <c r="F38" s="34">
        <v>0</v>
      </c>
      <c r="G38" s="22">
        <f>E38*F38</f>
        <v>0</v>
      </c>
      <c r="H38" s="22">
        <f>G38-D38</f>
        <v>0</v>
      </c>
      <c r="I38" s="23" t="str">
        <f t="shared" si="11"/>
        <v>N/A</v>
      </c>
      <c r="J38" s="23">
        <f t="shared" ref="J38" si="27">G38/$G$46</f>
        <v>0</v>
      </c>
      <c r="K38" s="108">
        <f t="shared" ref="K38" si="28">G38/$G$51</f>
        <v>0</v>
      </c>
    </row>
    <row r="39" spans="1:11" x14ac:dyDescent="0.2">
      <c r="A39" s="107" t="s">
        <v>44</v>
      </c>
      <c r="B39" s="73">
        <v>1</v>
      </c>
      <c r="C39" s="22">
        <v>0.25</v>
      </c>
      <c r="D39" s="22">
        <f>B39*C39</f>
        <v>0.25</v>
      </c>
      <c r="E39" s="73">
        <f t="shared" si="1"/>
        <v>1</v>
      </c>
      <c r="F39" s="22">
        <f>C39</f>
        <v>0.25</v>
      </c>
      <c r="G39" s="22">
        <f>E39*F39</f>
        <v>0.25</v>
      </c>
      <c r="H39" s="22">
        <f t="shared" si="2"/>
        <v>0</v>
      </c>
      <c r="I39" s="23">
        <f t="shared" si="11"/>
        <v>0</v>
      </c>
      <c r="J39" s="23">
        <f t="shared" si="22"/>
        <v>3.2818373545644105E-3</v>
      </c>
      <c r="K39" s="108">
        <f t="shared" si="23"/>
        <v>3.1762359419815469E-3</v>
      </c>
    </row>
    <row r="40" spans="1:11" s="1" customFormat="1" x14ac:dyDescent="0.2">
      <c r="A40" s="110" t="s">
        <v>45</v>
      </c>
      <c r="B40" s="74"/>
      <c r="C40" s="35"/>
      <c r="D40" s="35">
        <f>SUM(D36:D39)</f>
        <v>2.3587150000000001</v>
      </c>
      <c r="E40" s="73"/>
      <c r="F40" s="35"/>
      <c r="G40" s="35">
        <f>SUM(G36:G39)</f>
        <v>2.3587150000000001</v>
      </c>
      <c r="H40" s="35">
        <f t="shared" si="2"/>
        <v>0</v>
      </c>
      <c r="I40" s="36">
        <f t="shared" si="11"/>
        <v>0</v>
      </c>
      <c r="J40" s="36">
        <f t="shared" si="22"/>
        <v>3.0963675983085574E-2</v>
      </c>
      <c r="K40" s="111">
        <f t="shared" si="23"/>
        <v>2.9967341439564019E-2</v>
      </c>
    </row>
    <row r="41" spans="1:11" s="1" customFormat="1" ht="13.5" thickBot="1" x14ac:dyDescent="0.25">
      <c r="A41" s="112" t="s">
        <v>46</v>
      </c>
      <c r="B41" s="113">
        <f>B4</f>
        <v>350</v>
      </c>
      <c r="C41" s="114">
        <v>0</v>
      </c>
      <c r="D41" s="115">
        <f>B41*C41</f>
        <v>0</v>
      </c>
      <c r="E41" s="116">
        <f t="shared" si="1"/>
        <v>350</v>
      </c>
      <c r="F41" s="114">
        <f>C41</f>
        <v>0</v>
      </c>
      <c r="G41" s="115">
        <f>E41*F41</f>
        <v>0</v>
      </c>
      <c r="H41" s="115">
        <f t="shared" si="2"/>
        <v>0</v>
      </c>
      <c r="I41" s="117" t="str">
        <f t="shared" si="11"/>
        <v>N/A</v>
      </c>
      <c r="J41" s="117">
        <f t="shared" si="22"/>
        <v>0</v>
      </c>
      <c r="K41" s="118">
        <f t="shared" si="23"/>
        <v>0</v>
      </c>
    </row>
    <row r="42" spans="1:11" s="1" customFormat="1" x14ac:dyDescent="0.2">
      <c r="A42" s="37" t="s">
        <v>105</v>
      </c>
      <c r="B42" s="38"/>
      <c r="C42" s="39"/>
      <c r="D42" s="39">
        <f>SUM(D14,D25,D26,D27,D33,D40,D41)</f>
        <v>69.716594999999998</v>
      </c>
      <c r="E42" s="38"/>
      <c r="F42" s="39"/>
      <c r="G42" s="39">
        <f>SUM(G14,G25,G26,G27,G33,G40,G41)</f>
        <v>72.549371700000009</v>
      </c>
      <c r="H42" s="39">
        <f t="shared" si="2"/>
        <v>2.8327767000000108</v>
      </c>
      <c r="I42" s="40">
        <f t="shared" si="11"/>
        <v>4.063274604848402E-2</v>
      </c>
      <c r="J42" s="40">
        <f t="shared" si="22"/>
        <v>0.95238095238095255</v>
      </c>
      <c r="K42" s="41"/>
    </row>
    <row r="43" spans="1:11" x14ac:dyDescent="0.2">
      <c r="A43" s="153" t="s">
        <v>106</v>
      </c>
      <c r="B43" s="43"/>
      <c r="C43" s="26">
        <v>0.13</v>
      </c>
      <c r="D43" s="26">
        <f>D42*C43</f>
        <v>9.0631573500000009</v>
      </c>
      <c r="E43" s="26"/>
      <c r="F43" s="26">
        <f>C43</f>
        <v>0.13</v>
      </c>
      <c r="G43" s="26">
        <f>G42*F43</f>
        <v>9.4314183210000007</v>
      </c>
      <c r="H43" s="26">
        <f t="shared" si="2"/>
        <v>0.36826097099999977</v>
      </c>
      <c r="I43" s="44">
        <f t="shared" si="11"/>
        <v>4.0632746048483839E-2</v>
      </c>
      <c r="J43" s="44">
        <f t="shared" si="22"/>
        <v>0.12380952380952383</v>
      </c>
      <c r="K43" s="45"/>
    </row>
    <row r="44" spans="1:11" s="1" customFormat="1" x14ac:dyDescent="0.2">
      <c r="A44" s="46" t="s">
        <v>107</v>
      </c>
      <c r="B44" s="24"/>
      <c r="C44" s="25"/>
      <c r="D44" s="25">
        <f>SUM(D42:D43)</f>
        <v>78.779752349999995</v>
      </c>
      <c r="E44" s="25"/>
      <c r="F44" s="25"/>
      <c r="G44" s="25">
        <f>SUM(G42:G43)</f>
        <v>81.980790021000004</v>
      </c>
      <c r="H44" s="25">
        <f t="shared" si="2"/>
        <v>3.2010376710000088</v>
      </c>
      <c r="I44" s="27">
        <f t="shared" si="11"/>
        <v>4.0632746048483978E-2</v>
      </c>
      <c r="J44" s="27">
        <f t="shared" si="22"/>
        <v>1.0761904761904764</v>
      </c>
      <c r="K44" s="47"/>
    </row>
    <row r="45" spans="1:11" x14ac:dyDescent="0.2">
      <c r="A45" s="42" t="s">
        <v>108</v>
      </c>
      <c r="B45" s="43"/>
      <c r="C45" s="26">
        <v>-0.08</v>
      </c>
      <c r="D45" s="26">
        <f>D42*C45</f>
        <v>-5.5773276000000003</v>
      </c>
      <c r="E45" s="26"/>
      <c r="F45" s="26">
        <f>C45</f>
        <v>-0.08</v>
      </c>
      <c r="G45" s="26">
        <f>G42*F45</f>
        <v>-5.8039497360000007</v>
      </c>
      <c r="H45" s="26">
        <f t="shared" si="2"/>
        <v>-0.22662213600000047</v>
      </c>
      <c r="I45" s="44">
        <f t="shared" si="11"/>
        <v>-4.063274604848395E-2</v>
      </c>
      <c r="J45" s="44">
        <f t="shared" si="22"/>
        <v>-7.6190476190476197E-2</v>
      </c>
      <c r="K45" s="45"/>
    </row>
    <row r="46" spans="1:11" s="1" customFormat="1" ht="13.5" thickBot="1" x14ac:dyDescent="0.25">
      <c r="A46" s="48" t="s">
        <v>109</v>
      </c>
      <c r="B46" s="49"/>
      <c r="C46" s="50"/>
      <c r="D46" s="50">
        <f>SUM(D44:D45)</f>
        <v>73.202424749999992</v>
      </c>
      <c r="E46" s="50"/>
      <c r="F46" s="50"/>
      <c r="G46" s="50">
        <f>SUM(G44:G45)</f>
        <v>76.176840284999997</v>
      </c>
      <c r="H46" s="50">
        <f t="shared" si="2"/>
        <v>2.9744155350000057</v>
      </c>
      <c r="I46" s="51">
        <f t="shared" si="11"/>
        <v>4.063274604848395E-2</v>
      </c>
      <c r="J46" s="51">
        <f t="shared" si="22"/>
        <v>1</v>
      </c>
      <c r="K46" s="52"/>
    </row>
    <row r="47" spans="1:11" x14ac:dyDescent="0.2">
      <c r="A47" s="53" t="s">
        <v>110</v>
      </c>
      <c r="B47" s="54"/>
      <c r="C47" s="55"/>
      <c r="D47" s="55">
        <f>SUM(D18,D25,D26,D28,D33,D40,D41)</f>
        <v>72.128668999999988</v>
      </c>
      <c r="E47" s="55"/>
      <c r="F47" s="55"/>
      <c r="G47" s="55">
        <f>SUM(G18,G25,G26,G28,G33,G40,G41)</f>
        <v>74.961445699999999</v>
      </c>
      <c r="H47" s="55">
        <f>G47-D47</f>
        <v>2.8327767000000108</v>
      </c>
      <c r="I47" s="56">
        <f t="shared" si="11"/>
        <v>3.9273935583089871E-2</v>
      </c>
      <c r="J47" s="56"/>
      <c r="K47" s="57">
        <f>G47/$G$51</f>
        <v>0.95238095238095233</v>
      </c>
    </row>
    <row r="48" spans="1:11" x14ac:dyDescent="0.2">
      <c r="A48" s="154" t="s">
        <v>106</v>
      </c>
      <c r="B48" s="59"/>
      <c r="C48" s="31">
        <v>0.13</v>
      </c>
      <c r="D48" s="31">
        <f>D47*C48</f>
        <v>9.3767269699999982</v>
      </c>
      <c r="E48" s="31"/>
      <c r="F48" s="31">
        <f>C48</f>
        <v>0.13</v>
      </c>
      <c r="G48" s="31">
        <f>G47*F48</f>
        <v>9.7449879409999998</v>
      </c>
      <c r="H48" s="31">
        <f>G48-D48</f>
        <v>0.36826097100000155</v>
      </c>
      <c r="I48" s="32">
        <f t="shared" si="11"/>
        <v>3.9273935583089885E-2</v>
      </c>
      <c r="J48" s="32"/>
      <c r="K48" s="60">
        <f>G48/$G$51</f>
        <v>0.1238095238095238</v>
      </c>
    </row>
    <row r="49" spans="1:11" x14ac:dyDescent="0.2">
      <c r="A49" s="61" t="s">
        <v>111</v>
      </c>
      <c r="B49" s="29"/>
      <c r="C49" s="30"/>
      <c r="D49" s="30">
        <f>SUM(D47:D48)</f>
        <v>81.505395969999981</v>
      </c>
      <c r="E49" s="30"/>
      <c r="F49" s="30"/>
      <c r="G49" s="30">
        <f>SUM(G47:G48)</f>
        <v>84.706433641000004</v>
      </c>
      <c r="H49" s="30">
        <f>G49-D49</f>
        <v>3.201037671000023</v>
      </c>
      <c r="I49" s="33">
        <f t="shared" si="11"/>
        <v>3.9273935583090003E-2</v>
      </c>
      <c r="J49" s="33"/>
      <c r="K49" s="62">
        <f>G49/$G$51</f>
        <v>1.0761904761904761</v>
      </c>
    </row>
    <row r="50" spans="1:11" x14ac:dyDescent="0.2">
      <c r="A50" s="58" t="s">
        <v>108</v>
      </c>
      <c r="B50" s="59"/>
      <c r="C50" s="31">
        <v>-0.08</v>
      </c>
      <c r="D50" s="31">
        <f>D47*C50</f>
        <v>-5.7702935199999992</v>
      </c>
      <c r="E50" s="31"/>
      <c r="F50" s="31">
        <f>C50</f>
        <v>-0.08</v>
      </c>
      <c r="G50" s="31">
        <f>G47*F50</f>
        <v>-5.9969156559999997</v>
      </c>
      <c r="H50" s="31">
        <f>G50-D50</f>
        <v>-0.22662213600000047</v>
      </c>
      <c r="I50" s="32">
        <f t="shared" si="11"/>
        <v>-3.9273935583089802E-2</v>
      </c>
      <c r="J50" s="32"/>
      <c r="K50" s="60">
        <f>G50/$G$51</f>
        <v>-7.6190476190476183E-2</v>
      </c>
    </row>
    <row r="51" spans="1:11" ht="13.5" thickBot="1" x14ac:dyDescent="0.25">
      <c r="A51" s="63" t="s">
        <v>121</v>
      </c>
      <c r="B51" s="64"/>
      <c r="C51" s="65"/>
      <c r="D51" s="65">
        <f>SUM(D49:D50)</f>
        <v>75.735102449999985</v>
      </c>
      <c r="E51" s="65"/>
      <c r="F51" s="65"/>
      <c r="G51" s="65">
        <f>SUM(G49:G50)</f>
        <v>78.709517985000005</v>
      </c>
      <c r="H51" s="65">
        <f>G51-D51</f>
        <v>2.9744155350000199</v>
      </c>
      <c r="I51" s="66">
        <f t="shared" si="11"/>
        <v>3.9273935583089982E-2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40"/>
  <sheetViews>
    <sheetView tabSelected="1" view="pageLayout" topLeftCell="A10"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120</v>
      </c>
      <c r="B1" s="191"/>
      <c r="C1" s="191"/>
      <c r="D1" s="191"/>
      <c r="E1" s="191"/>
      <c r="F1" s="191"/>
      <c r="G1" s="191"/>
      <c r="H1" s="191"/>
      <c r="I1" s="191"/>
      <c r="J1" s="192"/>
    </row>
    <row r="3" spans="1:10" x14ac:dyDescent="0.2">
      <c r="A3" s="13" t="s">
        <v>13</v>
      </c>
      <c r="B3" s="13" t="s">
        <v>5</v>
      </c>
    </row>
    <row r="4" spans="1:10" x14ac:dyDescent="0.2">
      <c r="A4" s="15" t="s">
        <v>62</v>
      </c>
      <c r="B4" s="79">
        <f>VLOOKUP(B3,'Data for Bill Impacts'!A22:D34,3,FALSE)</f>
        <v>36104</v>
      </c>
    </row>
    <row r="5" spans="1:10" x14ac:dyDescent="0.2">
      <c r="A5" s="15" t="s">
        <v>16</v>
      </c>
      <c r="B5" s="79">
        <f>VLOOKUP(B3,'Data for Bill Impacts'!A22:D34,4,FALSE)</f>
        <v>124</v>
      </c>
    </row>
    <row r="6" spans="1:10" x14ac:dyDescent="0.2">
      <c r="A6" s="15" t="s">
        <v>20</v>
      </c>
      <c r="B6" s="80">
        <f>VLOOKUP($B$3,'Data for Bill Impacts'!$A$6:$Y$18,2,0)</f>
        <v>1.0609999999999999</v>
      </c>
    </row>
    <row r="7" spans="1:10" x14ac:dyDescent="0.2">
      <c r="A7" s="81" t="s">
        <v>48</v>
      </c>
      <c r="B7" s="82">
        <f>B4/(B5*730)</f>
        <v>0.39885108263367214</v>
      </c>
    </row>
    <row r="8" spans="1:10" x14ac:dyDescent="0.2">
      <c r="A8" s="15" t="s">
        <v>15</v>
      </c>
      <c r="B8" s="79">
        <f>VLOOKUP($B$3,'Data for Bill Impacts'!$A$6:$Y$18,4,0)</f>
        <v>0</v>
      </c>
    </row>
    <row r="9" spans="1:10" x14ac:dyDescent="0.2">
      <c r="A9" s="15" t="s">
        <v>82</v>
      </c>
      <c r="B9" s="79">
        <f>B4*B6</f>
        <v>38306.343999999997</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38306.343999999997</v>
      </c>
      <c r="C13" s="103">
        <v>9.0999999999999998E-2</v>
      </c>
      <c r="D13" s="104">
        <f>B13*C13</f>
        <v>3485.8773039999996</v>
      </c>
      <c r="E13" s="102">
        <f>B13</f>
        <v>38306.343999999997</v>
      </c>
      <c r="F13" s="103">
        <f>C13</f>
        <v>9.0999999999999998E-2</v>
      </c>
      <c r="G13" s="104">
        <f>E13*F13</f>
        <v>3485.8773039999996</v>
      </c>
      <c r="H13" s="104">
        <f>G13-D13</f>
        <v>0</v>
      </c>
      <c r="I13" s="105">
        <f t="shared" ref="I13:I18" si="0">IF(ISERROR(H13/ABS(D13)),"N/A",(H13/ABS(D13)))</f>
        <v>0</v>
      </c>
      <c r="J13" s="123">
        <f t="shared" ref="J13:J21" si="1">G13/$G$38</f>
        <v>0.47420240111719308</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3485.8773039999996</v>
      </c>
      <c r="E15" s="76"/>
      <c r="F15" s="25"/>
      <c r="G15" s="25">
        <f>SUM(G13:G14)</f>
        <v>3485.8773039999996</v>
      </c>
      <c r="H15" s="25">
        <f t="shared" si="3"/>
        <v>0</v>
      </c>
      <c r="I15" s="27">
        <f t="shared" si="0"/>
        <v>0</v>
      </c>
      <c r="J15" s="47">
        <f t="shared" si="1"/>
        <v>0.47420240111719308</v>
      </c>
    </row>
    <row r="16" spans="1:10" s="1" customFormat="1" x14ac:dyDescent="0.2">
      <c r="A16" s="107" t="s">
        <v>38</v>
      </c>
      <c r="B16" s="73">
        <v>1</v>
      </c>
      <c r="C16" s="78">
        <f>VLOOKUP($B$3,'Data for Bill Impacts'!$A$6:$Y$18,7,0)</f>
        <v>89.48</v>
      </c>
      <c r="D16" s="22">
        <f>B16*C16</f>
        <v>89.48</v>
      </c>
      <c r="E16" s="73">
        <f t="shared" ref="E16:E33" si="4">B16</f>
        <v>1</v>
      </c>
      <c r="F16" s="78">
        <f>VLOOKUP($B$3,'Data for Bill Impacts'!$A$6:$Y$18,17,0)</f>
        <v>102.52</v>
      </c>
      <c r="G16" s="22">
        <f>E16*F16</f>
        <v>102.52</v>
      </c>
      <c r="H16" s="22">
        <f t="shared" si="3"/>
        <v>13.039999999999992</v>
      </c>
      <c r="I16" s="23">
        <f t="shared" si="0"/>
        <v>0.14573088958426456</v>
      </c>
      <c r="J16" s="124">
        <f t="shared" si="1"/>
        <v>1.3946340023714913E-2</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78">
        <f>VLOOKUP($B$3,'Data for Bill Impacts'!$A$6:$Y$18,13,0)</f>
        <v>1.37</v>
      </c>
      <c r="D19" s="22">
        <f t="shared" si="6"/>
        <v>1.37</v>
      </c>
      <c r="E19" s="73">
        <f t="shared" si="4"/>
        <v>1</v>
      </c>
      <c r="F19" s="78">
        <f>VLOOKUP($B$3,'Data for Bill Impacts'!$A$6:$Y$18,22,0)</f>
        <v>-8.9999999999999993E-3</v>
      </c>
      <c r="G19" s="22">
        <f t="shared" si="5"/>
        <v>-8.9999999999999993E-3</v>
      </c>
      <c r="H19" s="22">
        <f t="shared" si="3"/>
        <v>-1.379</v>
      </c>
      <c r="I19" s="23">
        <f>IF(ISERROR(H19/ABS(D19)),"N/A",(H19/ABS(D19)))</f>
        <v>-1.0065693430656935</v>
      </c>
      <c r="J19" s="124">
        <f t="shared" si="1"/>
        <v>-1.2243177937322885E-6</v>
      </c>
    </row>
    <row r="20" spans="1:10" x14ac:dyDescent="0.2">
      <c r="A20" s="107" t="s">
        <v>39</v>
      </c>
      <c r="B20" s="73">
        <f>IF($B$10="kWh",$B$4,$B$5)</f>
        <v>124</v>
      </c>
      <c r="C20" s="78">
        <f>VLOOKUP($B$3,'Data for Bill Impacts'!$A$6:$Y$18,10,0)</f>
        <v>16.023600000000002</v>
      </c>
      <c r="D20" s="22">
        <f>B20*C20</f>
        <v>1986.9264000000003</v>
      </c>
      <c r="E20" s="73">
        <f t="shared" si="4"/>
        <v>124</v>
      </c>
      <c r="F20" s="125">
        <f>VLOOKUP($B$3,'Data for Bill Impacts'!$A$6:$Y$18,19,0)</f>
        <v>16.768899999999999</v>
      </c>
      <c r="G20" s="22">
        <f>E20*F20</f>
        <v>2079.3435999999997</v>
      </c>
      <c r="H20" s="22">
        <f t="shared" si="3"/>
        <v>92.417199999999411</v>
      </c>
      <c r="I20" s="23">
        <f t="shared" ref="I20:I38" si="7">IF(ISERROR(H20/ABS(D20)),"N/A",(H20/ABS(D20)))</f>
        <v>4.6512643850320473E-2</v>
      </c>
      <c r="J20" s="124">
        <f t="shared" si="1"/>
        <v>0.28286415208481713</v>
      </c>
    </row>
    <row r="21" spans="1:10" s="1" customFormat="1" x14ac:dyDescent="0.2">
      <c r="A21" s="107" t="s">
        <v>124</v>
      </c>
      <c r="B21" s="73">
        <f>IF($B$10="kWh",$B$4,$B$5)</f>
        <v>124</v>
      </c>
      <c r="C21" s="78">
        <f>VLOOKUP($B$3,'Data for Bill Impacts'!$A$6:$Y$18,14,0)</f>
        <v>4.2799999999999998E-2</v>
      </c>
      <c r="D21" s="22">
        <f>B21*C21</f>
        <v>5.3071999999999999</v>
      </c>
      <c r="E21" s="73">
        <f t="shared" si="4"/>
        <v>124</v>
      </c>
      <c r="F21" s="125">
        <f>VLOOKUP($B$3,'Data for Bill Impacts'!$A$6:$Y$18,23,0)</f>
        <v>5.1599999999999997E-3</v>
      </c>
      <c r="G21" s="22">
        <f>E21*F21</f>
        <v>0.63983999999999996</v>
      </c>
      <c r="H21" s="22">
        <f t="shared" si="3"/>
        <v>-4.6673600000000004</v>
      </c>
      <c r="I21" s="23">
        <f t="shared" si="7"/>
        <v>-0.87943925233644871</v>
      </c>
      <c r="J21" s="124">
        <f t="shared" si="1"/>
        <v>8.7040833015740839E-5</v>
      </c>
    </row>
    <row r="22" spans="1:10" s="1" customFormat="1" x14ac:dyDescent="0.2">
      <c r="A22" s="107" t="s">
        <v>112</v>
      </c>
      <c r="B22" s="73">
        <f>B9</f>
        <v>38306.343999999997</v>
      </c>
      <c r="C22" s="125">
        <f>VLOOKUP($B$3,'Data for Bill Impacts'!$A$6:$Y$18,20,0)</f>
        <v>-1E-3</v>
      </c>
      <c r="D22" s="22">
        <f>B22*C22</f>
        <v>-38.306343999999996</v>
      </c>
      <c r="E22" s="73">
        <f>B22</f>
        <v>38306.343999999997</v>
      </c>
      <c r="F22" s="125">
        <f>VLOOKUP($B$3,'Data for Bill Impacts'!$A$6:$Y$18,21,0)</f>
        <v>0</v>
      </c>
      <c r="G22" s="22">
        <f>E22*F22</f>
        <v>0</v>
      </c>
      <c r="H22" s="22">
        <f t="shared" ref="H22" si="8">G22-D22</f>
        <v>38.306343999999996</v>
      </c>
      <c r="I22" s="23">
        <f t="shared" si="7"/>
        <v>1</v>
      </c>
      <c r="J22" s="124">
        <f t="shared" ref="J22" si="9">G22/$G$38</f>
        <v>0</v>
      </c>
    </row>
    <row r="23" spans="1:10" x14ac:dyDescent="0.2">
      <c r="A23" s="110" t="s">
        <v>93</v>
      </c>
      <c r="B23" s="74"/>
      <c r="C23" s="35"/>
      <c r="D23" s="35">
        <f>SUM(D16:D22)</f>
        <v>2044.7772560000003</v>
      </c>
      <c r="E23" s="73"/>
      <c r="F23" s="35"/>
      <c r="G23" s="35">
        <f>SUM(G16:G22)</f>
        <v>2182.4944399999995</v>
      </c>
      <c r="H23" s="35">
        <f t="shared" si="3"/>
        <v>137.71718399999918</v>
      </c>
      <c r="I23" s="36">
        <f t="shared" si="7"/>
        <v>6.7350702183279348E-2</v>
      </c>
      <c r="J23" s="111">
        <f t="shared" ref="J23:J29" si="10">G23/$G$38</f>
        <v>0.29689630862375399</v>
      </c>
    </row>
    <row r="24" spans="1:10" x14ac:dyDescent="0.2">
      <c r="A24" s="107" t="s">
        <v>40</v>
      </c>
      <c r="B24" s="73">
        <f>B5</f>
        <v>124</v>
      </c>
      <c r="C24" s="78">
        <f>VLOOKUP($B$3,'Data for Bill Impacts'!$A$6:$Y$18,15,0)</f>
        <v>1.7027000000000001</v>
      </c>
      <c r="D24" s="22">
        <f>B24*C24</f>
        <v>211.13480000000001</v>
      </c>
      <c r="E24" s="73">
        <f t="shared" si="4"/>
        <v>124</v>
      </c>
      <c r="F24" s="125">
        <f>VLOOKUP($B$3,'Data for Bill Impacts'!$A$6:$Y$18,24,0)</f>
        <v>1.6718177000000001</v>
      </c>
      <c r="G24" s="22">
        <f>E24*F24</f>
        <v>207.30539480000002</v>
      </c>
      <c r="H24" s="22">
        <f t="shared" si="3"/>
        <v>-3.8294051999999965</v>
      </c>
      <c r="I24" s="23">
        <f t="shared" si="7"/>
        <v>-1.813725259881363E-2</v>
      </c>
      <c r="J24" s="124">
        <f t="shared" si="10"/>
        <v>2.8200853732259674E-2</v>
      </c>
    </row>
    <row r="25" spans="1:10" s="1" customFormat="1" x14ac:dyDescent="0.2">
      <c r="A25" s="107" t="s">
        <v>41</v>
      </c>
      <c r="B25" s="73">
        <f>B5</f>
        <v>124</v>
      </c>
      <c r="C25" s="78">
        <f>VLOOKUP($B$3,'Data for Bill Impacts'!$A$6:$Y$18,16,0)</f>
        <v>1.1397999999999999</v>
      </c>
      <c r="D25" s="22">
        <f>B25*C25</f>
        <v>141.33519999999999</v>
      </c>
      <c r="E25" s="73">
        <f t="shared" si="4"/>
        <v>124</v>
      </c>
      <c r="F25" s="125">
        <f>VLOOKUP($B$3,'Data for Bill Impacts'!$A$6:$Y$18,25,0)</f>
        <v>1.2769135</v>
      </c>
      <c r="G25" s="22">
        <f>E25*F25</f>
        <v>158.33727400000001</v>
      </c>
      <c r="H25" s="22">
        <f t="shared" si="3"/>
        <v>17.002074000000022</v>
      </c>
      <c r="I25" s="23">
        <f t="shared" si="7"/>
        <v>0.120296104579751</v>
      </c>
      <c r="J25" s="124">
        <f t="shared" si="10"/>
        <v>2.1539460218807208E-2</v>
      </c>
    </row>
    <row r="26" spans="1:10" x14ac:dyDescent="0.2">
      <c r="A26" s="110" t="s">
        <v>76</v>
      </c>
      <c r="B26" s="74"/>
      <c r="C26" s="35"/>
      <c r="D26" s="35">
        <f>SUM(D24:D25)</f>
        <v>352.47</v>
      </c>
      <c r="E26" s="73"/>
      <c r="F26" s="35"/>
      <c r="G26" s="35">
        <f>SUM(G24:G25)</f>
        <v>365.64266880000002</v>
      </c>
      <c r="H26" s="35">
        <f t="shared" si="3"/>
        <v>13.172668799999997</v>
      </c>
      <c r="I26" s="36">
        <f t="shared" si="7"/>
        <v>3.7372453825857507E-2</v>
      </c>
      <c r="J26" s="111">
        <f t="shared" si="10"/>
        <v>4.9740313951066886E-2</v>
      </c>
    </row>
    <row r="27" spans="1:10" s="1" customFormat="1" x14ac:dyDescent="0.2">
      <c r="A27" s="110" t="s">
        <v>80</v>
      </c>
      <c r="B27" s="74"/>
      <c r="C27" s="35"/>
      <c r="D27" s="35">
        <f>D23+D26</f>
        <v>2397.2472560000006</v>
      </c>
      <c r="E27" s="73"/>
      <c r="F27" s="35"/>
      <c r="G27" s="35">
        <f>G23+G26</f>
        <v>2548.1371087999996</v>
      </c>
      <c r="H27" s="35">
        <f t="shared" si="3"/>
        <v>150.88985279999906</v>
      </c>
      <c r="I27" s="36">
        <f t="shared" si="7"/>
        <v>6.294296611346252E-2</v>
      </c>
      <c r="J27" s="111">
        <f t="shared" si="10"/>
        <v>0.34663662257482092</v>
      </c>
    </row>
    <row r="28" spans="1:10" x14ac:dyDescent="0.2">
      <c r="A28" s="107" t="s">
        <v>42</v>
      </c>
      <c r="B28" s="73">
        <f>B9</f>
        <v>38306.343999999997</v>
      </c>
      <c r="C28" s="34">
        <v>3.5999999999999999E-3</v>
      </c>
      <c r="D28" s="22">
        <f>B28*C28</f>
        <v>137.90283839999998</v>
      </c>
      <c r="E28" s="73">
        <f t="shared" si="4"/>
        <v>38306.343999999997</v>
      </c>
      <c r="F28" s="34">
        <v>3.5999999999999999E-3</v>
      </c>
      <c r="G28" s="22">
        <f>E28*F28</f>
        <v>137.90283839999998</v>
      </c>
      <c r="H28" s="22">
        <f t="shared" si="3"/>
        <v>0</v>
      </c>
      <c r="I28" s="23">
        <f t="shared" si="7"/>
        <v>0</v>
      </c>
      <c r="J28" s="124">
        <f t="shared" si="10"/>
        <v>1.8759655428812035E-2</v>
      </c>
    </row>
    <row r="29" spans="1:10" x14ac:dyDescent="0.2">
      <c r="A29" s="107" t="s">
        <v>43</v>
      </c>
      <c r="B29" s="73">
        <f>B9</f>
        <v>38306.343999999997</v>
      </c>
      <c r="C29" s="34">
        <v>2.0999999999999999E-3</v>
      </c>
      <c r="D29" s="22">
        <f>B29*C29</f>
        <v>80.443322399999985</v>
      </c>
      <c r="E29" s="73">
        <f t="shared" si="4"/>
        <v>38306.343999999997</v>
      </c>
      <c r="F29" s="34">
        <v>2.0999999999999999E-3</v>
      </c>
      <c r="G29" s="22">
        <f>E29*F29</f>
        <v>80.443322399999985</v>
      </c>
      <c r="H29" s="22">
        <f>G29-D29</f>
        <v>0</v>
      </c>
      <c r="I29" s="23">
        <f t="shared" si="7"/>
        <v>0</v>
      </c>
      <c r="J29" s="124">
        <f t="shared" si="10"/>
        <v>1.0943132333473686E-2</v>
      </c>
    </row>
    <row r="30" spans="1:10" x14ac:dyDescent="0.2">
      <c r="A30" s="107" t="s">
        <v>96</v>
      </c>
      <c r="B30" s="73">
        <f>B9</f>
        <v>38306.343999999997</v>
      </c>
      <c r="C30" s="34">
        <v>0</v>
      </c>
      <c r="D30" s="22">
        <f>B30*C30</f>
        <v>0</v>
      </c>
      <c r="E30" s="73">
        <f t="shared" si="4"/>
        <v>38306.343999999997</v>
      </c>
      <c r="F30" s="34">
        <v>0</v>
      </c>
      <c r="G30" s="22">
        <f>E30*F30</f>
        <v>0</v>
      </c>
      <c r="H30" s="22">
        <f>G30-D30</f>
        <v>0</v>
      </c>
      <c r="I30" s="23" t="str">
        <f t="shared" si="7"/>
        <v>N/A</v>
      </c>
      <c r="J30" s="124">
        <f t="shared" ref="J30" si="11">G30/$G$38</f>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ref="J31:J38" si="12">G31/$G$38</f>
        <v>3.4008827603674682E-5</v>
      </c>
    </row>
    <row r="32" spans="1:10" x14ac:dyDescent="0.2">
      <c r="A32" s="110" t="s">
        <v>45</v>
      </c>
      <c r="B32" s="74"/>
      <c r="C32" s="35"/>
      <c r="D32" s="35">
        <f>SUM(D28:D31)</f>
        <v>218.59616079999995</v>
      </c>
      <c r="E32" s="73"/>
      <c r="F32" s="35"/>
      <c r="G32" s="35">
        <f>SUM(G28:G31)</f>
        <v>218.59616079999995</v>
      </c>
      <c r="H32" s="35">
        <f t="shared" si="3"/>
        <v>0</v>
      </c>
      <c r="I32" s="36">
        <f t="shared" si="7"/>
        <v>0</v>
      </c>
      <c r="J32" s="111">
        <f t="shared" si="12"/>
        <v>2.9736796589889394E-2</v>
      </c>
    </row>
    <row r="33" spans="1:10" ht="13.5" thickBot="1" x14ac:dyDescent="0.25">
      <c r="A33" s="112" t="s">
        <v>46</v>
      </c>
      <c r="B33" s="113">
        <f>B4</f>
        <v>36104</v>
      </c>
      <c r="C33" s="114">
        <v>7.0000000000000001E-3</v>
      </c>
      <c r="D33" s="115">
        <f>B33*C33</f>
        <v>252.72800000000001</v>
      </c>
      <c r="E33" s="116">
        <f t="shared" si="4"/>
        <v>36104</v>
      </c>
      <c r="F33" s="114">
        <f>C33</f>
        <v>7.0000000000000001E-3</v>
      </c>
      <c r="G33" s="115">
        <f>E33*F33</f>
        <v>252.72800000000001</v>
      </c>
      <c r="H33" s="115">
        <f t="shared" si="3"/>
        <v>0</v>
      </c>
      <c r="I33" s="117">
        <f t="shared" si="7"/>
        <v>0</v>
      </c>
      <c r="J33" s="118">
        <f t="shared" si="12"/>
        <v>3.4379931930485982E-2</v>
      </c>
    </row>
    <row r="34" spans="1:10" x14ac:dyDescent="0.2">
      <c r="A34" s="37" t="s">
        <v>115</v>
      </c>
      <c r="B34" s="38"/>
      <c r="C34" s="39"/>
      <c r="D34" s="39">
        <f>SUM(D15,D23,D26,D32,D33)</f>
        <v>6354.4487208</v>
      </c>
      <c r="E34" s="38"/>
      <c r="F34" s="39"/>
      <c r="G34" s="39">
        <f>SUM(G15,G23,G26,G32,G33)</f>
        <v>6505.3385735999991</v>
      </c>
      <c r="H34" s="39">
        <f t="shared" si="3"/>
        <v>150.88985279999906</v>
      </c>
      <c r="I34" s="40">
        <f t="shared" si="7"/>
        <v>2.3745545747515705E-2</v>
      </c>
      <c r="J34" s="41">
        <f t="shared" si="12"/>
        <v>0.88495575221238931</v>
      </c>
    </row>
    <row r="35" spans="1:10" x14ac:dyDescent="0.2">
      <c r="A35" s="46" t="s">
        <v>106</v>
      </c>
      <c r="B35" s="43"/>
      <c r="C35" s="26">
        <v>0.13</v>
      </c>
      <c r="D35" s="26">
        <f>D34*C35</f>
        <v>826.07833370399999</v>
      </c>
      <c r="E35" s="26"/>
      <c r="F35" s="26">
        <f>C35</f>
        <v>0.13</v>
      </c>
      <c r="G35" s="26">
        <f>G34*F35</f>
        <v>845.69401456799994</v>
      </c>
      <c r="H35" s="26">
        <f t="shared" si="3"/>
        <v>19.615680863999955</v>
      </c>
      <c r="I35" s="44">
        <f t="shared" si="7"/>
        <v>2.3745545747515799E-2</v>
      </c>
      <c r="J35" s="45">
        <f t="shared" si="12"/>
        <v>0.11504424778761062</v>
      </c>
    </row>
    <row r="36" spans="1:10" x14ac:dyDescent="0.2">
      <c r="A36" s="46" t="s">
        <v>107</v>
      </c>
      <c r="B36" s="24"/>
      <c r="C36" s="25"/>
      <c r="D36" s="25">
        <f>SUM(D34:D35)</f>
        <v>7180.5270545040003</v>
      </c>
      <c r="E36" s="25"/>
      <c r="F36" s="25"/>
      <c r="G36" s="25">
        <f>SUM(G34:G35)</f>
        <v>7351.0325881679992</v>
      </c>
      <c r="H36" s="25">
        <f t="shared" si="3"/>
        <v>170.5055336639989</v>
      </c>
      <c r="I36" s="27">
        <f t="shared" si="7"/>
        <v>2.3745545747515702E-2</v>
      </c>
      <c r="J36" s="47">
        <f t="shared" si="12"/>
        <v>1</v>
      </c>
    </row>
    <row r="37" spans="1:10" x14ac:dyDescent="0.2">
      <c r="A37" s="46" t="s">
        <v>108</v>
      </c>
      <c r="B37" s="43"/>
      <c r="C37" s="26">
        <v>0</v>
      </c>
      <c r="D37" s="26">
        <f>D34*C37</f>
        <v>0</v>
      </c>
      <c r="E37" s="26"/>
      <c r="F37" s="26">
        <f>C37</f>
        <v>0</v>
      </c>
      <c r="G37" s="26">
        <f>G34*F37</f>
        <v>0</v>
      </c>
      <c r="H37" s="26">
        <f t="shared" si="3"/>
        <v>0</v>
      </c>
      <c r="I37" s="44" t="str">
        <f t="shared" si="7"/>
        <v>N/A</v>
      </c>
      <c r="J37" s="45">
        <f t="shared" si="12"/>
        <v>0</v>
      </c>
    </row>
    <row r="38" spans="1:10" ht="13.5" thickBot="1" x14ac:dyDescent="0.25">
      <c r="A38" s="46" t="s">
        <v>109</v>
      </c>
      <c r="B38" s="49"/>
      <c r="C38" s="50"/>
      <c r="D38" s="50">
        <f>SUM(D36:D37)</f>
        <v>7180.5270545040003</v>
      </c>
      <c r="E38" s="50"/>
      <c r="F38" s="50"/>
      <c r="G38" s="50">
        <f>SUM(G36:G37)</f>
        <v>7351.0325881679992</v>
      </c>
      <c r="H38" s="50">
        <f t="shared" si="3"/>
        <v>170.5055336639989</v>
      </c>
      <c r="I38" s="51">
        <f t="shared" si="7"/>
        <v>2.3745545747515702E-2</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9.5703125"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101</v>
      </c>
      <c r="B1" s="191"/>
      <c r="C1" s="191"/>
      <c r="D1" s="191"/>
      <c r="E1" s="191"/>
      <c r="F1" s="191"/>
      <c r="G1" s="191"/>
      <c r="H1" s="191"/>
      <c r="I1" s="191"/>
      <c r="J1" s="192"/>
    </row>
    <row r="3" spans="1:10" x14ac:dyDescent="0.2">
      <c r="A3" s="13" t="s">
        <v>13</v>
      </c>
      <c r="B3" s="13" t="s">
        <v>5</v>
      </c>
    </row>
    <row r="4" spans="1:10" x14ac:dyDescent="0.2">
      <c r="A4" s="15" t="s">
        <v>62</v>
      </c>
      <c r="B4" s="79">
        <v>175000</v>
      </c>
    </row>
    <row r="5" spans="1:10" x14ac:dyDescent="0.2">
      <c r="A5" s="15" t="s">
        <v>16</v>
      </c>
      <c r="B5" s="79">
        <v>500</v>
      </c>
    </row>
    <row r="6" spans="1:10" x14ac:dyDescent="0.2">
      <c r="A6" s="15" t="s">
        <v>20</v>
      </c>
      <c r="B6" s="80">
        <f>VLOOKUP($B$3,'Data for Bill Impacts'!$A$6:$Y$18,2,0)</f>
        <v>1.0609999999999999</v>
      </c>
    </row>
    <row r="7" spans="1:10" x14ac:dyDescent="0.2">
      <c r="A7" s="81" t="s">
        <v>48</v>
      </c>
      <c r="B7" s="82">
        <f>B4/(B5*730)</f>
        <v>0.47945205479452052</v>
      </c>
    </row>
    <row r="8" spans="1:10" x14ac:dyDescent="0.2">
      <c r="A8" s="15" t="s">
        <v>15</v>
      </c>
      <c r="B8" s="79">
        <f>VLOOKUP($B$3,'Data for Bill Impacts'!$A$6:$Y$18,4,0)</f>
        <v>0</v>
      </c>
    </row>
    <row r="9" spans="1:10" x14ac:dyDescent="0.2">
      <c r="A9" s="15" t="s">
        <v>82</v>
      </c>
      <c r="B9" s="79">
        <f>B4*B6</f>
        <v>185675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185675</v>
      </c>
      <c r="C13" s="103">
        <v>9.0999999999999998E-2</v>
      </c>
      <c r="D13" s="104">
        <f>B13*C13</f>
        <v>16896.424999999999</v>
      </c>
      <c r="E13" s="102">
        <f>B13</f>
        <v>185675</v>
      </c>
      <c r="F13" s="103">
        <f>C13</f>
        <v>9.0999999999999998E-2</v>
      </c>
      <c r="G13" s="104">
        <f>E13*F13</f>
        <v>16896.424999999999</v>
      </c>
      <c r="H13" s="104">
        <f>G13-D13</f>
        <v>0</v>
      </c>
      <c r="I13" s="105">
        <f t="shared" ref="I13:I18" si="0">IF(ISERROR(H13/ABS(D13)),"N/A",(H13/ABS(D13)))</f>
        <v>0</v>
      </c>
      <c r="J13" s="123">
        <f t="shared" ref="J13:J29" si="1">G13/$G$38</f>
        <v>0.51306014519419141</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16896.424999999999</v>
      </c>
      <c r="E15" s="76"/>
      <c r="F15" s="25"/>
      <c r="G15" s="25">
        <f>SUM(G13:G14)</f>
        <v>16896.424999999999</v>
      </c>
      <c r="H15" s="25">
        <f t="shared" si="3"/>
        <v>0</v>
      </c>
      <c r="I15" s="27">
        <f t="shared" si="0"/>
        <v>0</v>
      </c>
      <c r="J15" s="47">
        <f t="shared" si="1"/>
        <v>0.51306014519419141</v>
      </c>
    </row>
    <row r="16" spans="1:10" s="1" customFormat="1" x14ac:dyDescent="0.2">
      <c r="A16" s="107" t="s">
        <v>38</v>
      </c>
      <c r="B16" s="73">
        <v>1</v>
      </c>
      <c r="C16" s="78">
        <f>VLOOKUP($B$3,'Data for Bill Impacts'!$A$6:$Y$18,7,0)</f>
        <v>89.48</v>
      </c>
      <c r="D16" s="22">
        <f>B16*C16</f>
        <v>89.48</v>
      </c>
      <c r="E16" s="73">
        <f t="shared" ref="E16:E33" si="4">B16</f>
        <v>1</v>
      </c>
      <c r="F16" s="78">
        <f>VLOOKUP($B$3,'Data for Bill Impacts'!$A$6:$Y$18,17,0)</f>
        <v>102.52</v>
      </c>
      <c r="G16" s="22">
        <f>E16*F16</f>
        <v>102.52</v>
      </c>
      <c r="H16" s="22">
        <f t="shared" si="3"/>
        <v>13.039999999999992</v>
      </c>
      <c r="I16" s="23">
        <f t="shared" si="0"/>
        <v>0.14573088958426456</v>
      </c>
      <c r="J16" s="124">
        <f t="shared" si="1"/>
        <v>3.1130210139309646E-3</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78">
        <f>VLOOKUP($B$3,'Data for Bill Impacts'!$A$6:$Y$18,13,0)</f>
        <v>1.37</v>
      </c>
      <c r="D19" s="22">
        <f t="shared" si="6"/>
        <v>1.37</v>
      </c>
      <c r="E19" s="73">
        <f t="shared" si="4"/>
        <v>1</v>
      </c>
      <c r="F19" s="78">
        <f>VLOOKUP($B$3,'Data for Bill Impacts'!$A$6:$Y$18,22,0)</f>
        <v>-8.9999999999999993E-3</v>
      </c>
      <c r="G19" s="22">
        <f t="shared" si="5"/>
        <v>-8.9999999999999993E-3</v>
      </c>
      <c r="H19" s="22">
        <f t="shared" si="3"/>
        <v>-1.379</v>
      </c>
      <c r="I19" s="23">
        <f>IF(ISERROR(H19/ABS(D19)),"N/A",(H19/ABS(D19)))</f>
        <v>-1.0065693430656935</v>
      </c>
      <c r="J19" s="124">
        <f t="shared" si="1"/>
        <v>-2.7328510656826648E-7</v>
      </c>
    </row>
    <row r="20" spans="1:10" x14ac:dyDescent="0.2">
      <c r="A20" s="107" t="s">
        <v>39</v>
      </c>
      <c r="B20" s="73">
        <f>IF($B$10="kWh",$B$4,$B$5)</f>
        <v>500</v>
      </c>
      <c r="C20" s="78">
        <f>VLOOKUP($B$3,'Data for Bill Impacts'!$A$6:$Y$18,10,0)</f>
        <v>16.023600000000002</v>
      </c>
      <c r="D20" s="22">
        <f>B20*C20</f>
        <v>8011.8000000000011</v>
      </c>
      <c r="E20" s="73">
        <f t="shared" si="4"/>
        <v>500</v>
      </c>
      <c r="F20" s="125">
        <f>VLOOKUP($B$3,'Data for Bill Impacts'!$A$6:$Y$18,19,0)</f>
        <v>16.768899999999999</v>
      </c>
      <c r="G20" s="22">
        <f>E20*F20</f>
        <v>8384.4499999999989</v>
      </c>
      <c r="H20" s="22">
        <f t="shared" si="3"/>
        <v>372.64999999999782</v>
      </c>
      <c r="I20" s="23">
        <f t="shared" ref="I20:I38" si="7">IF(ISERROR(H20/ABS(D20)),"N/A",(H20/ABS(D20)))</f>
        <v>4.6512643850320501E-2</v>
      </c>
      <c r="J20" s="124">
        <f t="shared" si="1"/>
        <v>0.25459392352958909</v>
      </c>
    </row>
    <row r="21" spans="1:10" s="1" customFormat="1" x14ac:dyDescent="0.2">
      <c r="A21" s="107" t="s">
        <v>124</v>
      </c>
      <c r="B21" s="73">
        <f>IF($B$10="kWh",$B$4,$B$5)</f>
        <v>500</v>
      </c>
      <c r="C21" s="78">
        <f>VLOOKUP($B$3,'Data for Bill Impacts'!$A$6:$Y$18,14,0)</f>
        <v>4.2799999999999998E-2</v>
      </c>
      <c r="D21" s="22">
        <f>B21*C21</f>
        <v>21.4</v>
      </c>
      <c r="E21" s="73">
        <f t="shared" si="4"/>
        <v>500</v>
      </c>
      <c r="F21" s="125">
        <f>VLOOKUP($B$3,'Data for Bill Impacts'!$A$6:$Y$18,23,0)</f>
        <v>5.1599999999999997E-3</v>
      </c>
      <c r="G21" s="22">
        <f>E21*F21</f>
        <v>2.5799999999999996</v>
      </c>
      <c r="H21" s="22">
        <f t="shared" si="3"/>
        <v>-18.82</v>
      </c>
      <c r="I21" s="23">
        <f t="shared" si="7"/>
        <v>-0.87943925233644871</v>
      </c>
      <c r="J21" s="124">
        <f t="shared" si="1"/>
        <v>7.8341730549569719E-5</v>
      </c>
    </row>
    <row r="22" spans="1:10" s="1" customFormat="1" x14ac:dyDescent="0.2">
      <c r="A22" s="107" t="s">
        <v>112</v>
      </c>
      <c r="B22" s="73">
        <f>B9</f>
        <v>185675</v>
      </c>
      <c r="C22" s="125">
        <f>VLOOKUP($B$3,'Data for Bill Impacts'!$A$6:$Y$18,20,0)</f>
        <v>-1E-3</v>
      </c>
      <c r="D22" s="22">
        <f>B22*C22</f>
        <v>-185.67500000000001</v>
      </c>
      <c r="E22" s="73">
        <f>B22</f>
        <v>185675</v>
      </c>
      <c r="F22" s="125">
        <f>VLOOKUP($B$3,'Data for Bill Impacts'!$A$6:$Y$18,21,0)</f>
        <v>0</v>
      </c>
      <c r="G22" s="22">
        <f>E22*F22</f>
        <v>0</v>
      </c>
      <c r="H22" s="22">
        <f t="shared" ref="H22" si="8">G22-D22</f>
        <v>185.67500000000001</v>
      </c>
      <c r="I22" s="23">
        <f t="shared" si="7"/>
        <v>1</v>
      </c>
      <c r="J22" s="124">
        <f t="shared" si="1"/>
        <v>0</v>
      </c>
    </row>
    <row r="23" spans="1:10" x14ac:dyDescent="0.2">
      <c r="A23" s="110" t="s">
        <v>79</v>
      </c>
      <c r="B23" s="74"/>
      <c r="C23" s="35"/>
      <c r="D23" s="35">
        <f>SUM(D16:D22)</f>
        <v>7938.3750000000009</v>
      </c>
      <c r="E23" s="73"/>
      <c r="F23" s="35"/>
      <c r="G23" s="35">
        <f>SUM(G16:G22)</f>
        <v>8489.5409999999993</v>
      </c>
      <c r="H23" s="35">
        <f t="shared" si="3"/>
        <v>551.16599999999835</v>
      </c>
      <c r="I23" s="36">
        <f t="shared" si="7"/>
        <v>6.9430582455477133E-2</v>
      </c>
      <c r="J23" s="111">
        <f t="shared" si="1"/>
        <v>0.25778501298896306</v>
      </c>
    </row>
    <row r="24" spans="1:10" x14ac:dyDescent="0.2">
      <c r="A24" s="107" t="s">
        <v>40</v>
      </c>
      <c r="B24" s="73">
        <f>B5</f>
        <v>500</v>
      </c>
      <c r="C24" s="78">
        <f>VLOOKUP($B$3,'Data for Bill Impacts'!$A$6:$Y$18,15,0)</f>
        <v>1.7027000000000001</v>
      </c>
      <c r="D24" s="22">
        <f>B24*C24</f>
        <v>851.35</v>
      </c>
      <c r="E24" s="73">
        <f t="shared" si="4"/>
        <v>500</v>
      </c>
      <c r="F24" s="125">
        <f>VLOOKUP($B$3,'Data for Bill Impacts'!$A$6:$Y$18,24,0)</f>
        <v>1.6718177000000001</v>
      </c>
      <c r="G24" s="22">
        <f>E24*F24</f>
        <v>835.90885000000003</v>
      </c>
      <c r="H24" s="22">
        <f t="shared" si="3"/>
        <v>-15.441149999999993</v>
      </c>
      <c r="I24" s="23">
        <f t="shared" si="7"/>
        <v>-1.8137252598813641E-2</v>
      </c>
      <c r="J24" s="124">
        <f t="shared" si="1"/>
        <v>2.5382382128178567E-2</v>
      </c>
    </row>
    <row r="25" spans="1:10" s="1" customFormat="1" x14ac:dyDescent="0.2">
      <c r="A25" s="107" t="s">
        <v>41</v>
      </c>
      <c r="B25" s="73">
        <f>B5</f>
        <v>500</v>
      </c>
      <c r="C25" s="78">
        <f>VLOOKUP($B$3,'Data for Bill Impacts'!$A$6:$Y$18,16,0)</f>
        <v>1.1397999999999999</v>
      </c>
      <c r="D25" s="22">
        <f>B25*C25</f>
        <v>569.9</v>
      </c>
      <c r="E25" s="73">
        <f t="shared" si="4"/>
        <v>500</v>
      </c>
      <c r="F25" s="125">
        <f>VLOOKUP($B$3,'Data for Bill Impacts'!$A$6:$Y$18,25,0)</f>
        <v>1.2769135</v>
      </c>
      <c r="G25" s="22">
        <f>E25*F25</f>
        <v>638.45675000000006</v>
      </c>
      <c r="H25" s="22">
        <f t="shared" si="3"/>
        <v>68.556750000000079</v>
      </c>
      <c r="I25" s="23">
        <f t="shared" si="7"/>
        <v>0.12029610457975097</v>
      </c>
      <c r="J25" s="124">
        <f t="shared" si="1"/>
        <v>1.9386746773664344E-2</v>
      </c>
    </row>
    <row r="26" spans="1:10" x14ac:dyDescent="0.2">
      <c r="A26" s="110" t="s">
        <v>76</v>
      </c>
      <c r="B26" s="74"/>
      <c r="C26" s="35"/>
      <c r="D26" s="35">
        <f>SUM(D24:D25)</f>
        <v>1421.25</v>
      </c>
      <c r="E26" s="73"/>
      <c r="F26" s="35"/>
      <c r="G26" s="35">
        <f>SUM(G24:G25)</f>
        <v>1474.3656000000001</v>
      </c>
      <c r="H26" s="35">
        <f t="shared" si="3"/>
        <v>53.115600000000086</v>
      </c>
      <c r="I26" s="36">
        <f t="shared" si="7"/>
        <v>3.7372453825857584E-2</v>
      </c>
      <c r="J26" s="111">
        <f t="shared" si="1"/>
        <v>4.4769128901842911E-2</v>
      </c>
    </row>
    <row r="27" spans="1:10" s="1" customFormat="1" x14ac:dyDescent="0.2">
      <c r="A27" s="110" t="s">
        <v>80</v>
      </c>
      <c r="B27" s="74"/>
      <c r="C27" s="35"/>
      <c r="D27" s="35">
        <f>D23+D26</f>
        <v>9359.625</v>
      </c>
      <c r="E27" s="73"/>
      <c r="F27" s="35"/>
      <c r="G27" s="35">
        <f>G23+G26</f>
        <v>9963.9065999999984</v>
      </c>
      <c r="H27" s="35">
        <f t="shared" si="3"/>
        <v>604.28159999999843</v>
      </c>
      <c r="I27" s="36">
        <f t="shared" si="7"/>
        <v>6.456258664209287E-2</v>
      </c>
      <c r="J27" s="111">
        <f t="shared" si="1"/>
        <v>0.30255414189080598</v>
      </c>
    </row>
    <row r="28" spans="1:10" x14ac:dyDescent="0.2">
      <c r="A28" s="107" t="s">
        <v>42</v>
      </c>
      <c r="B28" s="73">
        <f>B9</f>
        <v>185675</v>
      </c>
      <c r="C28" s="34">
        <v>3.5999999999999999E-3</v>
      </c>
      <c r="D28" s="22">
        <f>B28*C28</f>
        <v>668.43</v>
      </c>
      <c r="E28" s="73">
        <f t="shared" si="4"/>
        <v>185675</v>
      </c>
      <c r="F28" s="34">
        <v>3.5999999999999999E-3</v>
      </c>
      <c r="G28" s="22">
        <f>E28*F28</f>
        <v>668.43</v>
      </c>
      <c r="H28" s="22">
        <f t="shared" si="3"/>
        <v>0</v>
      </c>
      <c r="I28" s="23">
        <f t="shared" si="7"/>
        <v>0</v>
      </c>
      <c r="J28" s="124">
        <f t="shared" si="1"/>
        <v>2.0296884864825154E-2</v>
      </c>
    </row>
    <row r="29" spans="1:10" x14ac:dyDescent="0.2">
      <c r="A29" s="107" t="s">
        <v>43</v>
      </c>
      <c r="B29" s="73">
        <f>B9</f>
        <v>185675</v>
      </c>
      <c r="C29" s="34">
        <v>2.0999999999999999E-3</v>
      </c>
      <c r="D29" s="22">
        <f>B29*C29</f>
        <v>389.91749999999996</v>
      </c>
      <c r="E29" s="73">
        <f t="shared" si="4"/>
        <v>185675</v>
      </c>
      <c r="F29" s="34">
        <v>2.0999999999999999E-3</v>
      </c>
      <c r="G29" s="22">
        <f>E29*F29</f>
        <v>389.91749999999996</v>
      </c>
      <c r="H29" s="22">
        <f>G29-D29</f>
        <v>0</v>
      </c>
      <c r="I29" s="23">
        <f t="shared" si="7"/>
        <v>0</v>
      </c>
      <c r="J29" s="124">
        <f t="shared" si="1"/>
        <v>1.1839849504481338E-2</v>
      </c>
    </row>
    <row r="30" spans="1:10" x14ac:dyDescent="0.2">
      <c r="A30" s="107" t="s">
        <v>96</v>
      </c>
      <c r="B30" s="73">
        <f>B9</f>
        <v>185675</v>
      </c>
      <c r="C30" s="34">
        <v>0</v>
      </c>
      <c r="D30" s="22">
        <f>B30*C30</f>
        <v>0</v>
      </c>
      <c r="E30" s="73">
        <f t="shared" si="4"/>
        <v>185675</v>
      </c>
      <c r="F30" s="34">
        <v>0</v>
      </c>
      <c r="G30" s="22">
        <f>E30*F30</f>
        <v>0</v>
      </c>
      <c r="H30" s="22">
        <f>G30-D30</f>
        <v>0</v>
      </c>
      <c r="I30" s="23" t="str">
        <f t="shared" si="7"/>
        <v>N/A</v>
      </c>
      <c r="J30" s="124">
        <f t="shared" ref="J30" si="9">G30/$G$38</f>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ref="J31:J38" si="10">G31/$G$38</f>
        <v>7.5912529602296257E-6</v>
      </c>
    </row>
    <row r="32" spans="1:10" x14ac:dyDescent="0.2">
      <c r="A32" s="110" t="s">
        <v>45</v>
      </c>
      <c r="B32" s="74"/>
      <c r="C32" s="35"/>
      <c r="D32" s="35">
        <f>SUM(D28:D31)</f>
        <v>1058.5974999999999</v>
      </c>
      <c r="E32" s="73"/>
      <c r="F32" s="35"/>
      <c r="G32" s="35">
        <f>SUM(G28:G31)</f>
        <v>1058.5974999999999</v>
      </c>
      <c r="H32" s="35">
        <f t="shared" si="3"/>
        <v>0</v>
      </c>
      <c r="I32" s="36">
        <f t="shared" si="7"/>
        <v>0</v>
      </c>
      <c r="J32" s="111">
        <f t="shared" si="10"/>
        <v>3.2144325622266719E-2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3"/>
        <v>0</v>
      </c>
      <c r="I33" s="117">
        <f t="shared" si="7"/>
        <v>0</v>
      </c>
      <c r="J33" s="118">
        <f t="shared" si="10"/>
        <v>3.7197139505125161E-2</v>
      </c>
    </row>
    <row r="34" spans="1:10" x14ac:dyDescent="0.2">
      <c r="A34" s="37" t="s">
        <v>115</v>
      </c>
      <c r="B34" s="38"/>
      <c r="C34" s="39"/>
      <c r="D34" s="39">
        <f>SUM(D15,D23,D26,D32,D33)</f>
        <v>28539.647499999999</v>
      </c>
      <c r="E34" s="38"/>
      <c r="F34" s="39"/>
      <c r="G34" s="39">
        <f>SUM(G15,G23,G26,G32,G33)</f>
        <v>29143.929100000001</v>
      </c>
      <c r="H34" s="39">
        <f t="shared" si="3"/>
        <v>604.28160000000207</v>
      </c>
      <c r="I34" s="40">
        <f t="shared" si="7"/>
        <v>2.1173407975694235E-2</v>
      </c>
      <c r="J34" s="41">
        <f t="shared" si="10"/>
        <v>0.88495575221238931</v>
      </c>
    </row>
    <row r="35" spans="1:10" x14ac:dyDescent="0.2">
      <c r="A35" s="46" t="s">
        <v>106</v>
      </c>
      <c r="B35" s="43"/>
      <c r="C35" s="26">
        <v>0.13</v>
      </c>
      <c r="D35" s="26">
        <f>D34*C35</f>
        <v>3710.1541750000001</v>
      </c>
      <c r="E35" s="26"/>
      <c r="F35" s="26">
        <f>C35</f>
        <v>0.13</v>
      </c>
      <c r="G35" s="26">
        <f>G34*F35</f>
        <v>3788.7107830000004</v>
      </c>
      <c r="H35" s="26">
        <f t="shared" si="3"/>
        <v>78.556608000000324</v>
      </c>
      <c r="I35" s="44">
        <f t="shared" si="7"/>
        <v>2.1173407975694249E-2</v>
      </c>
      <c r="J35" s="45">
        <f t="shared" si="10"/>
        <v>0.11504424778761062</v>
      </c>
    </row>
    <row r="36" spans="1:10" x14ac:dyDescent="0.2">
      <c r="A36" s="46" t="s">
        <v>107</v>
      </c>
      <c r="B36" s="24"/>
      <c r="C36" s="25"/>
      <c r="D36" s="25">
        <f>SUM(D34:D35)</f>
        <v>32249.801674999999</v>
      </c>
      <c r="E36" s="25"/>
      <c r="F36" s="25"/>
      <c r="G36" s="25">
        <f>SUM(G34:G35)</f>
        <v>32932.639883000003</v>
      </c>
      <c r="H36" s="25">
        <f t="shared" si="3"/>
        <v>682.83820800000467</v>
      </c>
      <c r="I36" s="27">
        <f t="shared" si="7"/>
        <v>2.1173407975694308E-2</v>
      </c>
      <c r="J36" s="47">
        <f t="shared" si="10"/>
        <v>1</v>
      </c>
    </row>
    <row r="37" spans="1:10" x14ac:dyDescent="0.2">
      <c r="A37" s="46" t="s">
        <v>108</v>
      </c>
      <c r="B37" s="43"/>
      <c r="C37" s="26">
        <v>0</v>
      </c>
      <c r="D37" s="26">
        <f>D34*C37</f>
        <v>0</v>
      </c>
      <c r="E37" s="26"/>
      <c r="F37" s="26">
        <f>C37</f>
        <v>0</v>
      </c>
      <c r="G37" s="26">
        <f>G34*F37</f>
        <v>0</v>
      </c>
      <c r="H37" s="26">
        <f t="shared" si="3"/>
        <v>0</v>
      </c>
      <c r="I37" s="44" t="str">
        <f t="shared" si="7"/>
        <v>N/A</v>
      </c>
      <c r="J37" s="45">
        <f t="shared" si="10"/>
        <v>0</v>
      </c>
    </row>
    <row r="38" spans="1:10" ht="13.5" thickBot="1" x14ac:dyDescent="0.25">
      <c r="A38" s="46" t="s">
        <v>109</v>
      </c>
      <c r="B38" s="49"/>
      <c r="C38" s="50"/>
      <c r="D38" s="50">
        <f>SUM(D36:D37)</f>
        <v>32249.801674999999</v>
      </c>
      <c r="E38" s="50"/>
      <c r="F38" s="50"/>
      <c r="G38" s="50">
        <f>SUM(G36:G37)</f>
        <v>32932.639883000003</v>
      </c>
      <c r="H38" s="50">
        <f t="shared" si="3"/>
        <v>682.83820800000467</v>
      </c>
      <c r="I38" s="51">
        <f t="shared" si="7"/>
        <v>2.1173407975694308E-2</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6947916666666705" bottom="0.75" header="1.05" footer="0.3"/>
  <pageSetup paperSize="32767" scale="72"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1" tint="0.499984740745262"/>
    <pageSetUpPr fitToPage="1"/>
  </sheetPr>
  <dimension ref="A1:J40"/>
  <sheetViews>
    <sheetView tabSelected="1" view="pageLayout" topLeftCell="A7"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98</v>
      </c>
      <c r="B1" s="191"/>
      <c r="C1" s="191"/>
      <c r="D1" s="191"/>
      <c r="E1" s="191"/>
      <c r="F1" s="191"/>
      <c r="G1" s="191"/>
      <c r="H1" s="191"/>
      <c r="I1" s="191"/>
      <c r="J1" s="192"/>
    </row>
    <row r="3" spans="1:10" x14ac:dyDescent="0.2">
      <c r="A3" s="13" t="s">
        <v>13</v>
      </c>
      <c r="B3" s="13" t="s">
        <v>125</v>
      </c>
    </row>
    <row r="4" spans="1:10" x14ac:dyDescent="0.2">
      <c r="A4" s="15" t="s">
        <v>62</v>
      </c>
      <c r="B4" s="79">
        <v>300</v>
      </c>
    </row>
    <row r="5" spans="1:10" x14ac:dyDescent="0.2">
      <c r="A5" s="15" t="s">
        <v>16</v>
      </c>
      <c r="B5" s="79">
        <v>10</v>
      </c>
    </row>
    <row r="6" spans="1:10" x14ac:dyDescent="0.2">
      <c r="A6" s="15" t="s">
        <v>20</v>
      </c>
      <c r="B6" s="80">
        <f>VLOOKUP($B$3,'Data for Bill Impacts'!$A$6:$Y$18,2,0)</f>
        <v>1.0609999999999999</v>
      </c>
    </row>
    <row r="7" spans="1:10" x14ac:dyDescent="0.2">
      <c r="A7" s="81" t="s">
        <v>48</v>
      </c>
      <c r="B7" s="82">
        <f>B4/(B5*730)</f>
        <v>4.1095890410958902E-2</v>
      </c>
    </row>
    <row r="8" spans="1:10" x14ac:dyDescent="0.2">
      <c r="A8" s="15" t="s">
        <v>15</v>
      </c>
      <c r="B8" s="79">
        <f>VLOOKUP($B$3,'Data for Bill Impacts'!$A$6:$Y$18,4,0)</f>
        <v>0</v>
      </c>
    </row>
    <row r="9" spans="1:10" x14ac:dyDescent="0.2">
      <c r="A9" s="15" t="s">
        <v>82</v>
      </c>
      <c r="B9" s="79">
        <f>B4*B6</f>
        <v>318.29999999999995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318.29999999999995</v>
      </c>
      <c r="C13" s="103">
        <v>9.0999999999999998E-2</v>
      </c>
      <c r="D13" s="104">
        <f>B13*C13</f>
        <v>28.965299999999996</v>
      </c>
      <c r="E13" s="102">
        <f>B13</f>
        <v>318.29999999999995</v>
      </c>
      <c r="F13" s="103">
        <f>C13</f>
        <v>9.0999999999999998E-2</v>
      </c>
      <c r="G13" s="104">
        <f>E13*F13</f>
        <v>28.965299999999996</v>
      </c>
      <c r="H13" s="104">
        <f>G13-D13</f>
        <v>0</v>
      </c>
      <c r="I13" s="105">
        <f t="shared" ref="I13:I18" si="0">IF(ISERROR(H13/ABS(D13)),"N/A",(H13/ABS(D13)))</f>
        <v>0</v>
      </c>
      <c r="J13" s="123">
        <f t="shared" ref="J13:J21" si="1">G13/$G$38</f>
        <v>8.3925871729335494E-2</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28.965299999999996</v>
      </c>
      <c r="E15" s="76"/>
      <c r="F15" s="25"/>
      <c r="G15" s="25">
        <f>SUM(G13:G14)</f>
        <v>28.965299999999996</v>
      </c>
      <c r="H15" s="25">
        <f t="shared" si="3"/>
        <v>0</v>
      </c>
      <c r="I15" s="27">
        <f t="shared" si="0"/>
        <v>0</v>
      </c>
      <c r="J15" s="47">
        <f t="shared" si="1"/>
        <v>8.3925871729335494E-2</v>
      </c>
    </row>
    <row r="16" spans="1:10" s="1" customFormat="1" x14ac:dyDescent="0.2">
      <c r="A16" s="107" t="s">
        <v>38</v>
      </c>
      <c r="B16" s="73">
        <v>1</v>
      </c>
      <c r="C16" s="78">
        <f>VLOOKUP($B$3,'Data for Bill Impacts'!$A$6:$Y$18,7,0)</f>
        <v>149.34</v>
      </c>
      <c r="D16" s="22">
        <f>B16*C16</f>
        <v>149.34</v>
      </c>
      <c r="E16" s="73">
        <f t="shared" ref="E16:E33" si="4">B16</f>
        <v>1</v>
      </c>
      <c r="F16" s="78">
        <f>VLOOKUP($B$3,'Data for Bill Impacts'!$A$6:$Y$18,17,0)</f>
        <v>196.16</v>
      </c>
      <c r="G16" s="22">
        <f>E16*F16</f>
        <v>196.16</v>
      </c>
      <c r="H16" s="22">
        <f t="shared" si="3"/>
        <v>46.819999999999993</v>
      </c>
      <c r="I16" s="23">
        <f t="shared" si="0"/>
        <v>0.31351278960760676</v>
      </c>
      <c r="J16" s="124">
        <f t="shared" si="1"/>
        <v>0.56836625197827928</v>
      </c>
    </row>
    <row r="17" spans="1:10" hidden="1"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x14ac:dyDescent="0.2">
      <c r="A19" s="107" t="s">
        <v>85</v>
      </c>
      <c r="B19" s="73">
        <v>1</v>
      </c>
      <c r="C19" s="78">
        <f>VLOOKUP($B$3,'Data for Bill Impacts'!$A$6:$Y$18,13,0)</f>
        <v>2.72</v>
      </c>
      <c r="D19" s="22">
        <f t="shared" si="6"/>
        <v>2.72</v>
      </c>
      <c r="E19" s="73">
        <f t="shared" si="4"/>
        <v>1</v>
      </c>
      <c r="F19" s="78">
        <f>VLOOKUP($B$3,'Data for Bill Impacts'!$A$6:$Y$18,22,0)</f>
        <v>1.0999999999999999E-2</v>
      </c>
      <c r="G19" s="22">
        <f t="shared" si="5"/>
        <v>1.0999999999999999E-2</v>
      </c>
      <c r="H19" s="22">
        <f t="shared" si="3"/>
        <v>-2.7090000000000001</v>
      </c>
      <c r="I19" s="23">
        <f>IF(ISERROR(H19/ABS(D19)),"N/A",(H19/ABS(D19)))</f>
        <v>-0.99595588235294108</v>
      </c>
      <c r="J19" s="124">
        <f t="shared" si="1"/>
        <v>3.1872087947395347E-5</v>
      </c>
    </row>
    <row r="20" spans="1:10" x14ac:dyDescent="0.2">
      <c r="A20" s="107" t="s">
        <v>39</v>
      </c>
      <c r="B20" s="73">
        <f>IF($B$10="kWh",$B$4,$B$5)</f>
        <v>10</v>
      </c>
      <c r="C20" s="78">
        <f>VLOOKUP($B$3,'Data for Bill Impacts'!$A$6:$Y$18,10,0)</f>
        <v>7.0504000000000007</v>
      </c>
      <c r="D20" s="22">
        <f>B20*C20</f>
        <v>70.504000000000005</v>
      </c>
      <c r="E20" s="73">
        <f t="shared" si="4"/>
        <v>10</v>
      </c>
      <c r="F20" s="125">
        <f>VLOOKUP($B$3,'Data for Bill Impacts'!$A$6:$Y$18,19,0)</f>
        <v>6.431</v>
      </c>
      <c r="G20" s="22">
        <f>E20*F20</f>
        <v>64.31</v>
      </c>
      <c r="H20" s="22">
        <f t="shared" si="3"/>
        <v>-6.1940000000000026</v>
      </c>
      <c r="I20" s="23">
        <f t="shared" ref="I20:I38" si="7">IF(ISERROR(H20/ABS(D20)),"N/A",(H20/ABS(D20)))</f>
        <v>-8.7853171451265213E-2</v>
      </c>
      <c r="J20" s="124">
        <f t="shared" si="1"/>
        <v>0.18633581599063592</v>
      </c>
    </row>
    <row r="21" spans="1:10" s="1" customFormat="1" x14ac:dyDescent="0.2">
      <c r="A21" s="107" t="s">
        <v>124</v>
      </c>
      <c r="B21" s="73">
        <f>IF($B$10="kWh",$B$4,$B$5)</f>
        <v>10</v>
      </c>
      <c r="C21" s="78">
        <f>VLOOKUP($B$3,'Data for Bill Impacts'!$A$6:$Y$18,14,0)</f>
        <v>6.3299999999999995E-2</v>
      </c>
      <c r="D21" s="22">
        <f>B21*C21</f>
        <v>0.63300000000000001</v>
      </c>
      <c r="E21" s="73">
        <f t="shared" si="4"/>
        <v>10</v>
      </c>
      <c r="F21" s="78">
        <f>VLOOKUP($B$3,'Data for Bill Impacts'!$A$6:$Y$18,23,0)</f>
        <v>2.82E-3</v>
      </c>
      <c r="G21" s="22">
        <f>E21*F21</f>
        <v>2.8199999999999999E-2</v>
      </c>
      <c r="H21" s="22">
        <f t="shared" si="3"/>
        <v>-0.6048</v>
      </c>
      <c r="I21" s="23">
        <f t="shared" si="7"/>
        <v>-0.95545023696682463</v>
      </c>
      <c r="J21" s="124">
        <f t="shared" si="1"/>
        <v>8.1708443646958984E-5</v>
      </c>
    </row>
    <row r="22" spans="1:10" s="1" customFormat="1" x14ac:dyDescent="0.2">
      <c r="A22" s="107" t="s">
        <v>112</v>
      </c>
      <c r="B22" s="73">
        <f>B9</f>
        <v>318.29999999999995</v>
      </c>
      <c r="C22" s="125">
        <f>VLOOKUP($B$3,'Data for Bill Impacts'!$A$6:$Y$18,20,0)</f>
        <v>-1E-3</v>
      </c>
      <c r="D22" s="22">
        <f>B22*C22</f>
        <v>-0.31829999999999997</v>
      </c>
      <c r="E22" s="73">
        <f>B22</f>
        <v>318.29999999999995</v>
      </c>
      <c r="F22" s="125">
        <f>VLOOKUP($B$3,'Data for Bill Impacts'!$A$6:$Y$18,21,0)</f>
        <v>0</v>
      </c>
      <c r="G22" s="22">
        <f>E22*F22</f>
        <v>0</v>
      </c>
      <c r="H22" s="22">
        <f t="shared" ref="H22" si="8">G22-D22</f>
        <v>0.31829999999999997</v>
      </c>
      <c r="I22" s="23">
        <f t="shared" si="7"/>
        <v>1</v>
      </c>
      <c r="J22" s="124">
        <f t="shared" ref="J22" si="9">G22/$G$38</f>
        <v>0</v>
      </c>
    </row>
    <row r="23" spans="1:10" x14ac:dyDescent="0.2">
      <c r="A23" s="110" t="s">
        <v>93</v>
      </c>
      <c r="B23" s="74"/>
      <c r="C23" s="35"/>
      <c r="D23" s="35">
        <f>SUM(D16:D22)</f>
        <v>222.87870000000004</v>
      </c>
      <c r="E23" s="73"/>
      <c r="F23" s="35"/>
      <c r="G23" s="35">
        <f>SUM(G16:G22)</f>
        <v>260.50920000000002</v>
      </c>
      <c r="H23" s="35">
        <f t="shared" si="3"/>
        <v>37.630499999999984</v>
      </c>
      <c r="I23" s="36">
        <f t="shared" si="7"/>
        <v>0.16883847581666608</v>
      </c>
      <c r="J23" s="111">
        <f t="shared" ref="J23:J29" si="10">G23/$G$38</f>
        <v>0.75481564850050964</v>
      </c>
    </row>
    <row r="24" spans="1:10" x14ac:dyDescent="0.2">
      <c r="A24" s="107" t="s">
        <v>40</v>
      </c>
      <c r="B24" s="73">
        <f>B5</f>
        <v>10</v>
      </c>
      <c r="C24" s="78">
        <f>VLOOKUP($B$3,'Data for Bill Impacts'!$A$6:$Y$18,15,0)</f>
        <v>0.55489999999999995</v>
      </c>
      <c r="D24" s="22">
        <f>B24*C24</f>
        <v>5.5489999999999995</v>
      </c>
      <c r="E24" s="73">
        <f t="shared" si="4"/>
        <v>10</v>
      </c>
      <c r="F24" s="125">
        <f>VLOOKUP($B$3,'Data for Bill Impacts'!$A$6:$Y$18,24,0)</f>
        <v>0.63108279999999994</v>
      </c>
      <c r="G24" s="22">
        <f>E24*F24</f>
        <v>6.310827999999999</v>
      </c>
      <c r="H24" s="22">
        <f t="shared" si="3"/>
        <v>0.76182799999999951</v>
      </c>
      <c r="I24" s="23">
        <f t="shared" si="7"/>
        <v>0.13729104343124879</v>
      </c>
      <c r="J24" s="124">
        <f t="shared" si="10"/>
        <v>1.8285387730625918E-2</v>
      </c>
    </row>
    <row r="25" spans="1:10" s="1" customFormat="1" x14ac:dyDescent="0.2">
      <c r="A25" s="107" t="s">
        <v>41</v>
      </c>
      <c r="B25" s="73">
        <f>B5</f>
        <v>10</v>
      </c>
      <c r="C25" s="78">
        <f>VLOOKUP($B$3,'Data for Bill Impacts'!$A$6:$Y$18,16,0)</f>
        <v>0.3553</v>
      </c>
      <c r="D25" s="22">
        <f>B25*C25</f>
        <v>3.5529999999999999</v>
      </c>
      <c r="E25" s="73">
        <f t="shared" si="4"/>
        <v>10</v>
      </c>
      <c r="F25" s="125">
        <f>VLOOKUP($B$3,'Data for Bill Impacts'!$A$6:$Y$18,25,0)</f>
        <v>0.54747599999999996</v>
      </c>
      <c r="G25" s="22">
        <f>E25*F25</f>
        <v>5.4747599999999998</v>
      </c>
      <c r="H25" s="22">
        <f t="shared" si="3"/>
        <v>1.9217599999999999</v>
      </c>
      <c r="I25" s="23">
        <f t="shared" si="7"/>
        <v>0.54088376020264561</v>
      </c>
      <c r="J25" s="124">
        <f t="shared" si="10"/>
        <v>1.5862912019171106E-2</v>
      </c>
    </row>
    <row r="26" spans="1:10" x14ac:dyDescent="0.2">
      <c r="A26" s="110" t="s">
        <v>76</v>
      </c>
      <c r="B26" s="74"/>
      <c r="C26" s="35"/>
      <c r="D26" s="35">
        <f>SUM(D24:D25)</f>
        <v>9.1020000000000003</v>
      </c>
      <c r="E26" s="73"/>
      <c r="F26" s="35"/>
      <c r="G26" s="35">
        <f>SUM(G24:G25)</f>
        <v>11.785587999999999</v>
      </c>
      <c r="H26" s="35">
        <f t="shared" si="3"/>
        <v>2.6835879999999985</v>
      </c>
      <c r="I26" s="36">
        <f t="shared" si="7"/>
        <v>0.29483498132278602</v>
      </c>
      <c r="J26" s="111">
        <f t="shared" si="10"/>
        <v>3.4148299749797023E-2</v>
      </c>
    </row>
    <row r="27" spans="1:10" s="1" customFormat="1" x14ac:dyDescent="0.2">
      <c r="A27" s="110" t="s">
        <v>80</v>
      </c>
      <c r="B27" s="74"/>
      <c r="C27" s="35"/>
      <c r="D27" s="35">
        <f>D23+D26</f>
        <v>231.98070000000004</v>
      </c>
      <c r="E27" s="73"/>
      <c r="F27" s="35"/>
      <c r="G27" s="35">
        <f>G23+G26</f>
        <v>272.29478800000004</v>
      </c>
      <c r="H27" s="35">
        <f t="shared" si="3"/>
        <v>40.314087999999998</v>
      </c>
      <c r="I27" s="36">
        <f t="shared" si="7"/>
        <v>0.17378207756076255</v>
      </c>
      <c r="J27" s="111">
        <f t="shared" si="10"/>
        <v>0.78896394825030669</v>
      </c>
    </row>
    <row r="28" spans="1:10" x14ac:dyDescent="0.2">
      <c r="A28" s="107" t="s">
        <v>42</v>
      </c>
      <c r="B28" s="73">
        <f>B9</f>
        <v>318.29999999999995</v>
      </c>
      <c r="C28" s="34">
        <v>3.5999999999999999E-3</v>
      </c>
      <c r="D28" s="22">
        <f>B28*C28</f>
        <v>1.1458799999999998</v>
      </c>
      <c r="E28" s="73">
        <f t="shared" si="4"/>
        <v>318.29999999999995</v>
      </c>
      <c r="F28" s="34">
        <v>3.5999999999999999E-3</v>
      </c>
      <c r="G28" s="22">
        <f>E28*F28</f>
        <v>1.1458799999999998</v>
      </c>
      <c r="H28" s="22">
        <f t="shared" si="3"/>
        <v>0</v>
      </c>
      <c r="I28" s="23">
        <f t="shared" si="7"/>
        <v>0</v>
      </c>
      <c r="J28" s="124">
        <f t="shared" si="10"/>
        <v>3.32014437610558E-3</v>
      </c>
    </row>
    <row r="29" spans="1:10" x14ac:dyDescent="0.2">
      <c r="A29" s="107" t="s">
        <v>43</v>
      </c>
      <c r="B29" s="73">
        <f>B9</f>
        <v>318.29999999999995</v>
      </c>
      <c r="C29" s="34">
        <v>2.0999999999999999E-3</v>
      </c>
      <c r="D29" s="22">
        <f>B29*C29</f>
        <v>0.66842999999999986</v>
      </c>
      <c r="E29" s="73">
        <f t="shared" si="4"/>
        <v>318.29999999999995</v>
      </c>
      <c r="F29" s="34">
        <v>2.0999999999999999E-3</v>
      </c>
      <c r="G29" s="22">
        <f>E29*F29</f>
        <v>0.66842999999999986</v>
      </c>
      <c r="H29" s="22">
        <f>G29-D29</f>
        <v>0</v>
      </c>
      <c r="I29" s="23">
        <f t="shared" si="7"/>
        <v>0</v>
      </c>
      <c r="J29" s="124">
        <f t="shared" si="10"/>
        <v>1.9367508860615881E-3</v>
      </c>
    </row>
    <row r="30" spans="1:10" x14ac:dyDescent="0.2">
      <c r="A30" s="107" t="s">
        <v>96</v>
      </c>
      <c r="B30" s="73">
        <f>B9</f>
        <v>318.29999999999995</v>
      </c>
      <c r="C30" s="34">
        <v>0</v>
      </c>
      <c r="D30" s="22">
        <f>B30*C30</f>
        <v>0</v>
      </c>
      <c r="E30" s="73">
        <f t="shared" si="4"/>
        <v>318.29999999999995</v>
      </c>
      <c r="F30" s="34">
        <v>0</v>
      </c>
      <c r="G30" s="22">
        <f>E30*F30</f>
        <v>0</v>
      </c>
      <c r="H30" s="22">
        <f>G30-D30</f>
        <v>0</v>
      </c>
      <c r="I30" s="23" t="str">
        <f t="shared" si="7"/>
        <v>N/A</v>
      </c>
      <c r="J30" s="124">
        <f t="shared" ref="J30" si="11">G30/$G$38</f>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ref="J31:J38" si="12">G31/$G$38</f>
        <v>7.2436563516807616E-4</v>
      </c>
    </row>
    <row r="32" spans="1:10" x14ac:dyDescent="0.2">
      <c r="A32" s="110" t="s">
        <v>45</v>
      </c>
      <c r="B32" s="74"/>
      <c r="C32" s="35"/>
      <c r="D32" s="35">
        <f>SUM(D28:D31)</f>
        <v>2.0643099999999999</v>
      </c>
      <c r="E32" s="73"/>
      <c r="F32" s="35"/>
      <c r="G32" s="35">
        <f>SUM(G28:G31)</f>
        <v>2.0643099999999999</v>
      </c>
      <c r="H32" s="35">
        <f t="shared" si="3"/>
        <v>0</v>
      </c>
      <c r="I32" s="36">
        <f t="shared" si="7"/>
        <v>0</v>
      </c>
      <c r="J32" s="111">
        <f t="shared" si="12"/>
        <v>5.9812608973352447E-3</v>
      </c>
    </row>
    <row r="33" spans="1:10" ht="13.5" thickBot="1" x14ac:dyDescent="0.25">
      <c r="A33" s="112" t="s">
        <v>46</v>
      </c>
      <c r="B33" s="113">
        <f>B4</f>
        <v>300</v>
      </c>
      <c r="C33" s="114">
        <v>7.0000000000000001E-3</v>
      </c>
      <c r="D33" s="115">
        <f>B33*C33</f>
        <v>2.1</v>
      </c>
      <c r="E33" s="116">
        <f t="shared" si="4"/>
        <v>300</v>
      </c>
      <c r="F33" s="114">
        <f>C33</f>
        <v>7.0000000000000001E-3</v>
      </c>
      <c r="G33" s="115">
        <f>E33*F33</f>
        <v>2.1</v>
      </c>
      <c r="H33" s="115">
        <f t="shared" si="3"/>
        <v>0</v>
      </c>
      <c r="I33" s="117">
        <f t="shared" si="7"/>
        <v>0</v>
      </c>
      <c r="J33" s="118">
        <f t="shared" si="12"/>
        <v>6.0846713354118405E-3</v>
      </c>
    </row>
    <row r="34" spans="1:10" x14ac:dyDescent="0.2">
      <c r="A34" s="37" t="s">
        <v>115</v>
      </c>
      <c r="B34" s="38"/>
      <c r="C34" s="39"/>
      <c r="D34" s="39">
        <f>SUM(D15,D23,D26,D32,D33)</f>
        <v>265.11031000000003</v>
      </c>
      <c r="E34" s="38"/>
      <c r="F34" s="39"/>
      <c r="G34" s="39">
        <f>SUM(G15,G23,G26,G32,G33)</f>
        <v>305.42439800000005</v>
      </c>
      <c r="H34" s="39">
        <f t="shared" si="3"/>
        <v>40.314088000000027</v>
      </c>
      <c r="I34" s="40">
        <f t="shared" si="7"/>
        <v>0.15206533461486285</v>
      </c>
      <c r="J34" s="41">
        <f t="shared" si="12"/>
        <v>0.88495575221238931</v>
      </c>
    </row>
    <row r="35" spans="1:10" x14ac:dyDescent="0.2">
      <c r="A35" s="46" t="s">
        <v>106</v>
      </c>
      <c r="B35" s="43"/>
      <c r="C35" s="26">
        <v>0.13</v>
      </c>
      <c r="D35" s="26">
        <f>D34*C35</f>
        <v>34.464340300000003</v>
      </c>
      <c r="E35" s="26"/>
      <c r="F35" s="26">
        <f>C35</f>
        <v>0.13</v>
      </c>
      <c r="G35" s="26">
        <f>G34*F35</f>
        <v>39.705171740000011</v>
      </c>
      <c r="H35" s="26">
        <f t="shared" si="3"/>
        <v>5.240831440000008</v>
      </c>
      <c r="I35" s="44">
        <f t="shared" si="7"/>
        <v>0.15206533461486299</v>
      </c>
      <c r="J35" s="45">
        <f t="shared" si="12"/>
        <v>0.11504424778761063</v>
      </c>
    </row>
    <row r="36" spans="1:10" x14ac:dyDescent="0.2">
      <c r="A36" s="46" t="s">
        <v>107</v>
      </c>
      <c r="B36" s="24"/>
      <c r="C36" s="25"/>
      <c r="D36" s="25">
        <f>SUM(D34:D35)</f>
        <v>299.57465030000003</v>
      </c>
      <c r="E36" s="25"/>
      <c r="F36" s="25"/>
      <c r="G36" s="25">
        <f>SUM(G34:G35)</f>
        <v>345.12956974000008</v>
      </c>
      <c r="H36" s="25">
        <f t="shared" si="3"/>
        <v>45.554919440000049</v>
      </c>
      <c r="I36" s="27">
        <f t="shared" si="7"/>
        <v>0.15206533461486291</v>
      </c>
      <c r="J36" s="47">
        <f t="shared" si="12"/>
        <v>1</v>
      </c>
    </row>
    <row r="37" spans="1:10" x14ac:dyDescent="0.2">
      <c r="A37" s="46" t="s">
        <v>108</v>
      </c>
      <c r="B37" s="43"/>
      <c r="C37" s="26">
        <v>0</v>
      </c>
      <c r="D37" s="26">
        <f>D34*C37</f>
        <v>0</v>
      </c>
      <c r="E37" s="26"/>
      <c r="F37" s="26">
        <f>C37</f>
        <v>0</v>
      </c>
      <c r="G37" s="26">
        <f>G34*F37</f>
        <v>0</v>
      </c>
      <c r="H37" s="26">
        <f t="shared" si="3"/>
        <v>0</v>
      </c>
      <c r="I37" s="44" t="str">
        <f t="shared" si="7"/>
        <v>N/A</v>
      </c>
      <c r="J37" s="45">
        <f t="shared" si="12"/>
        <v>0</v>
      </c>
    </row>
    <row r="38" spans="1:10" ht="13.5" thickBot="1" x14ac:dyDescent="0.25">
      <c r="A38" s="46" t="s">
        <v>109</v>
      </c>
      <c r="B38" s="49"/>
      <c r="C38" s="50"/>
      <c r="D38" s="50">
        <f>SUM(D36:D37)</f>
        <v>299.57465030000003</v>
      </c>
      <c r="E38" s="50"/>
      <c r="F38" s="50"/>
      <c r="G38" s="50">
        <f>SUM(G36:G37)</f>
        <v>345.12956974000008</v>
      </c>
      <c r="H38" s="50">
        <f t="shared" si="3"/>
        <v>45.554919440000049</v>
      </c>
      <c r="I38" s="51">
        <f t="shared" si="7"/>
        <v>0.15206533461486291</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1" tint="0.499984740745262"/>
    <pageSetUpPr fitToPage="1"/>
  </sheetPr>
  <dimension ref="A1:J43"/>
  <sheetViews>
    <sheetView tabSelected="1" view="pageLayout" topLeftCell="A7"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120</v>
      </c>
      <c r="B1" s="191"/>
      <c r="C1" s="191"/>
      <c r="D1" s="191"/>
      <c r="E1" s="191"/>
      <c r="F1" s="191"/>
      <c r="G1" s="191"/>
      <c r="H1" s="191"/>
      <c r="I1" s="191"/>
      <c r="J1" s="192"/>
    </row>
    <row r="3" spans="1:10" x14ac:dyDescent="0.2">
      <c r="A3" s="13" t="s">
        <v>13</v>
      </c>
      <c r="B3" s="13" t="s">
        <v>125</v>
      </c>
    </row>
    <row r="4" spans="1:10" x14ac:dyDescent="0.2">
      <c r="A4" s="15" t="s">
        <v>62</v>
      </c>
      <c r="B4" s="79">
        <f>VLOOKUP(B3,'Data for Bill Impacts'!A22:D34,3,FALSE)</f>
        <v>1328</v>
      </c>
    </row>
    <row r="5" spans="1:10" x14ac:dyDescent="0.2">
      <c r="A5" s="15" t="s">
        <v>16</v>
      </c>
      <c r="B5" s="79">
        <f>VLOOKUP(B3,'Data for Bill Impacts'!A22:D34,4,FALSE)</f>
        <v>13</v>
      </c>
    </row>
    <row r="6" spans="1:10" x14ac:dyDescent="0.2">
      <c r="A6" s="15" t="s">
        <v>20</v>
      </c>
      <c r="B6" s="80">
        <f>VLOOKUP($B$3,'Data for Bill Impacts'!$A$6:$Y$18,2,0)</f>
        <v>1.0609999999999999</v>
      </c>
    </row>
    <row r="7" spans="1:10" x14ac:dyDescent="0.2">
      <c r="A7" s="81" t="s">
        <v>48</v>
      </c>
      <c r="B7" s="82">
        <f>B4/(B5*730)</f>
        <v>0.1399367755532139</v>
      </c>
    </row>
    <row r="8" spans="1:10" x14ac:dyDescent="0.2">
      <c r="A8" s="15" t="s">
        <v>15</v>
      </c>
      <c r="B8" s="79">
        <f>VLOOKUP($B$3,'Data for Bill Impacts'!$A$6:$Y$18,4,0)</f>
        <v>0</v>
      </c>
    </row>
    <row r="9" spans="1:10" x14ac:dyDescent="0.2">
      <c r="A9" s="15" t="s">
        <v>82</v>
      </c>
      <c r="B9" s="79">
        <f>B4*B6</f>
        <v>1409.0079999999998</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1409.0079999999998</v>
      </c>
      <c r="C13" s="103">
        <v>9.0999999999999998E-2</v>
      </c>
      <c r="D13" s="104">
        <f>B13*C13</f>
        <v>128.21972799999998</v>
      </c>
      <c r="E13" s="102">
        <f>B13</f>
        <v>1409.0079999999998</v>
      </c>
      <c r="F13" s="103">
        <f>C13</f>
        <v>9.0999999999999998E-2</v>
      </c>
      <c r="G13" s="104">
        <f>E13*F13</f>
        <v>128.21972799999998</v>
      </c>
      <c r="H13" s="104">
        <f>G13-D13</f>
        <v>0</v>
      </c>
      <c r="I13" s="105">
        <f t="shared" ref="I13:I18" si="0">IF(ISERROR(H13/ABS(D13)),"N/A",(H13/ABS(D13)))</f>
        <v>0</v>
      </c>
      <c r="J13" s="123">
        <f>G13/$G$38</f>
        <v>0.25734026647235381</v>
      </c>
    </row>
    <row r="14" spans="1:10" x14ac:dyDescent="0.2">
      <c r="A14" s="107" t="s">
        <v>32</v>
      </c>
      <c r="B14" s="73">
        <v>0</v>
      </c>
      <c r="C14" s="21">
        <v>0.106</v>
      </c>
      <c r="D14" s="22">
        <f>B14*C14</f>
        <v>0</v>
      </c>
      <c r="E14" s="73">
        <f t="shared" ref="E14" si="1">B14</f>
        <v>0</v>
      </c>
      <c r="F14" s="21">
        <f>C14</f>
        <v>0.106</v>
      </c>
      <c r="G14" s="22">
        <f>E14*F14</f>
        <v>0</v>
      </c>
      <c r="H14" s="22">
        <f t="shared" ref="H14:H38" si="2">G14-D14</f>
        <v>0</v>
      </c>
      <c r="I14" s="23" t="str">
        <f t="shared" si="0"/>
        <v>N/A</v>
      </c>
      <c r="J14" s="124">
        <f>G14/$G$38</f>
        <v>0</v>
      </c>
    </row>
    <row r="15" spans="1:10" s="1" customFormat="1" x14ac:dyDescent="0.2">
      <c r="A15" s="46" t="s">
        <v>33</v>
      </c>
      <c r="B15" s="24"/>
      <c r="C15" s="25"/>
      <c r="D15" s="25">
        <f>SUM(D13:D14)</f>
        <v>128.21972799999998</v>
      </c>
      <c r="E15" s="76"/>
      <c r="F15" s="25"/>
      <c r="G15" s="25">
        <f>SUM(G13:G14)</f>
        <v>128.21972799999998</v>
      </c>
      <c r="H15" s="25">
        <f t="shared" si="2"/>
        <v>0</v>
      </c>
      <c r="I15" s="27">
        <f t="shared" si="0"/>
        <v>0</v>
      </c>
      <c r="J15" s="47">
        <f>G15/$G$38</f>
        <v>0.25734026647235381</v>
      </c>
    </row>
    <row r="16" spans="1:10" s="1" customFormat="1" x14ac:dyDescent="0.2">
      <c r="A16" s="107" t="s">
        <v>38</v>
      </c>
      <c r="B16" s="73">
        <v>1</v>
      </c>
      <c r="C16" s="78">
        <f>VLOOKUP($B$3,'Data for Bill Impacts'!$A$6:$Y$18,7,0)</f>
        <v>149.34</v>
      </c>
      <c r="D16" s="22">
        <f>B16*C16</f>
        <v>149.34</v>
      </c>
      <c r="E16" s="73">
        <f t="shared" ref="E16:E33" si="3">B16</f>
        <v>1</v>
      </c>
      <c r="F16" s="22">
        <f>VLOOKUP($B$3,'Data for Bill Impacts'!$A$6:$Y$18,17,0)</f>
        <v>196.16</v>
      </c>
      <c r="G16" s="22">
        <f>E16*F16</f>
        <v>196.16</v>
      </c>
      <c r="H16" s="22">
        <f t="shared" si="2"/>
        <v>46.819999999999993</v>
      </c>
      <c r="I16" s="23">
        <f t="shared" si="0"/>
        <v>0.31351278960760676</v>
      </c>
      <c r="J16" s="124">
        <f>G16/$G$38</f>
        <v>0.39369812632278339</v>
      </c>
    </row>
    <row r="17" spans="1:10" hidden="1" x14ac:dyDescent="0.2">
      <c r="A17" s="107" t="s">
        <v>83</v>
      </c>
      <c r="B17" s="73">
        <v>1</v>
      </c>
      <c r="C17" s="78">
        <f>VLOOKUP($B$3,'Data for Bill Impacts'!$A$6:$Y$18,8,0)</f>
        <v>0</v>
      </c>
      <c r="D17" s="22">
        <f>B17*C17</f>
        <v>0</v>
      </c>
      <c r="E17" s="73">
        <f t="shared" si="3"/>
        <v>1</v>
      </c>
      <c r="F17" s="78">
        <v>0</v>
      </c>
      <c r="G17" s="22">
        <f t="shared" ref="G17:G18" si="4">E17*F17</f>
        <v>0</v>
      </c>
      <c r="H17" s="22">
        <f t="shared" si="2"/>
        <v>0</v>
      </c>
      <c r="I17" s="23" t="str">
        <f t="shared" si="0"/>
        <v>N/A</v>
      </c>
      <c r="J17" s="124">
        <f t="shared" ref="J17:J18" si="5">G17/$G$38</f>
        <v>0</v>
      </c>
    </row>
    <row r="18" spans="1:10" hidden="1" x14ac:dyDescent="0.2">
      <c r="A18" s="107" t="s">
        <v>84</v>
      </c>
      <c r="B18" s="73">
        <v>1</v>
      </c>
      <c r="C18" s="78">
        <f>VLOOKUP($B$3,'Data for Bill Impacts'!$A$6:$Y$18,11,0)</f>
        <v>0</v>
      </c>
      <c r="D18" s="22">
        <f t="shared" ref="D18" si="6">B18*C18</f>
        <v>0</v>
      </c>
      <c r="E18" s="73">
        <f t="shared" si="3"/>
        <v>1</v>
      </c>
      <c r="F18" s="78">
        <f>VLOOKUP($B$3,'Data for Bill Impacts'!$A$6:$Y$18,12,0)</f>
        <v>0</v>
      </c>
      <c r="G18" s="22">
        <f t="shared" si="4"/>
        <v>0</v>
      </c>
      <c r="H18" s="22">
        <f t="shared" si="2"/>
        <v>0</v>
      </c>
      <c r="I18" s="23" t="str">
        <f t="shared" si="0"/>
        <v>N/A</v>
      </c>
      <c r="J18" s="124">
        <f t="shared" si="5"/>
        <v>0</v>
      </c>
    </row>
    <row r="19" spans="1:10" x14ac:dyDescent="0.2">
      <c r="A19" s="107" t="s">
        <v>85</v>
      </c>
      <c r="B19" s="73">
        <v>1</v>
      </c>
      <c r="C19" s="78">
        <f>VLOOKUP($B$3,'Data for Bill Impacts'!$A$6:$Y$18,13,0)</f>
        <v>2.72</v>
      </c>
      <c r="D19" s="22">
        <f t="shared" ref="D19" si="7">B19*C19</f>
        <v>2.72</v>
      </c>
      <c r="E19" s="73">
        <f t="shared" si="3"/>
        <v>1</v>
      </c>
      <c r="F19" s="121">
        <f>VLOOKUP($B$3,'Data for Bill Impacts'!$A$6:$Y$18,22,0)</f>
        <v>1.0999999999999999E-2</v>
      </c>
      <c r="G19" s="22">
        <f t="shared" ref="G19" si="8">E19*F19</f>
        <v>1.0999999999999999E-2</v>
      </c>
      <c r="H19" s="22">
        <f t="shared" si="2"/>
        <v>-2.7090000000000001</v>
      </c>
      <c r="I19" s="23">
        <f>IF(ISERROR(H19/ABS(D19)),"N/A",(H19/ABS(D19)))</f>
        <v>-0.99595588235294108</v>
      </c>
      <c r="J19" s="124">
        <f t="shared" ref="J19:J29" si="9">G19/$G$38</f>
        <v>2.2077280737921173E-5</v>
      </c>
    </row>
    <row r="20" spans="1:10" x14ac:dyDescent="0.2">
      <c r="A20" s="107" t="s">
        <v>39</v>
      </c>
      <c r="B20" s="73">
        <f>IF($B$10="kWh",$B$4,$B$5)</f>
        <v>13</v>
      </c>
      <c r="C20" s="78">
        <f>VLOOKUP($B$3,'Data for Bill Impacts'!$A$6:$Y$18,10,0)</f>
        <v>7.0504000000000007</v>
      </c>
      <c r="D20" s="22">
        <f>B20*C20</f>
        <v>91.655200000000008</v>
      </c>
      <c r="E20" s="73">
        <f t="shared" si="3"/>
        <v>13</v>
      </c>
      <c r="F20" s="125">
        <f>VLOOKUP($B$3,'Data for Bill Impacts'!$A$6:$Y$18,19,0)</f>
        <v>6.431</v>
      </c>
      <c r="G20" s="22">
        <f>E20*F20</f>
        <v>83.602999999999994</v>
      </c>
      <c r="H20" s="22">
        <f t="shared" si="2"/>
        <v>-8.0522000000000133</v>
      </c>
      <c r="I20" s="23">
        <f t="shared" ref="I20:I38" si="10">IF(ISERROR(H20/ABS(D20)),"N/A",(H20/ABS(D20)))</f>
        <v>-8.7853171451265311E-2</v>
      </c>
      <c r="J20" s="124">
        <f t="shared" si="9"/>
        <v>0.16779335468476581</v>
      </c>
    </row>
    <row r="21" spans="1:10" x14ac:dyDescent="0.2">
      <c r="A21" s="107" t="s">
        <v>124</v>
      </c>
      <c r="B21" s="73">
        <f>IF($B$10="kWh",$B$4,$B$5)</f>
        <v>13</v>
      </c>
      <c r="C21" s="78">
        <f>VLOOKUP($B$3,'Data for Bill Impacts'!$A$6:$Y$18,14,0)</f>
        <v>6.3299999999999995E-2</v>
      </c>
      <c r="D21" s="22">
        <f>B21*C21</f>
        <v>0.82289999999999996</v>
      </c>
      <c r="E21" s="73">
        <f t="shared" si="3"/>
        <v>13</v>
      </c>
      <c r="F21" s="78">
        <f>VLOOKUP($B$3,'Data for Bill Impacts'!$A$6:$Y$18,23,0)</f>
        <v>2.82E-3</v>
      </c>
      <c r="G21" s="22">
        <f>E21*F21</f>
        <v>3.6659999999999998E-2</v>
      </c>
      <c r="H21" s="22">
        <f t="shared" si="2"/>
        <v>-0.78623999999999994</v>
      </c>
      <c r="I21" s="23">
        <f t="shared" si="10"/>
        <v>-0.95545023696682463</v>
      </c>
      <c r="J21" s="124">
        <f t="shared" si="9"/>
        <v>7.3577555622926375E-5</v>
      </c>
    </row>
    <row r="22" spans="1:10" x14ac:dyDescent="0.2">
      <c r="A22" s="107" t="s">
        <v>112</v>
      </c>
      <c r="B22" s="73">
        <f>B9</f>
        <v>1409.0079999999998</v>
      </c>
      <c r="C22" s="125">
        <f>VLOOKUP($B$3,'Data for Bill Impacts'!$A$6:$Y$18,20,0)</f>
        <v>-1E-3</v>
      </c>
      <c r="D22" s="22">
        <f>B22*C22</f>
        <v>-1.4090079999999998</v>
      </c>
      <c r="E22" s="73">
        <f>B22</f>
        <v>1409.0079999999998</v>
      </c>
      <c r="F22" s="125">
        <f>VLOOKUP($B$3,'Data for Bill Impacts'!$A$6:$Y$18,21,0)</f>
        <v>0</v>
      </c>
      <c r="G22" s="22">
        <f>E22*F22</f>
        <v>0</v>
      </c>
      <c r="H22" s="22">
        <f t="shared" ref="H22" si="11">G22-D22</f>
        <v>1.4090079999999998</v>
      </c>
      <c r="I22" s="23">
        <f t="shared" si="10"/>
        <v>1</v>
      </c>
      <c r="J22" s="124">
        <f t="shared" si="9"/>
        <v>0</v>
      </c>
    </row>
    <row r="23" spans="1:10" s="1" customFormat="1" x14ac:dyDescent="0.2">
      <c r="A23" s="110" t="s">
        <v>79</v>
      </c>
      <c r="B23" s="74"/>
      <c r="C23" s="35"/>
      <c r="D23" s="35">
        <f>SUM(D16:D22)</f>
        <v>243.12909200000001</v>
      </c>
      <c r="E23" s="73"/>
      <c r="F23" s="35"/>
      <c r="G23" s="35">
        <f>SUM(G16:G22)</f>
        <v>279.81065999999998</v>
      </c>
      <c r="H23" s="35">
        <f t="shared" si="2"/>
        <v>36.68156799999997</v>
      </c>
      <c r="I23" s="36">
        <f t="shared" si="10"/>
        <v>0.15087280464157687</v>
      </c>
      <c r="J23" s="111">
        <f t="shared" si="9"/>
        <v>0.56158713584391007</v>
      </c>
    </row>
    <row r="24" spans="1:10" s="1" customFormat="1" x14ac:dyDescent="0.2">
      <c r="A24" s="107" t="s">
        <v>40</v>
      </c>
      <c r="B24" s="73">
        <f>B5</f>
        <v>13</v>
      </c>
      <c r="C24" s="78">
        <f>VLOOKUP($B$3,'Data for Bill Impacts'!$A$6:$Y$18,15,0)</f>
        <v>0.55489999999999995</v>
      </c>
      <c r="D24" s="22">
        <f>B24*C24</f>
        <v>7.2136999999999993</v>
      </c>
      <c r="E24" s="73">
        <f t="shared" si="3"/>
        <v>13</v>
      </c>
      <c r="F24" s="125">
        <f>VLOOKUP($B$3,'Data for Bill Impacts'!$A$6:$Y$18,24,0)</f>
        <v>0.63108279999999994</v>
      </c>
      <c r="G24" s="22">
        <f>E24*F24</f>
        <v>8.2040763999999999</v>
      </c>
      <c r="H24" s="22">
        <f t="shared" si="2"/>
        <v>0.9903764000000006</v>
      </c>
      <c r="I24" s="23">
        <f t="shared" si="10"/>
        <v>0.13729104343124898</v>
      </c>
      <c r="J24" s="124">
        <f t="shared" si="9"/>
        <v>1.6465790716195788E-2</v>
      </c>
    </row>
    <row r="25" spans="1:10" x14ac:dyDescent="0.2">
      <c r="A25" s="107" t="s">
        <v>41</v>
      </c>
      <c r="B25" s="73">
        <f>B5</f>
        <v>13</v>
      </c>
      <c r="C25" s="78">
        <f>VLOOKUP($B$3,'Data for Bill Impacts'!$A$6:$Y$18,16,0)</f>
        <v>0.3553</v>
      </c>
      <c r="D25" s="22">
        <f>B25*C25</f>
        <v>4.6189</v>
      </c>
      <c r="E25" s="73">
        <f t="shared" si="3"/>
        <v>13</v>
      </c>
      <c r="F25" s="125">
        <f>VLOOKUP($B$3,'Data for Bill Impacts'!$A$6:$Y$18,25,0)</f>
        <v>0.54747599999999996</v>
      </c>
      <c r="G25" s="22">
        <f>E25*F25</f>
        <v>7.1171879999999996</v>
      </c>
      <c r="H25" s="22">
        <f t="shared" si="2"/>
        <v>2.4982879999999996</v>
      </c>
      <c r="I25" s="23">
        <f t="shared" si="10"/>
        <v>0.54088376020264561</v>
      </c>
      <c r="J25" s="124">
        <f t="shared" si="9"/>
        <v>1.4284377958233065E-2</v>
      </c>
    </row>
    <row r="26" spans="1:10" x14ac:dyDescent="0.2">
      <c r="A26" s="110" t="s">
        <v>76</v>
      </c>
      <c r="B26" s="74"/>
      <c r="C26" s="35"/>
      <c r="D26" s="35">
        <f>SUM(D24:D25)</f>
        <v>11.832599999999999</v>
      </c>
      <c r="E26" s="73"/>
      <c r="F26" s="35"/>
      <c r="G26" s="35">
        <f>SUM(G24:G25)</f>
        <v>15.3212644</v>
      </c>
      <c r="H26" s="35">
        <f t="shared" si="2"/>
        <v>3.4886644000000011</v>
      </c>
      <c r="I26" s="36">
        <f t="shared" si="10"/>
        <v>0.29483498132278629</v>
      </c>
      <c r="J26" s="111">
        <f t="shared" si="9"/>
        <v>3.0750168674428854E-2</v>
      </c>
    </row>
    <row r="27" spans="1:10" s="1" customFormat="1" x14ac:dyDescent="0.2">
      <c r="A27" s="110" t="s">
        <v>80</v>
      </c>
      <c r="B27" s="74"/>
      <c r="C27" s="35"/>
      <c r="D27" s="35">
        <f>D23+D26</f>
        <v>254.96169200000003</v>
      </c>
      <c r="E27" s="73"/>
      <c r="F27" s="35"/>
      <c r="G27" s="35">
        <f>G23+G26</f>
        <v>295.1319244</v>
      </c>
      <c r="H27" s="35">
        <f t="shared" si="2"/>
        <v>40.170232399999975</v>
      </c>
      <c r="I27" s="36">
        <f t="shared" si="10"/>
        <v>0.15755399207187554</v>
      </c>
      <c r="J27" s="111">
        <f t="shared" si="9"/>
        <v>0.59233730451833888</v>
      </c>
    </row>
    <row r="28" spans="1:10" x14ac:dyDescent="0.2">
      <c r="A28" s="107" t="s">
        <v>42</v>
      </c>
      <c r="B28" s="73">
        <f>B9</f>
        <v>1409.0079999999998</v>
      </c>
      <c r="C28" s="34">
        <v>3.5999999999999999E-3</v>
      </c>
      <c r="D28" s="22">
        <f>B28*C28</f>
        <v>5.0724287999999991</v>
      </c>
      <c r="E28" s="73">
        <f t="shared" si="3"/>
        <v>1409.0079999999998</v>
      </c>
      <c r="F28" s="34">
        <v>3.5999999999999999E-3</v>
      </c>
      <c r="G28" s="22">
        <f>E28*F28</f>
        <v>5.0724287999999991</v>
      </c>
      <c r="H28" s="22">
        <f t="shared" si="2"/>
        <v>0</v>
      </c>
      <c r="I28" s="23">
        <f t="shared" si="10"/>
        <v>0</v>
      </c>
      <c r="J28" s="124">
        <f t="shared" si="9"/>
        <v>1.0180494058246963E-2</v>
      </c>
    </row>
    <row r="29" spans="1:10" s="1" customFormat="1" x14ac:dyDescent="0.2">
      <c r="A29" s="107" t="s">
        <v>43</v>
      </c>
      <c r="B29" s="73">
        <f>B9</f>
        <v>1409.0079999999998</v>
      </c>
      <c r="C29" s="34">
        <v>2.0999999999999999E-3</v>
      </c>
      <c r="D29" s="22">
        <f>B29*C29</f>
        <v>2.9589167999999995</v>
      </c>
      <c r="E29" s="73">
        <f t="shared" si="3"/>
        <v>1409.0079999999998</v>
      </c>
      <c r="F29" s="34">
        <v>2.0999999999999999E-3</v>
      </c>
      <c r="G29" s="22">
        <f>E29*F29</f>
        <v>2.9589167999999995</v>
      </c>
      <c r="H29" s="22">
        <f>G29-D29</f>
        <v>0</v>
      </c>
      <c r="I29" s="23">
        <f t="shared" si="10"/>
        <v>0</v>
      </c>
      <c r="J29" s="124">
        <f t="shared" si="9"/>
        <v>5.9386215339773951E-3</v>
      </c>
    </row>
    <row r="30" spans="1:10" x14ac:dyDescent="0.2">
      <c r="A30" s="107" t="s">
        <v>96</v>
      </c>
      <c r="B30" s="73">
        <f>B9</f>
        <v>1409.0079999999998</v>
      </c>
      <c r="C30" s="34">
        <v>0</v>
      </c>
      <c r="D30" s="22">
        <f>B30*C30</f>
        <v>0</v>
      </c>
      <c r="E30" s="73">
        <f t="shared" si="3"/>
        <v>1409.0079999999998</v>
      </c>
      <c r="F30" s="34">
        <v>0</v>
      </c>
      <c r="G30" s="22">
        <f>E30*F30</f>
        <v>0</v>
      </c>
      <c r="H30" s="22">
        <f>G30-D30</f>
        <v>0</v>
      </c>
      <c r="I30" s="23" t="str">
        <f t="shared" si="10"/>
        <v>N/A</v>
      </c>
      <c r="J30" s="124">
        <f t="shared" ref="J30" si="12">G30/$G$38</f>
        <v>0</v>
      </c>
    </row>
    <row r="31" spans="1:10" x14ac:dyDescent="0.2">
      <c r="A31" s="107" t="s">
        <v>44</v>
      </c>
      <c r="B31" s="73">
        <v>1</v>
      </c>
      <c r="C31" s="22">
        <v>0.25</v>
      </c>
      <c r="D31" s="22">
        <f>B31*C31</f>
        <v>0.25</v>
      </c>
      <c r="E31" s="73">
        <f t="shared" si="3"/>
        <v>1</v>
      </c>
      <c r="F31" s="22">
        <f>C31</f>
        <v>0.25</v>
      </c>
      <c r="G31" s="22">
        <f>E31*F31</f>
        <v>0.25</v>
      </c>
      <c r="H31" s="22">
        <f t="shared" si="2"/>
        <v>0</v>
      </c>
      <c r="I31" s="23">
        <f t="shared" si="10"/>
        <v>0</v>
      </c>
      <c r="J31" s="124">
        <f t="shared" ref="J31:J38" si="13">G31/$G$38</f>
        <v>5.0175638040729942E-4</v>
      </c>
    </row>
    <row r="32" spans="1:10" x14ac:dyDescent="0.2">
      <c r="A32" s="110" t="s">
        <v>45</v>
      </c>
      <c r="B32" s="74"/>
      <c r="C32" s="35"/>
      <c r="D32" s="35">
        <f>SUM(D28:D31)</f>
        <v>8.2813455999999981</v>
      </c>
      <c r="E32" s="73"/>
      <c r="F32" s="35"/>
      <c r="G32" s="35">
        <f>SUM(G28:G31)</f>
        <v>8.2813455999999981</v>
      </c>
      <c r="H32" s="35">
        <f t="shared" si="2"/>
        <v>0</v>
      </c>
      <c r="I32" s="36">
        <f t="shared" si="10"/>
        <v>0</v>
      </c>
      <c r="J32" s="111">
        <f t="shared" si="13"/>
        <v>1.6620871972631655E-2</v>
      </c>
    </row>
    <row r="33" spans="1:10" ht="13.5" thickBot="1" x14ac:dyDescent="0.25">
      <c r="A33" s="169" t="s">
        <v>46</v>
      </c>
      <c r="B33" s="170">
        <f>B4</f>
        <v>1328</v>
      </c>
      <c r="C33" s="171">
        <v>7.0000000000000001E-3</v>
      </c>
      <c r="D33" s="172">
        <f>B33*C33</f>
        <v>9.2959999999999994</v>
      </c>
      <c r="E33" s="173">
        <f t="shared" si="3"/>
        <v>1328</v>
      </c>
      <c r="F33" s="171">
        <f>C33</f>
        <v>7.0000000000000001E-3</v>
      </c>
      <c r="G33" s="172">
        <f>E33*F33</f>
        <v>9.2959999999999994</v>
      </c>
      <c r="H33" s="172">
        <f t="shared" si="2"/>
        <v>0</v>
      </c>
      <c r="I33" s="174">
        <f t="shared" si="10"/>
        <v>0</v>
      </c>
      <c r="J33" s="175">
        <f t="shared" si="13"/>
        <v>1.8657309249065019E-2</v>
      </c>
    </row>
    <row r="34" spans="1:10" x14ac:dyDescent="0.2">
      <c r="A34" s="37" t="s">
        <v>115</v>
      </c>
      <c r="B34" s="38"/>
      <c r="C34" s="39"/>
      <c r="D34" s="39">
        <f>SUM(D15,D23,D26,D32,D33)</f>
        <v>400.7587656</v>
      </c>
      <c r="E34" s="38"/>
      <c r="F34" s="39"/>
      <c r="G34" s="39">
        <f>SUM(G15,G23,G26,G32,G33)</f>
        <v>440.92899799999998</v>
      </c>
      <c r="H34" s="39">
        <f t="shared" si="2"/>
        <v>40.170232399999975</v>
      </c>
      <c r="I34" s="40">
        <f t="shared" si="10"/>
        <v>0.10023544298490566</v>
      </c>
      <c r="J34" s="41">
        <f t="shared" si="13"/>
        <v>0.88495575221238942</v>
      </c>
    </row>
    <row r="35" spans="1:10" x14ac:dyDescent="0.2">
      <c r="A35" s="46" t="s">
        <v>106</v>
      </c>
      <c r="B35" s="43"/>
      <c r="C35" s="26">
        <v>0.13</v>
      </c>
      <c r="D35" s="26">
        <f>D34*C35</f>
        <v>52.098639528</v>
      </c>
      <c r="E35" s="26"/>
      <c r="F35" s="26">
        <f>C35</f>
        <v>0.13</v>
      </c>
      <c r="G35" s="26">
        <f>G34*F35</f>
        <v>57.320769739999996</v>
      </c>
      <c r="H35" s="26">
        <f t="shared" si="2"/>
        <v>5.2221302119999962</v>
      </c>
      <c r="I35" s="44">
        <f t="shared" si="10"/>
        <v>0.10023544298490565</v>
      </c>
      <c r="J35" s="45">
        <f t="shared" si="13"/>
        <v>0.11504424778761062</v>
      </c>
    </row>
    <row r="36" spans="1:10" x14ac:dyDescent="0.2">
      <c r="A36" s="46" t="s">
        <v>107</v>
      </c>
      <c r="B36" s="24"/>
      <c r="C36" s="25"/>
      <c r="D36" s="25">
        <f>SUM(D34:D35)</f>
        <v>452.85740512799998</v>
      </c>
      <c r="E36" s="25"/>
      <c r="F36" s="25"/>
      <c r="G36" s="25">
        <f>SUM(G34:G35)</f>
        <v>498.24976773999998</v>
      </c>
      <c r="H36" s="25">
        <f t="shared" si="2"/>
        <v>45.392362611999999</v>
      </c>
      <c r="I36" s="27">
        <f t="shared" si="10"/>
        <v>0.10023544298490573</v>
      </c>
      <c r="J36" s="47">
        <f t="shared" si="13"/>
        <v>1</v>
      </c>
    </row>
    <row r="37" spans="1:10" x14ac:dyDescent="0.2">
      <c r="A37" s="46" t="s">
        <v>108</v>
      </c>
      <c r="B37" s="43"/>
      <c r="C37" s="26">
        <v>0</v>
      </c>
      <c r="D37" s="26">
        <f>D34*C37</f>
        <v>0</v>
      </c>
      <c r="E37" s="26"/>
      <c r="F37" s="26">
        <f>C37</f>
        <v>0</v>
      </c>
      <c r="G37" s="26">
        <f>G34*F37</f>
        <v>0</v>
      </c>
      <c r="H37" s="26">
        <f t="shared" si="2"/>
        <v>0</v>
      </c>
      <c r="I37" s="44" t="str">
        <f t="shared" si="10"/>
        <v>N/A</v>
      </c>
      <c r="J37" s="45">
        <f t="shared" si="13"/>
        <v>0</v>
      </c>
    </row>
    <row r="38" spans="1:10" ht="13.5" thickBot="1" x14ac:dyDescent="0.25">
      <c r="A38" s="48" t="s">
        <v>109</v>
      </c>
      <c r="B38" s="49"/>
      <c r="C38" s="50"/>
      <c r="D38" s="50">
        <f>SUM(D36:D37)</f>
        <v>452.85740512799998</v>
      </c>
      <c r="E38" s="50"/>
      <c r="F38" s="50"/>
      <c r="G38" s="50">
        <f>SUM(G36:G37)</f>
        <v>498.24976773999998</v>
      </c>
      <c r="H38" s="50">
        <f t="shared" si="2"/>
        <v>45.392362611999999</v>
      </c>
      <c r="I38" s="51">
        <f t="shared" si="10"/>
        <v>0.10023544298490573</v>
      </c>
      <c r="J38" s="52">
        <f t="shared" si="13"/>
        <v>1</v>
      </c>
    </row>
    <row r="39" spans="1:10" x14ac:dyDescent="0.2">
      <c r="F39" s="69"/>
      <c r="G39" s="128"/>
    </row>
    <row r="40" spans="1:10" x14ac:dyDescent="0.2">
      <c r="F40" s="131"/>
    </row>
    <row r="41" spans="1:10" x14ac:dyDescent="0.2">
      <c r="F41" s="129"/>
    </row>
    <row r="42" spans="1:10" x14ac:dyDescent="0.2">
      <c r="F42" s="130"/>
      <c r="G42" s="128"/>
      <c r="H42" s="128"/>
    </row>
    <row r="43" spans="1:10" x14ac:dyDescent="0.2">
      <c r="F43" s="129"/>
      <c r="G43" s="128"/>
    </row>
  </sheetData>
  <mergeCells count="1">
    <mergeCell ref="A1:J1"/>
  </mergeCells>
  <dataValidations count="1">
    <dataValidation type="list" allowBlank="1" showInputMessage="1" showErrorMessage="1" sqref="WVI983034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4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0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6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2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08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4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0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6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2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88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4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0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6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2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40"/>
  <sheetViews>
    <sheetView tabSelected="1" view="pageLayout"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101</v>
      </c>
      <c r="B1" s="191"/>
      <c r="C1" s="191"/>
      <c r="D1" s="191"/>
      <c r="E1" s="191"/>
      <c r="F1" s="191"/>
      <c r="G1" s="191"/>
      <c r="H1" s="191"/>
      <c r="I1" s="191"/>
      <c r="J1" s="192"/>
    </row>
    <row r="3" spans="1:10" x14ac:dyDescent="0.2">
      <c r="A3" s="13" t="s">
        <v>13</v>
      </c>
      <c r="B3" s="13" t="s">
        <v>125</v>
      </c>
    </row>
    <row r="4" spans="1:10" x14ac:dyDescent="0.2">
      <c r="A4" s="15" t="s">
        <v>62</v>
      </c>
      <c r="B4" s="79">
        <v>5000</v>
      </c>
    </row>
    <row r="5" spans="1:10" x14ac:dyDescent="0.2">
      <c r="A5" s="15" t="s">
        <v>16</v>
      </c>
      <c r="B5" s="79">
        <v>100</v>
      </c>
    </row>
    <row r="6" spans="1:10" x14ac:dyDescent="0.2">
      <c r="A6" s="15" t="s">
        <v>20</v>
      </c>
      <c r="B6" s="80">
        <f>VLOOKUP($B$3,'Data for Bill Impacts'!$A$6:$Y$18,2,0)</f>
        <v>1.0609999999999999</v>
      </c>
    </row>
    <row r="7" spans="1:10" x14ac:dyDescent="0.2">
      <c r="A7" s="81" t="s">
        <v>48</v>
      </c>
      <c r="B7" s="82">
        <f>B4/(B5*730)</f>
        <v>6.8493150684931503E-2</v>
      </c>
    </row>
    <row r="8" spans="1:10" x14ac:dyDescent="0.2">
      <c r="A8" s="15" t="s">
        <v>15</v>
      </c>
      <c r="B8" s="79">
        <f>VLOOKUP($B$3,'Data for Bill Impacts'!$A$6:$Y$18,4,0)</f>
        <v>0</v>
      </c>
    </row>
    <row r="9" spans="1:10" x14ac:dyDescent="0.2">
      <c r="A9" s="15" t="s">
        <v>82</v>
      </c>
      <c r="B9" s="79">
        <f>B4*B6</f>
        <v>5305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5305</v>
      </c>
      <c r="C13" s="103">
        <v>9.0999999999999998E-2</v>
      </c>
      <c r="D13" s="104">
        <f>B13*C13</f>
        <v>482.755</v>
      </c>
      <c r="E13" s="102">
        <f>B13</f>
        <v>5305</v>
      </c>
      <c r="F13" s="103">
        <f>C13</f>
        <v>9.0999999999999998E-2</v>
      </c>
      <c r="G13" s="104">
        <f>E13*F13</f>
        <v>482.755</v>
      </c>
      <c r="H13" s="104">
        <f>G13-D13</f>
        <v>0</v>
      </c>
      <c r="I13" s="105">
        <f t="shared" ref="I13:I18" si="0">IF(ISERROR(H13/ABS(D13)),"N/A",(H13/ABS(D13)))</f>
        <v>0</v>
      </c>
      <c r="J13" s="123">
        <f t="shared" ref="J13:J21" si="1">G13/$G$38</f>
        <v>0.28374199771084746</v>
      </c>
    </row>
    <row r="14" spans="1:10" x14ac:dyDescent="0.2">
      <c r="A14" s="107" t="s">
        <v>32</v>
      </c>
      <c r="B14" s="73">
        <v>0</v>
      </c>
      <c r="C14" s="21">
        <v>0.106</v>
      </c>
      <c r="D14" s="22">
        <f>B14*C14</f>
        <v>0</v>
      </c>
      <c r="E14" s="73">
        <f t="shared" ref="E14" si="2">B14</f>
        <v>0</v>
      </c>
      <c r="F14" s="21">
        <f>C14</f>
        <v>0.106</v>
      </c>
      <c r="G14" s="22">
        <f>E14*F14</f>
        <v>0</v>
      </c>
      <c r="H14" s="22">
        <f t="shared" ref="H14:H38" si="3">G14-D14</f>
        <v>0</v>
      </c>
      <c r="I14" s="23" t="str">
        <f t="shared" si="0"/>
        <v>N/A</v>
      </c>
      <c r="J14" s="124">
        <f t="shared" si="1"/>
        <v>0</v>
      </c>
    </row>
    <row r="15" spans="1:10" s="1" customFormat="1" x14ac:dyDescent="0.2">
      <c r="A15" s="46" t="s">
        <v>33</v>
      </c>
      <c r="B15" s="24"/>
      <c r="C15" s="25"/>
      <c r="D15" s="25">
        <f>SUM(D13:D14)</f>
        <v>482.755</v>
      </c>
      <c r="E15" s="76"/>
      <c r="F15" s="25"/>
      <c r="G15" s="25">
        <f>SUM(G13:G14)</f>
        <v>482.755</v>
      </c>
      <c r="H15" s="25">
        <f t="shared" si="3"/>
        <v>0</v>
      </c>
      <c r="I15" s="27">
        <f t="shared" si="0"/>
        <v>0</v>
      </c>
      <c r="J15" s="47">
        <f t="shared" si="1"/>
        <v>0.28374199771084746</v>
      </c>
    </row>
    <row r="16" spans="1:10" s="1" customFormat="1" x14ac:dyDescent="0.2">
      <c r="A16" s="107" t="s">
        <v>38</v>
      </c>
      <c r="B16" s="73">
        <v>1</v>
      </c>
      <c r="C16" s="78">
        <f>VLOOKUP($B$3,'Data for Bill Impacts'!$A$6:$Y$18,7,0)</f>
        <v>149.34</v>
      </c>
      <c r="D16" s="22">
        <f>B16*C16</f>
        <v>149.34</v>
      </c>
      <c r="E16" s="73">
        <f t="shared" ref="E16:E33" si="4">B16</f>
        <v>1</v>
      </c>
      <c r="F16" s="78">
        <f>VLOOKUP($B$3,'Data for Bill Impacts'!$A$6:$Y$18,17,0)</f>
        <v>196.16</v>
      </c>
      <c r="G16" s="22">
        <f>E16*F16</f>
        <v>196.16</v>
      </c>
      <c r="H16" s="22">
        <f t="shared" si="3"/>
        <v>46.819999999999993</v>
      </c>
      <c r="I16" s="23">
        <f t="shared" si="0"/>
        <v>0.31351278960760676</v>
      </c>
      <c r="J16" s="124">
        <f t="shared" si="1"/>
        <v>0.11529415598172953</v>
      </c>
    </row>
    <row r="17" spans="1:10" x14ac:dyDescent="0.2">
      <c r="A17" s="107" t="s">
        <v>83</v>
      </c>
      <c r="B17" s="73">
        <v>1</v>
      </c>
      <c r="C17" s="78">
        <f>VLOOKUP($B$3,'Data for Bill Impacts'!$A$6:$Y$18,8,0)</f>
        <v>0</v>
      </c>
      <c r="D17" s="22">
        <f>B17*C17</f>
        <v>0</v>
      </c>
      <c r="E17" s="73">
        <f t="shared" si="4"/>
        <v>1</v>
      </c>
      <c r="F17" s="78">
        <v>0</v>
      </c>
      <c r="G17" s="22">
        <f t="shared" ref="G17:G19" si="5">E17*F17</f>
        <v>0</v>
      </c>
      <c r="H17" s="22">
        <f t="shared" si="3"/>
        <v>0</v>
      </c>
      <c r="I17" s="23" t="str">
        <f t="shared" si="0"/>
        <v>N/A</v>
      </c>
      <c r="J17" s="124">
        <f t="shared" si="1"/>
        <v>0</v>
      </c>
    </row>
    <row r="18" spans="1:10" hidden="1" x14ac:dyDescent="0.2">
      <c r="A18" s="107" t="s">
        <v>84</v>
      </c>
      <c r="B18" s="73">
        <v>1</v>
      </c>
      <c r="C18" s="78">
        <f>VLOOKUP($B$3,'Data for Bill Impacts'!$A$6:$Y$18,11,0)</f>
        <v>0</v>
      </c>
      <c r="D18" s="22">
        <f t="shared" ref="D18:D19" si="6">B18*C18</f>
        <v>0</v>
      </c>
      <c r="E18" s="73">
        <f t="shared" si="4"/>
        <v>1</v>
      </c>
      <c r="F18" s="78">
        <f>VLOOKUP($B$3,'Data for Bill Impacts'!$A$6:$Y$18,12,0)</f>
        <v>0</v>
      </c>
      <c r="G18" s="22">
        <f t="shared" si="5"/>
        <v>0</v>
      </c>
      <c r="H18" s="22">
        <f t="shared" si="3"/>
        <v>0</v>
      </c>
      <c r="I18" s="23" t="str">
        <f t="shared" si="0"/>
        <v>N/A</v>
      </c>
      <c r="J18" s="124">
        <f t="shared" si="1"/>
        <v>0</v>
      </c>
    </row>
    <row r="19" spans="1:10" hidden="1" x14ac:dyDescent="0.2">
      <c r="A19" s="107" t="s">
        <v>85</v>
      </c>
      <c r="B19" s="73">
        <v>1</v>
      </c>
      <c r="C19" s="78">
        <f>VLOOKUP($B$3,'Data for Bill Impacts'!$A$6:$Y$18,13,0)</f>
        <v>2.72</v>
      </c>
      <c r="D19" s="22">
        <f t="shared" si="6"/>
        <v>2.72</v>
      </c>
      <c r="E19" s="73">
        <f t="shared" si="4"/>
        <v>1</v>
      </c>
      <c r="F19" s="78">
        <f>VLOOKUP($B$3,'Data for Bill Impacts'!$A$6:$Y$18,22,0)</f>
        <v>1.0999999999999999E-2</v>
      </c>
      <c r="G19" s="22">
        <f t="shared" si="5"/>
        <v>1.0999999999999999E-2</v>
      </c>
      <c r="H19" s="22">
        <f t="shared" si="3"/>
        <v>-2.7090000000000001</v>
      </c>
      <c r="I19" s="23">
        <f>IF(ISERROR(H19/ABS(D19)),"N/A",(H19/ABS(D19)))</f>
        <v>-0.99595588235294108</v>
      </c>
      <c r="J19" s="124">
        <f t="shared" si="1"/>
        <v>6.4653125805415209E-6</v>
      </c>
    </row>
    <row r="20" spans="1:10" x14ac:dyDescent="0.2">
      <c r="A20" s="107" t="s">
        <v>39</v>
      </c>
      <c r="B20" s="73">
        <f>IF($B$10="kWh",$B$4,$B$5)</f>
        <v>100</v>
      </c>
      <c r="C20" s="78">
        <f>VLOOKUP($B$3,'Data for Bill Impacts'!$A$6:$Y$18,10,0)</f>
        <v>7.0504000000000007</v>
      </c>
      <c r="D20" s="22">
        <f>B20*C20</f>
        <v>705.04000000000008</v>
      </c>
      <c r="E20" s="73">
        <f t="shared" si="4"/>
        <v>100</v>
      </c>
      <c r="F20" s="125">
        <f>VLOOKUP($B$3,'Data for Bill Impacts'!$A$6:$Y$18,19,0)</f>
        <v>6.431</v>
      </c>
      <c r="G20" s="22">
        <f>E20*F20</f>
        <v>643.1</v>
      </c>
      <c r="H20" s="22">
        <f t="shared" si="3"/>
        <v>-61.940000000000055</v>
      </c>
      <c r="I20" s="23">
        <f t="shared" ref="I20:I38" si="7">IF(ISERROR(H20/ABS(D20)),"N/A",(H20/ABS(D20)))</f>
        <v>-8.7853171451265241E-2</v>
      </c>
      <c r="J20" s="124">
        <f t="shared" si="1"/>
        <v>0.37798568368602298</v>
      </c>
    </row>
    <row r="21" spans="1:10" s="1" customFormat="1" x14ac:dyDescent="0.2">
      <c r="A21" s="107" t="s">
        <v>124</v>
      </c>
      <c r="B21" s="73">
        <f>IF($B$10="kWh",$B$4,$B$5)</f>
        <v>100</v>
      </c>
      <c r="C21" s="78">
        <f>VLOOKUP($B$3,'Data for Bill Impacts'!$A$6:$Y$18,14,0)</f>
        <v>6.3299999999999995E-2</v>
      </c>
      <c r="D21" s="22">
        <f>B21*C21</f>
        <v>6.3299999999999992</v>
      </c>
      <c r="E21" s="73">
        <f t="shared" si="4"/>
        <v>100</v>
      </c>
      <c r="F21" s="78">
        <f>VLOOKUP($B$3,'Data for Bill Impacts'!$A$6:$Y$18,23,0)</f>
        <v>2.82E-3</v>
      </c>
      <c r="G21" s="22">
        <f>E21*F21</f>
        <v>0.28200000000000003</v>
      </c>
      <c r="H21" s="22">
        <f t="shared" si="3"/>
        <v>-6.0479999999999992</v>
      </c>
      <c r="I21" s="23">
        <f t="shared" si="7"/>
        <v>-0.95545023696682463</v>
      </c>
      <c r="J21" s="124">
        <f t="shared" si="1"/>
        <v>1.6574710433751904E-4</v>
      </c>
    </row>
    <row r="22" spans="1:10" s="1" customFormat="1" x14ac:dyDescent="0.2">
      <c r="A22" s="107" t="s">
        <v>112</v>
      </c>
      <c r="B22" s="73">
        <f>B9</f>
        <v>5305</v>
      </c>
      <c r="C22" s="125">
        <f>VLOOKUP($B$3,'Data for Bill Impacts'!$A$6:$Y$18,20,0)</f>
        <v>-1E-3</v>
      </c>
      <c r="D22" s="22">
        <f>B22*C22</f>
        <v>-5.3049999999999997</v>
      </c>
      <c r="E22" s="73">
        <f>B22</f>
        <v>5305</v>
      </c>
      <c r="F22" s="125">
        <f>VLOOKUP($B$3,'Data for Bill Impacts'!$A$6:$Y$18,21,0)</f>
        <v>0</v>
      </c>
      <c r="G22" s="22">
        <f>E22*F22</f>
        <v>0</v>
      </c>
      <c r="H22" s="22">
        <f t="shared" ref="H22" si="8">G22-D22</f>
        <v>5.3049999999999997</v>
      </c>
      <c r="I22" s="23">
        <f t="shared" si="7"/>
        <v>1</v>
      </c>
      <c r="J22" s="124">
        <f t="shared" ref="J22" si="9">G22/$G$38</f>
        <v>0</v>
      </c>
    </row>
    <row r="23" spans="1:10" x14ac:dyDescent="0.2">
      <c r="A23" s="110" t="s">
        <v>93</v>
      </c>
      <c r="B23" s="74"/>
      <c r="C23" s="35"/>
      <c r="D23" s="35">
        <f>SUM(D16:D22)</f>
        <v>858.12500000000023</v>
      </c>
      <c r="E23" s="73"/>
      <c r="F23" s="35"/>
      <c r="G23" s="35">
        <f>SUM(G16:G22)</f>
        <v>839.553</v>
      </c>
      <c r="H23" s="35">
        <f t="shared" si="3"/>
        <v>-18.57200000000023</v>
      </c>
      <c r="I23" s="36">
        <f t="shared" si="7"/>
        <v>-2.1642534595775937E-2</v>
      </c>
      <c r="J23" s="111">
        <f t="shared" ref="J23:J29" si="10">G23/$G$38</f>
        <v>0.49345205208467058</v>
      </c>
    </row>
    <row r="24" spans="1:10" x14ac:dyDescent="0.2">
      <c r="A24" s="107" t="s">
        <v>40</v>
      </c>
      <c r="B24" s="73">
        <f>B5</f>
        <v>100</v>
      </c>
      <c r="C24" s="78">
        <f>VLOOKUP($B$3,'Data for Bill Impacts'!$A$6:$Y$18,15,0)</f>
        <v>0.55489999999999995</v>
      </c>
      <c r="D24" s="22">
        <f>B24*C24</f>
        <v>55.489999999999995</v>
      </c>
      <c r="E24" s="73">
        <f t="shared" si="4"/>
        <v>100</v>
      </c>
      <c r="F24" s="125">
        <f>VLOOKUP($B$3,'Data for Bill Impacts'!$A$6:$Y$18,24,0)</f>
        <v>0.63108279999999994</v>
      </c>
      <c r="G24" s="22">
        <f>E24*F24</f>
        <v>63.108279999999993</v>
      </c>
      <c r="H24" s="22">
        <f t="shared" si="3"/>
        <v>7.6182799999999986</v>
      </c>
      <c r="I24" s="23">
        <f t="shared" si="7"/>
        <v>0.13729104343124887</v>
      </c>
      <c r="J24" s="124">
        <f t="shared" si="10"/>
        <v>3.7092250601848807E-2</v>
      </c>
    </row>
    <row r="25" spans="1:10" s="1" customFormat="1" x14ac:dyDescent="0.2">
      <c r="A25" s="107" t="s">
        <v>41</v>
      </c>
      <c r="B25" s="73">
        <f>B5</f>
        <v>100</v>
      </c>
      <c r="C25" s="78">
        <f>VLOOKUP($B$3,'Data for Bill Impacts'!$A$6:$Y$18,16,0)</f>
        <v>0.3553</v>
      </c>
      <c r="D25" s="22">
        <f>B25*C25</f>
        <v>35.53</v>
      </c>
      <c r="E25" s="73">
        <f t="shared" si="4"/>
        <v>100</v>
      </c>
      <c r="F25" s="125">
        <f>VLOOKUP($B$3,'Data for Bill Impacts'!$A$6:$Y$18,25,0)</f>
        <v>0.54747599999999996</v>
      </c>
      <c r="G25" s="22">
        <f>E25*F25</f>
        <v>54.747599999999998</v>
      </c>
      <c r="H25" s="22">
        <f t="shared" si="3"/>
        <v>19.217599999999997</v>
      </c>
      <c r="I25" s="23">
        <f t="shared" si="7"/>
        <v>0.54088376020264561</v>
      </c>
      <c r="J25" s="124">
        <f t="shared" si="10"/>
        <v>3.2178213366768633E-2</v>
      </c>
    </row>
    <row r="26" spans="1:10" x14ac:dyDescent="0.2">
      <c r="A26" s="110" t="s">
        <v>76</v>
      </c>
      <c r="B26" s="74"/>
      <c r="C26" s="35"/>
      <c r="D26" s="35">
        <f>SUM(D24:D25)</f>
        <v>91.02</v>
      </c>
      <c r="E26" s="73"/>
      <c r="F26" s="35"/>
      <c r="G26" s="35">
        <f>SUM(G24:G25)</f>
        <v>117.85587999999998</v>
      </c>
      <c r="H26" s="35">
        <f t="shared" si="3"/>
        <v>26.835879999999989</v>
      </c>
      <c r="I26" s="36">
        <f t="shared" si="7"/>
        <v>0.29483498132278607</v>
      </c>
      <c r="J26" s="111">
        <f t="shared" si="10"/>
        <v>6.9270463968617441E-2</v>
      </c>
    </row>
    <row r="27" spans="1:10" s="1" customFormat="1" x14ac:dyDescent="0.2">
      <c r="A27" s="110" t="s">
        <v>80</v>
      </c>
      <c r="B27" s="74"/>
      <c r="C27" s="35"/>
      <c r="D27" s="35">
        <f>D23+D26</f>
        <v>949.14500000000021</v>
      </c>
      <c r="E27" s="73"/>
      <c r="F27" s="35"/>
      <c r="G27" s="35">
        <f>G23+G26</f>
        <v>957.40887999999995</v>
      </c>
      <c r="H27" s="35">
        <f t="shared" si="3"/>
        <v>8.2638799999997445</v>
      </c>
      <c r="I27" s="36">
        <f t="shared" si="7"/>
        <v>8.7066570439708821E-3</v>
      </c>
      <c r="J27" s="111">
        <f t="shared" si="10"/>
        <v>0.56272251605328794</v>
      </c>
    </row>
    <row r="28" spans="1:10" x14ac:dyDescent="0.2">
      <c r="A28" s="107" t="s">
        <v>42</v>
      </c>
      <c r="B28" s="73">
        <f>B9</f>
        <v>5305</v>
      </c>
      <c r="C28" s="34">
        <v>3.5999999999999999E-3</v>
      </c>
      <c r="D28" s="22">
        <f>B28*C28</f>
        <v>19.097999999999999</v>
      </c>
      <c r="E28" s="73">
        <f t="shared" si="4"/>
        <v>5305</v>
      </c>
      <c r="F28" s="34">
        <v>3.5999999999999999E-3</v>
      </c>
      <c r="G28" s="22">
        <f>E28*F28</f>
        <v>19.097999999999999</v>
      </c>
      <c r="H28" s="22">
        <f t="shared" si="3"/>
        <v>0</v>
      </c>
      <c r="I28" s="23">
        <f t="shared" si="7"/>
        <v>0</v>
      </c>
      <c r="J28" s="124">
        <f t="shared" si="10"/>
        <v>1.1224958151198361E-2</v>
      </c>
    </row>
    <row r="29" spans="1:10" x14ac:dyDescent="0.2">
      <c r="A29" s="107" t="s">
        <v>43</v>
      </c>
      <c r="B29" s="73">
        <f>B9</f>
        <v>5305</v>
      </c>
      <c r="C29" s="34">
        <v>2.0999999999999999E-3</v>
      </c>
      <c r="D29" s="22">
        <f>B29*C29</f>
        <v>11.140499999999999</v>
      </c>
      <c r="E29" s="73">
        <f t="shared" si="4"/>
        <v>5305</v>
      </c>
      <c r="F29" s="34">
        <v>2.0999999999999999E-3</v>
      </c>
      <c r="G29" s="22">
        <f>E29*F29</f>
        <v>11.140499999999999</v>
      </c>
      <c r="H29" s="22">
        <f>G29-D29</f>
        <v>0</v>
      </c>
      <c r="I29" s="23">
        <f t="shared" si="7"/>
        <v>0</v>
      </c>
      <c r="J29" s="124">
        <f t="shared" si="10"/>
        <v>6.5478922548657106E-3</v>
      </c>
    </row>
    <row r="30" spans="1:10" x14ac:dyDescent="0.2">
      <c r="A30" s="107" t="s">
        <v>96</v>
      </c>
      <c r="B30" s="73">
        <f>B9</f>
        <v>5305</v>
      </c>
      <c r="C30" s="34">
        <v>0</v>
      </c>
      <c r="D30" s="22">
        <f>B30*C30</f>
        <v>0</v>
      </c>
      <c r="E30" s="73">
        <f t="shared" si="4"/>
        <v>5305</v>
      </c>
      <c r="F30" s="34">
        <v>0</v>
      </c>
      <c r="G30" s="22">
        <f>E30*F30</f>
        <v>0</v>
      </c>
      <c r="H30" s="22">
        <f>G30-D30</f>
        <v>0</v>
      </c>
      <c r="I30" s="23" t="str">
        <f t="shared" si="7"/>
        <v>N/A</v>
      </c>
      <c r="J30" s="124">
        <f t="shared" ref="J30" si="11">G30/$G$38</f>
        <v>0</v>
      </c>
    </row>
    <row r="31" spans="1:10" x14ac:dyDescent="0.2">
      <c r="A31" s="107" t="s">
        <v>44</v>
      </c>
      <c r="B31" s="73">
        <v>1</v>
      </c>
      <c r="C31" s="22">
        <v>0.25</v>
      </c>
      <c r="D31" s="22">
        <f>B31*C31</f>
        <v>0.25</v>
      </c>
      <c r="E31" s="73">
        <f t="shared" si="4"/>
        <v>1</v>
      </c>
      <c r="F31" s="22">
        <f>C31</f>
        <v>0.25</v>
      </c>
      <c r="G31" s="22">
        <f>E31*F31</f>
        <v>0.25</v>
      </c>
      <c r="H31" s="22">
        <f t="shared" si="3"/>
        <v>0</v>
      </c>
      <c r="I31" s="23">
        <f t="shared" si="7"/>
        <v>0</v>
      </c>
      <c r="J31" s="124">
        <f t="shared" ref="J31:J38" si="12">G31/$G$38</f>
        <v>1.4693892228503458E-4</v>
      </c>
    </row>
    <row r="32" spans="1:10" x14ac:dyDescent="0.2">
      <c r="A32" s="110" t="s">
        <v>45</v>
      </c>
      <c r="B32" s="74"/>
      <c r="C32" s="35"/>
      <c r="D32" s="35">
        <f>SUM(D28:D31)</f>
        <v>30.488499999999998</v>
      </c>
      <c r="E32" s="73"/>
      <c r="F32" s="35"/>
      <c r="G32" s="35">
        <f>SUM(G28:G31)</f>
        <v>30.488499999999998</v>
      </c>
      <c r="H32" s="35">
        <f t="shared" si="3"/>
        <v>0</v>
      </c>
      <c r="I32" s="36">
        <f t="shared" si="7"/>
        <v>0</v>
      </c>
      <c r="J32" s="111">
        <f t="shared" si="12"/>
        <v>1.7919789328349107E-2</v>
      </c>
    </row>
    <row r="33" spans="1:10" ht="13.5" thickBot="1" x14ac:dyDescent="0.25">
      <c r="A33" s="112" t="s">
        <v>46</v>
      </c>
      <c r="B33" s="113">
        <f>B4</f>
        <v>5000</v>
      </c>
      <c r="C33" s="114">
        <v>7.0000000000000001E-3</v>
      </c>
      <c r="D33" s="115">
        <f>B33*C33</f>
        <v>35</v>
      </c>
      <c r="E33" s="116">
        <f t="shared" si="4"/>
        <v>5000</v>
      </c>
      <c r="F33" s="114">
        <f>C33</f>
        <v>7.0000000000000001E-3</v>
      </c>
      <c r="G33" s="115">
        <f>E33*F33</f>
        <v>35</v>
      </c>
      <c r="H33" s="115">
        <f t="shared" si="3"/>
        <v>0</v>
      </c>
      <c r="I33" s="117">
        <f t="shared" si="7"/>
        <v>0</v>
      </c>
      <c r="J33" s="118">
        <f t="shared" si="12"/>
        <v>2.0571449119904842E-2</v>
      </c>
    </row>
    <row r="34" spans="1:10" x14ac:dyDescent="0.2">
      <c r="A34" s="37" t="s">
        <v>115</v>
      </c>
      <c r="B34" s="38"/>
      <c r="C34" s="39"/>
      <c r="D34" s="39">
        <f>SUM(D15,D23,D26,D32,D33)</f>
        <v>1497.3885</v>
      </c>
      <c r="E34" s="38"/>
      <c r="F34" s="39"/>
      <c r="G34" s="39">
        <f>SUM(G15,G23,G26,G32,G33)</f>
        <v>1505.65238</v>
      </c>
      <c r="H34" s="39">
        <f t="shared" si="3"/>
        <v>8.2638799999999719</v>
      </c>
      <c r="I34" s="40">
        <f t="shared" si="7"/>
        <v>5.5188616715034023E-3</v>
      </c>
      <c r="J34" s="41">
        <f t="shared" si="12"/>
        <v>0.88495575221238942</v>
      </c>
    </row>
    <row r="35" spans="1:10" x14ac:dyDescent="0.2">
      <c r="A35" s="46" t="s">
        <v>106</v>
      </c>
      <c r="B35" s="43"/>
      <c r="C35" s="26">
        <v>0.13</v>
      </c>
      <c r="D35" s="26">
        <f>D34*C35</f>
        <v>194.660505</v>
      </c>
      <c r="E35" s="26"/>
      <c r="F35" s="26">
        <f>C35</f>
        <v>0.13</v>
      </c>
      <c r="G35" s="26">
        <f>G34*F35</f>
        <v>195.73480940000002</v>
      </c>
      <c r="H35" s="26">
        <f t="shared" si="3"/>
        <v>1.0743044000000168</v>
      </c>
      <c r="I35" s="44">
        <f t="shared" si="7"/>
        <v>5.5188616715035072E-3</v>
      </c>
      <c r="J35" s="45">
        <f t="shared" si="12"/>
        <v>0.11504424778761063</v>
      </c>
    </row>
    <row r="36" spans="1:10" x14ac:dyDescent="0.2">
      <c r="A36" s="46" t="s">
        <v>107</v>
      </c>
      <c r="B36" s="24"/>
      <c r="C36" s="25"/>
      <c r="D36" s="25">
        <f>SUM(D34:D35)</f>
        <v>1692.0490050000001</v>
      </c>
      <c r="E36" s="25"/>
      <c r="F36" s="25"/>
      <c r="G36" s="25">
        <f>SUM(G34:G35)</f>
        <v>1701.3871893999999</v>
      </c>
      <c r="H36" s="25">
        <f t="shared" si="3"/>
        <v>9.3381843999998182</v>
      </c>
      <c r="I36" s="27">
        <f t="shared" si="7"/>
        <v>5.5188616715033129E-3</v>
      </c>
      <c r="J36" s="47">
        <f t="shared" si="12"/>
        <v>1</v>
      </c>
    </row>
    <row r="37" spans="1:10" x14ac:dyDescent="0.2">
      <c r="A37" s="46" t="s">
        <v>108</v>
      </c>
      <c r="B37" s="43"/>
      <c r="C37" s="26">
        <v>0</v>
      </c>
      <c r="D37" s="26">
        <f>D34*C37</f>
        <v>0</v>
      </c>
      <c r="E37" s="26"/>
      <c r="F37" s="26">
        <f>C37</f>
        <v>0</v>
      </c>
      <c r="G37" s="26">
        <f>G34*F37</f>
        <v>0</v>
      </c>
      <c r="H37" s="26">
        <f t="shared" si="3"/>
        <v>0</v>
      </c>
      <c r="I37" s="44" t="str">
        <f t="shared" si="7"/>
        <v>N/A</v>
      </c>
      <c r="J37" s="45">
        <f t="shared" si="12"/>
        <v>0</v>
      </c>
    </row>
    <row r="38" spans="1:10" ht="13.5" thickBot="1" x14ac:dyDescent="0.25">
      <c r="A38" s="46" t="s">
        <v>109</v>
      </c>
      <c r="B38" s="49"/>
      <c r="C38" s="50"/>
      <c r="D38" s="50">
        <f>SUM(D36:D37)</f>
        <v>1692.0490050000001</v>
      </c>
      <c r="E38" s="50"/>
      <c r="F38" s="50"/>
      <c r="G38" s="50">
        <f>SUM(G36:G37)</f>
        <v>1701.3871893999999</v>
      </c>
      <c r="H38" s="50">
        <f t="shared" si="3"/>
        <v>9.3381843999998182</v>
      </c>
      <c r="I38" s="51">
        <f t="shared" si="7"/>
        <v>5.5188616715033129E-3</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38"/>
  <sheetViews>
    <sheetView tabSelected="1" view="pageLayout" topLeftCell="A4"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98</v>
      </c>
      <c r="B1" s="191"/>
      <c r="C1" s="191"/>
      <c r="D1" s="191"/>
      <c r="E1" s="191"/>
      <c r="F1" s="191"/>
      <c r="G1" s="191"/>
      <c r="H1" s="191"/>
      <c r="I1" s="191"/>
      <c r="J1" s="192"/>
    </row>
    <row r="3" spans="1:10" x14ac:dyDescent="0.2">
      <c r="A3" s="13" t="s">
        <v>13</v>
      </c>
      <c r="B3" s="13" t="s">
        <v>11</v>
      </c>
    </row>
    <row r="4" spans="1:10" x14ac:dyDescent="0.2">
      <c r="A4" s="15" t="s">
        <v>62</v>
      </c>
      <c r="B4" s="79">
        <v>200000</v>
      </c>
    </row>
    <row r="5" spans="1:10" x14ac:dyDescent="0.2">
      <c r="A5" s="15" t="s">
        <v>16</v>
      </c>
      <c r="B5" s="79">
        <v>500</v>
      </c>
    </row>
    <row r="6" spans="1:10" x14ac:dyDescent="0.2">
      <c r="A6" s="15" t="s">
        <v>20</v>
      </c>
      <c r="B6" s="80">
        <f>VLOOKUP($B$3,'Data for Bill Impacts'!$A$6:$Y$18,2,0)</f>
        <v>1.034</v>
      </c>
    </row>
    <row r="7" spans="1:10" x14ac:dyDescent="0.2">
      <c r="A7" s="81" t="s">
        <v>48</v>
      </c>
      <c r="B7" s="82">
        <f>B4/(B5*730)</f>
        <v>0.54794520547945202</v>
      </c>
    </row>
    <row r="8" spans="1:10" x14ac:dyDescent="0.2">
      <c r="A8" s="15" t="s">
        <v>15</v>
      </c>
      <c r="B8" s="79">
        <f>VLOOKUP($B$3,'Data for Bill Impacts'!$A$6:$Y$18,4,0)</f>
        <v>0</v>
      </c>
    </row>
    <row r="9" spans="1:10" x14ac:dyDescent="0.2">
      <c r="A9" s="15" t="s">
        <v>82</v>
      </c>
      <c r="B9" s="79">
        <f>B4*B6</f>
        <v>206800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206800</v>
      </c>
      <c r="C13" s="103">
        <v>9.0999999999999998E-2</v>
      </c>
      <c r="D13" s="104">
        <f>B13*C13</f>
        <v>18818.8</v>
      </c>
      <c r="E13" s="102">
        <f>B13</f>
        <v>206800</v>
      </c>
      <c r="F13" s="103">
        <f>C13</f>
        <v>9.0999999999999998E-2</v>
      </c>
      <c r="G13" s="104">
        <f>E13*F13</f>
        <v>18818.8</v>
      </c>
      <c r="H13" s="104">
        <f>G13-D13</f>
        <v>0</v>
      </c>
      <c r="I13" s="105">
        <f t="shared" ref="I13:I18" si="0">IF(ISERROR(H13/ABS(D13)),"N/A",(H13/ABS(D13)))</f>
        <v>0</v>
      </c>
      <c r="J13" s="123">
        <f t="shared" ref="J13:J27" si="1">G13/$G$36</f>
        <v>0.63486506034842938</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18818.8</v>
      </c>
      <c r="E15" s="76"/>
      <c r="F15" s="25"/>
      <c r="G15" s="25">
        <f>SUM(G13:G14)</f>
        <v>18818.8</v>
      </c>
      <c r="H15" s="25">
        <f t="shared" si="3"/>
        <v>0</v>
      </c>
      <c r="I15" s="27">
        <f t="shared" si="0"/>
        <v>0</v>
      </c>
      <c r="J15" s="47">
        <f t="shared" si="1"/>
        <v>0.63486506034842938</v>
      </c>
    </row>
    <row r="16" spans="1:10" s="1" customFormat="1" x14ac:dyDescent="0.2">
      <c r="A16" s="107" t="s">
        <v>38</v>
      </c>
      <c r="B16" s="73">
        <v>1</v>
      </c>
      <c r="C16" s="78">
        <f>VLOOKUP($B$3,'Data for Bill Impacts'!$A$6:$Y$18,7,0)</f>
        <v>1256.56</v>
      </c>
      <c r="D16" s="22">
        <f>B16*C16</f>
        <v>1256.56</v>
      </c>
      <c r="E16" s="73">
        <f t="shared" ref="E16:E31" si="4">B16</f>
        <v>1</v>
      </c>
      <c r="F16" s="78">
        <f>VLOOKUP($B$3,'Data for Bill Impacts'!$A$6:$Y$18,17,0)</f>
        <v>1199.21</v>
      </c>
      <c r="G16" s="22">
        <f>E16*F16</f>
        <v>1199.21</v>
      </c>
      <c r="H16" s="22">
        <f t="shared" si="3"/>
        <v>-57.349999999999909</v>
      </c>
      <c r="I16" s="23">
        <f t="shared" si="0"/>
        <v>-4.5640478767428466E-2</v>
      </c>
      <c r="J16" s="124">
        <f t="shared" si="1"/>
        <v>4.0456167716349613E-2</v>
      </c>
    </row>
    <row r="17" spans="1:10" x14ac:dyDescent="0.2">
      <c r="A17" s="107" t="s">
        <v>85</v>
      </c>
      <c r="B17" s="73">
        <v>1</v>
      </c>
      <c r="C17" s="78">
        <f>VLOOKUP($B$3,'Data for Bill Impacts'!$A$6:$Y$18,13,0)</f>
        <v>11.86</v>
      </c>
      <c r="D17" s="22">
        <f t="shared" ref="D17" si="5">B17*C17</f>
        <v>11.86</v>
      </c>
      <c r="E17" s="73">
        <f t="shared" si="4"/>
        <v>1</v>
      </c>
      <c r="F17" s="121">
        <f>VLOOKUP($B$3,'Data for Bill Impacts'!$A$6:$Y$18,22,0)</f>
        <v>3.819</v>
      </c>
      <c r="G17" s="22">
        <f t="shared" ref="G17" si="6">E17*F17</f>
        <v>3.819</v>
      </c>
      <c r="H17" s="22">
        <f t="shared" si="3"/>
        <v>-8.0410000000000004</v>
      </c>
      <c r="I17" s="23">
        <f t="shared" si="0"/>
        <v>-0.67799325463743687</v>
      </c>
      <c r="J17" s="124">
        <f t="shared" si="1"/>
        <v>1.2883657116663402E-4</v>
      </c>
    </row>
    <row r="18" spans="1:10" x14ac:dyDescent="0.2">
      <c r="A18" s="107" t="s">
        <v>39</v>
      </c>
      <c r="B18" s="73">
        <f>IF($B$10="kWh",$B$4,$B$5)</f>
        <v>500</v>
      </c>
      <c r="C18" s="78">
        <f>VLOOKUP($B$3,'Data for Bill Impacts'!$A$6:$Y$18,10,0)</f>
        <v>1.2052</v>
      </c>
      <c r="D18" s="22">
        <f>B18*C18</f>
        <v>602.6</v>
      </c>
      <c r="E18" s="73">
        <f t="shared" si="4"/>
        <v>500</v>
      </c>
      <c r="F18" s="125">
        <f>VLOOKUP($B$3,'Data for Bill Impacts'!$A$6:$Y$18,19,0)</f>
        <v>1.3102585039311754</v>
      </c>
      <c r="G18" s="22">
        <f>E18*F18</f>
        <v>655.12925196558774</v>
      </c>
      <c r="H18" s="22">
        <f t="shared" si="3"/>
        <v>52.529251965587719</v>
      </c>
      <c r="I18" s="23">
        <f t="shared" si="0"/>
        <v>8.7171012223013142E-2</v>
      </c>
      <c r="J18" s="124">
        <f t="shared" si="1"/>
        <v>2.2101232389161601E-2</v>
      </c>
    </row>
    <row r="19" spans="1:10" s="1" customFormat="1" x14ac:dyDescent="0.2">
      <c r="A19" s="107" t="s">
        <v>124</v>
      </c>
      <c r="B19" s="73">
        <f>IF($B$10="kWh",$B$4,$B$5)</f>
        <v>500</v>
      </c>
      <c r="C19" s="78">
        <f>VLOOKUP($B$3,'Data for Bill Impacts'!$A$6:$Y$18,14,0)</f>
        <v>0.31259999999999999</v>
      </c>
      <c r="D19" s="22">
        <f>B19*C19</f>
        <v>156.29999999999998</v>
      </c>
      <c r="E19" s="73">
        <f>B19</f>
        <v>500</v>
      </c>
      <c r="F19" s="125">
        <f>VLOOKUP($B$3,'Data for Bill Impacts'!$A$6:$Y$18,23,0)</f>
        <v>-0.13666999999999996</v>
      </c>
      <c r="G19" s="22">
        <f>E19*F19</f>
        <v>-68.33499999999998</v>
      </c>
      <c r="H19" s="22">
        <f>G19-D19</f>
        <v>-224.63499999999996</v>
      </c>
      <c r="I19" s="23">
        <f>IF(ISERROR(H19/ABS(D19)),"N/A",(H19/ABS(D19)))</f>
        <v>-1.4372040946896991</v>
      </c>
      <c r="J19" s="124">
        <f t="shared" si="1"/>
        <v>-2.3053278582539755E-3</v>
      </c>
    </row>
    <row r="20" spans="1:10" s="1" customFormat="1" x14ac:dyDescent="0.2">
      <c r="A20" s="107" t="s">
        <v>112</v>
      </c>
      <c r="B20" s="73">
        <f>B9</f>
        <v>206800</v>
      </c>
      <c r="C20" s="125">
        <f>VLOOKUP($B$3,'Data for Bill Impacts'!$A$6:$Y$18,20,0)</f>
        <v>-1E-3</v>
      </c>
      <c r="D20" s="22">
        <f>B20*C20</f>
        <v>-206.8</v>
      </c>
      <c r="E20" s="73">
        <f t="shared" si="4"/>
        <v>206800</v>
      </c>
      <c r="F20" s="78">
        <f>VLOOKUP($B$3,'Data for Bill Impacts'!$A$6:$Y$18,21,0)</f>
        <v>0</v>
      </c>
      <c r="G20" s="22">
        <f>E20*F20</f>
        <v>0</v>
      </c>
      <c r="H20" s="22">
        <f t="shared" si="3"/>
        <v>206.8</v>
      </c>
      <c r="I20" s="23">
        <f t="shared" ref="I20:I36" si="7">IF(ISERROR(H20/ABS(D20)),"N/A",(H20/ABS(D20)))</f>
        <v>1</v>
      </c>
      <c r="J20" s="124">
        <f t="shared" si="1"/>
        <v>0</v>
      </c>
    </row>
    <row r="21" spans="1:10" x14ac:dyDescent="0.2">
      <c r="A21" s="110" t="s">
        <v>93</v>
      </c>
      <c r="B21" s="74"/>
      <c r="C21" s="35"/>
      <c r="D21" s="35">
        <f>SUM(D16:D20)</f>
        <v>1820.52</v>
      </c>
      <c r="E21" s="73"/>
      <c r="F21" s="35"/>
      <c r="G21" s="35">
        <f>SUM(G16:G20)</f>
        <v>1789.8232519655876</v>
      </c>
      <c r="H21" s="35">
        <f t="shared" si="3"/>
        <v>-30.696748034412394</v>
      </c>
      <c r="I21" s="36">
        <f t="shared" si="7"/>
        <v>-1.68615274945688E-2</v>
      </c>
      <c r="J21" s="111">
        <f t="shared" si="1"/>
        <v>6.0380908818423867E-2</v>
      </c>
    </row>
    <row r="22" spans="1:10" x14ac:dyDescent="0.2">
      <c r="A22" s="107" t="s">
        <v>40</v>
      </c>
      <c r="B22" s="73">
        <f>B5</f>
        <v>500</v>
      </c>
      <c r="C22" s="78">
        <f>VLOOKUP($B$3,'Data for Bill Impacts'!$A$6:$Y$18,15,0)</f>
        <v>3.3028</v>
      </c>
      <c r="D22" s="22">
        <f>B22*C22</f>
        <v>1651.4</v>
      </c>
      <c r="E22" s="73">
        <f t="shared" si="4"/>
        <v>500</v>
      </c>
      <c r="F22" s="125">
        <f>VLOOKUP($B$3,'Data for Bill Impacts'!$A$6:$Y$18,24,0)</f>
        <v>3.4866480000000002</v>
      </c>
      <c r="G22" s="22">
        <f>E22*F22</f>
        <v>1743.3240000000001</v>
      </c>
      <c r="H22" s="22">
        <f t="shared" si="3"/>
        <v>91.923999999999978</v>
      </c>
      <c r="I22" s="23">
        <f t="shared" si="7"/>
        <v>5.5664284849218829E-2</v>
      </c>
      <c r="J22" s="124">
        <f t="shared" si="1"/>
        <v>5.8812224821288575E-2</v>
      </c>
    </row>
    <row r="23" spans="1:10" s="1" customFormat="1" x14ac:dyDescent="0.2">
      <c r="A23" s="107" t="s">
        <v>41</v>
      </c>
      <c r="B23" s="73">
        <f>B5</f>
        <v>500</v>
      </c>
      <c r="C23" s="125">
        <f>VLOOKUP($B$3,'Data for Bill Impacts'!$A$6:$Y$18,16,0)</f>
        <v>2.6059999999999999</v>
      </c>
      <c r="D23" s="22">
        <f>B23*C23</f>
        <v>1303</v>
      </c>
      <c r="E23" s="73">
        <f t="shared" si="4"/>
        <v>500</v>
      </c>
      <c r="F23" s="125">
        <f>VLOOKUP($B$3,'Data for Bill Impacts'!$A$6:$Y$18,25,0)</f>
        <v>2.6021643999999999</v>
      </c>
      <c r="G23" s="22">
        <f>E23*F23</f>
        <v>1301.0822000000001</v>
      </c>
      <c r="H23" s="22">
        <f t="shared" si="3"/>
        <v>-1.9177999999999429</v>
      </c>
      <c r="I23" s="23">
        <f t="shared" si="7"/>
        <v>-1.4718342287029494E-3</v>
      </c>
      <c r="J23" s="124">
        <f t="shared" si="1"/>
        <v>4.3892895903100485E-2</v>
      </c>
    </row>
    <row r="24" spans="1:10" x14ac:dyDescent="0.2">
      <c r="A24" s="110" t="s">
        <v>76</v>
      </c>
      <c r="B24" s="74"/>
      <c r="C24" s="35"/>
      <c r="D24" s="35">
        <f>SUM(D22:D23)</f>
        <v>2954.4</v>
      </c>
      <c r="E24" s="73"/>
      <c r="F24" s="35"/>
      <c r="G24" s="35">
        <f>SUM(G22:G23)</f>
        <v>3044.4062000000004</v>
      </c>
      <c r="H24" s="35">
        <f t="shared" si="3"/>
        <v>90.006200000000263</v>
      </c>
      <c r="I24" s="36">
        <f t="shared" si="7"/>
        <v>3.0465136745193699E-2</v>
      </c>
      <c r="J24" s="111">
        <f t="shared" si="1"/>
        <v>0.10270512072438907</v>
      </c>
    </row>
    <row r="25" spans="1:10" s="1" customFormat="1" x14ac:dyDescent="0.2">
      <c r="A25" s="110" t="s">
        <v>80</v>
      </c>
      <c r="B25" s="74"/>
      <c r="C25" s="35"/>
      <c r="D25" s="35">
        <f>D21+D24</f>
        <v>4774.92</v>
      </c>
      <c r="E25" s="73"/>
      <c r="F25" s="35"/>
      <c r="G25" s="35">
        <f>G21+G24</f>
        <v>4834.2294519655879</v>
      </c>
      <c r="H25" s="35">
        <f t="shared" si="3"/>
        <v>59.309451965587868</v>
      </c>
      <c r="I25" s="36">
        <f t="shared" si="7"/>
        <v>1.2421035737894638E-2</v>
      </c>
      <c r="J25" s="111">
        <f t="shared" si="1"/>
        <v>0.16308602954281293</v>
      </c>
    </row>
    <row r="26" spans="1:10" x14ac:dyDescent="0.2">
      <c r="A26" s="107" t="s">
        <v>42</v>
      </c>
      <c r="B26" s="73">
        <f>B9</f>
        <v>206800</v>
      </c>
      <c r="C26" s="34">
        <v>3.5999999999999999E-3</v>
      </c>
      <c r="D26" s="22">
        <f>B26*C26</f>
        <v>744.48</v>
      </c>
      <c r="E26" s="73">
        <f t="shared" si="4"/>
        <v>206800</v>
      </c>
      <c r="F26" s="34">
        <v>3.5999999999999999E-3</v>
      </c>
      <c r="G26" s="22">
        <f>E26*F26</f>
        <v>744.48</v>
      </c>
      <c r="H26" s="22">
        <f t="shared" si="3"/>
        <v>0</v>
      </c>
      <c r="I26" s="23">
        <f t="shared" si="7"/>
        <v>0</v>
      </c>
      <c r="J26" s="124">
        <f t="shared" si="1"/>
        <v>2.5115540848948858E-2</v>
      </c>
    </row>
    <row r="27" spans="1:10" x14ac:dyDescent="0.2">
      <c r="A27" s="107" t="s">
        <v>43</v>
      </c>
      <c r="B27" s="73">
        <f>B9</f>
        <v>206800</v>
      </c>
      <c r="C27" s="34">
        <v>2.0999999999999999E-3</v>
      </c>
      <c r="D27" s="22">
        <f>B27*C27</f>
        <v>434.28</v>
      </c>
      <c r="E27" s="73">
        <f t="shared" si="4"/>
        <v>206800</v>
      </c>
      <c r="F27" s="34">
        <v>2.0999999999999999E-3</v>
      </c>
      <c r="G27" s="22">
        <f>E27*F27</f>
        <v>434.28</v>
      </c>
      <c r="H27" s="22">
        <f>G27-D27</f>
        <v>0</v>
      </c>
      <c r="I27" s="23">
        <f t="shared" si="7"/>
        <v>0</v>
      </c>
      <c r="J27" s="124">
        <f t="shared" si="1"/>
        <v>1.4650732161886833E-2</v>
      </c>
    </row>
    <row r="28" spans="1:10" x14ac:dyDescent="0.2">
      <c r="A28" s="107" t="s">
        <v>96</v>
      </c>
      <c r="B28" s="73">
        <f>B9</f>
        <v>206800</v>
      </c>
      <c r="C28" s="34">
        <v>0</v>
      </c>
      <c r="D28" s="22">
        <f>B28*C28</f>
        <v>0</v>
      </c>
      <c r="E28" s="73">
        <f t="shared" si="4"/>
        <v>206800</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8.4339206053046607E-6</v>
      </c>
    </row>
    <row r="30" spans="1:10" x14ac:dyDescent="0.2">
      <c r="A30" s="110" t="s">
        <v>45</v>
      </c>
      <c r="B30" s="74"/>
      <c r="C30" s="35"/>
      <c r="D30" s="35">
        <f>SUM(D26:D29)</f>
        <v>1179.01</v>
      </c>
      <c r="E30" s="73"/>
      <c r="F30" s="35"/>
      <c r="G30" s="35">
        <f>SUM(G26:G29)</f>
        <v>1179.01</v>
      </c>
      <c r="H30" s="35">
        <f t="shared" si="3"/>
        <v>0</v>
      </c>
      <c r="I30" s="36">
        <f t="shared" si="7"/>
        <v>0</v>
      </c>
      <c r="J30" s="111">
        <f t="shared" si="9"/>
        <v>3.9774706931440994E-2</v>
      </c>
    </row>
    <row r="31" spans="1:10" ht="13.5" thickBot="1" x14ac:dyDescent="0.25">
      <c r="A31" s="112" t="s">
        <v>46</v>
      </c>
      <c r="B31" s="113">
        <f>B4</f>
        <v>200000</v>
      </c>
      <c r="C31" s="114">
        <v>7.0000000000000001E-3</v>
      </c>
      <c r="D31" s="115">
        <f>B31*C31</f>
        <v>1400</v>
      </c>
      <c r="E31" s="116">
        <f t="shared" si="4"/>
        <v>200000</v>
      </c>
      <c r="F31" s="114">
        <f>C31</f>
        <v>7.0000000000000001E-3</v>
      </c>
      <c r="G31" s="115">
        <f>E31*F31</f>
        <v>1400</v>
      </c>
      <c r="H31" s="115">
        <f t="shared" si="3"/>
        <v>0</v>
      </c>
      <c r="I31" s="117">
        <f t="shared" si="7"/>
        <v>0</v>
      </c>
      <c r="J31" s="118">
        <f t="shared" si="9"/>
        <v>4.7229955389706105E-2</v>
      </c>
    </row>
    <row r="32" spans="1:10" x14ac:dyDescent="0.2">
      <c r="A32" s="37" t="s">
        <v>115</v>
      </c>
      <c r="B32" s="38"/>
      <c r="C32" s="39"/>
      <c r="D32" s="39">
        <f>SUM(D15,D21,D24,D30,D31)</f>
        <v>26172.73</v>
      </c>
      <c r="E32" s="38"/>
      <c r="F32" s="39"/>
      <c r="G32" s="39">
        <f>SUM(G15,G21,G24,G30,G31)</f>
        <v>26232.039451965586</v>
      </c>
      <c r="H32" s="39">
        <f t="shared" si="3"/>
        <v>59.309451965586049</v>
      </c>
      <c r="I32" s="40">
        <f t="shared" si="7"/>
        <v>2.2660781647763167E-3</v>
      </c>
      <c r="J32" s="41">
        <f t="shared" si="9"/>
        <v>0.88495575221238942</v>
      </c>
    </row>
    <row r="33" spans="1:10" x14ac:dyDescent="0.2">
      <c r="A33" s="46" t="s">
        <v>106</v>
      </c>
      <c r="B33" s="43"/>
      <c r="C33" s="26">
        <v>0.13</v>
      </c>
      <c r="D33" s="26">
        <f>D32*C33</f>
        <v>3402.4549000000002</v>
      </c>
      <c r="E33" s="26"/>
      <c r="F33" s="26">
        <f>C33</f>
        <v>0.13</v>
      </c>
      <c r="G33" s="26">
        <f>G32*F33</f>
        <v>3410.1651287555264</v>
      </c>
      <c r="H33" s="26">
        <f t="shared" si="3"/>
        <v>7.7102287555262592</v>
      </c>
      <c r="I33" s="44">
        <f t="shared" si="7"/>
        <v>2.2660781647763379E-3</v>
      </c>
      <c r="J33" s="45">
        <f t="shared" si="9"/>
        <v>0.11504424778761063</v>
      </c>
    </row>
    <row r="34" spans="1:10" x14ac:dyDescent="0.2">
      <c r="A34" s="46" t="s">
        <v>107</v>
      </c>
      <c r="B34" s="24"/>
      <c r="C34" s="25"/>
      <c r="D34" s="25">
        <f>SUM(D32:D33)</f>
        <v>29575.1849</v>
      </c>
      <c r="E34" s="25"/>
      <c r="F34" s="25"/>
      <c r="G34" s="25">
        <f>SUM(G32:G33)</f>
        <v>29642.204580721111</v>
      </c>
      <c r="H34" s="25">
        <f t="shared" si="3"/>
        <v>67.01968072111049</v>
      </c>
      <c r="I34" s="27">
        <f t="shared" si="7"/>
        <v>2.2660781647762577E-3</v>
      </c>
      <c r="J34" s="47">
        <f t="shared" si="9"/>
        <v>1</v>
      </c>
    </row>
    <row r="35" spans="1:10" x14ac:dyDescent="0.2">
      <c r="A35" s="46" t="s">
        <v>108</v>
      </c>
      <c r="B35" s="43"/>
      <c r="C35" s="26">
        <v>0</v>
      </c>
      <c r="D35" s="26">
        <f>D32*C35</f>
        <v>0</v>
      </c>
      <c r="E35" s="26"/>
      <c r="F35" s="26">
        <f>C35</f>
        <v>0</v>
      </c>
      <c r="G35" s="26">
        <f>G32*F35</f>
        <v>0</v>
      </c>
      <c r="H35" s="26">
        <f t="shared" si="3"/>
        <v>0</v>
      </c>
      <c r="I35" s="44" t="str">
        <f t="shared" si="7"/>
        <v>N/A</v>
      </c>
      <c r="J35" s="45">
        <f t="shared" si="9"/>
        <v>0</v>
      </c>
    </row>
    <row r="36" spans="1:10" ht="13.5" thickBot="1" x14ac:dyDescent="0.25">
      <c r="A36" s="46" t="s">
        <v>109</v>
      </c>
      <c r="B36" s="49"/>
      <c r="C36" s="50"/>
      <c r="D36" s="50">
        <f>SUM(D34:D35)</f>
        <v>29575.1849</v>
      </c>
      <c r="E36" s="50"/>
      <c r="F36" s="50"/>
      <c r="G36" s="50">
        <f>SUM(G34:G35)</f>
        <v>29642.204580721111</v>
      </c>
      <c r="H36" s="50">
        <f t="shared" si="3"/>
        <v>67.01968072111049</v>
      </c>
      <c r="I36" s="51">
        <f t="shared" si="7"/>
        <v>2.2660781647762577E-3</v>
      </c>
      <c r="J36" s="52">
        <f t="shared" si="9"/>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1" tint="0.499984740745262"/>
    <pageSetUpPr fitToPage="1"/>
  </sheetPr>
  <dimension ref="A1:J38"/>
  <sheetViews>
    <sheetView tabSelected="1" view="pageLayout" topLeftCell="A10"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120</v>
      </c>
      <c r="B1" s="191"/>
      <c r="C1" s="191"/>
      <c r="D1" s="191"/>
      <c r="E1" s="191"/>
      <c r="F1" s="191"/>
      <c r="G1" s="191"/>
      <c r="H1" s="191"/>
      <c r="I1" s="191"/>
      <c r="J1" s="192"/>
    </row>
    <row r="3" spans="1:10" x14ac:dyDescent="0.2">
      <c r="A3" s="13" t="s">
        <v>13</v>
      </c>
      <c r="B3" s="13" t="s">
        <v>11</v>
      </c>
    </row>
    <row r="4" spans="1:10" x14ac:dyDescent="0.2">
      <c r="A4" s="15" t="s">
        <v>62</v>
      </c>
      <c r="B4" s="79">
        <f>VLOOKUP(B3,'Data for Bill Impacts'!A22:D34,3,FALSE)</f>
        <v>1601036</v>
      </c>
    </row>
    <row r="5" spans="1:10" x14ac:dyDescent="0.2">
      <c r="A5" s="15" t="s">
        <v>16</v>
      </c>
      <c r="B5" s="79">
        <f>VLOOKUP(B3,'Data for Bill Impacts'!A22:D34,4,FALSE)</f>
        <v>3091</v>
      </c>
    </row>
    <row r="6" spans="1:10" x14ac:dyDescent="0.2">
      <c r="A6" s="15" t="s">
        <v>20</v>
      </c>
      <c r="B6" s="80">
        <f>VLOOKUP($B$3,'Data for Bill Impacts'!$A$6:$Y$18,2,0)</f>
        <v>1.034</v>
      </c>
    </row>
    <row r="7" spans="1:10" x14ac:dyDescent="0.2">
      <c r="A7" s="81" t="s">
        <v>48</v>
      </c>
      <c r="B7" s="82">
        <f>B4/(B5*730)</f>
        <v>0.70954383694597223</v>
      </c>
    </row>
    <row r="8" spans="1:10" x14ac:dyDescent="0.2">
      <c r="A8" s="15" t="s">
        <v>15</v>
      </c>
      <c r="B8" s="79">
        <f>VLOOKUP($B$3,'Data for Bill Impacts'!$A$6:$Y$18,4,0)</f>
        <v>0</v>
      </c>
    </row>
    <row r="9" spans="1:10" x14ac:dyDescent="0.2">
      <c r="A9" s="15" t="s">
        <v>82</v>
      </c>
      <c r="B9" s="79">
        <f>B4*B6</f>
        <v>1655471.2240000002</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1655471.2240000002</v>
      </c>
      <c r="C13" s="103">
        <v>9.0999999999999998E-2</v>
      </c>
      <c r="D13" s="104">
        <f>B13*C13</f>
        <v>150647.88138400001</v>
      </c>
      <c r="E13" s="102">
        <f>B13</f>
        <v>1655471.2240000002</v>
      </c>
      <c r="F13" s="103">
        <f>C13</f>
        <v>9.0999999999999998E-2</v>
      </c>
      <c r="G13" s="104">
        <f>E13*F13</f>
        <v>150647.88138400001</v>
      </c>
      <c r="H13" s="104">
        <f>G13-D13</f>
        <v>0</v>
      </c>
      <c r="I13" s="105">
        <f t="shared" ref="I13:I18" si="0">IF(ISERROR(H13/ABS(D13)),"N/A",(H13/ABS(D13)))</f>
        <v>0</v>
      </c>
      <c r="J13" s="123">
        <f t="shared" ref="J13:J27" si="1">G13/$G$36</f>
        <v>0.68387645790961349</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150647.88138400001</v>
      </c>
      <c r="E15" s="76"/>
      <c r="F15" s="25"/>
      <c r="G15" s="25">
        <f>SUM(G13:G14)</f>
        <v>150647.88138400001</v>
      </c>
      <c r="H15" s="25">
        <f t="shared" si="3"/>
        <v>0</v>
      </c>
      <c r="I15" s="27">
        <f t="shared" si="0"/>
        <v>0</v>
      </c>
      <c r="J15" s="47">
        <f t="shared" si="1"/>
        <v>0.68387645790961349</v>
      </c>
    </row>
    <row r="16" spans="1:10" s="1" customFormat="1" x14ac:dyDescent="0.2">
      <c r="A16" s="107" t="s">
        <v>38</v>
      </c>
      <c r="B16" s="73">
        <v>1</v>
      </c>
      <c r="C16" s="78">
        <f>VLOOKUP($B$3,'Data for Bill Impacts'!$A$6:$Y$18,7,0)</f>
        <v>1256.56</v>
      </c>
      <c r="D16" s="22">
        <f>B16*C16</f>
        <v>1256.56</v>
      </c>
      <c r="E16" s="73">
        <f t="shared" ref="E16:E31" si="4">B16</f>
        <v>1</v>
      </c>
      <c r="F16" s="78">
        <f>VLOOKUP($B$3,'Data for Bill Impacts'!$A$6:$Y$18,17,0)</f>
        <v>1199.21</v>
      </c>
      <c r="G16" s="22">
        <f>E16*F16</f>
        <v>1199.21</v>
      </c>
      <c r="H16" s="22">
        <f t="shared" si="3"/>
        <v>-57.349999999999909</v>
      </c>
      <c r="I16" s="23">
        <f t="shared" si="0"/>
        <v>-4.5640478767428466E-2</v>
      </c>
      <c r="J16" s="124">
        <f t="shared" si="1"/>
        <v>5.443896585570502E-3</v>
      </c>
    </row>
    <row r="17" spans="1:10" x14ac:dyDescent="0.2">
      <c r="A17" s="107" t="s">
        <v>85</v>
      </c>
      <c r="B17" s="73">
        <v>1</v>
      </c>
      <c r="C17" s="78">
        <f>VLOOKUP($B$3,'Data for Bill Impacts'!$A$6:$Y$18,13,0)</f>
        <v>11.86</v>
      </c>
      <c r="D17" s="22">
        <f t="shared" ref="D17" si="5">B17*C17</f>
        <v>11.86</v>
      </c>
      <c r="E17" s="73">
        <f t="shared" si="4"/>
        <v>1</v>
      </c>
      <c r="F17" s="121">
        <f>VLOOKUP($B$3,'Data for Bill Impacts'!$A$6:$Y$18,22,0)</f>
        <v>3.819</v>
      </c>
      <c r="G17" s="22">
        <f t="shared" ref="G17" si="6">E17*F17</f>
        <v>3.819</v>
      </c>
      <c r="H17" s="22">
        <f t="shared" si="3"/>
        <v>-8.0410000000000004</v>
      </c>
      <c r="I17" s="23">
        <f t="shared" si="0"/>
        <v>-0.67799325463743687</v>
      </c>
      <c r="J17" s="124">
        <f t="shared" si="1"/>
        <v>1.7336614154563209E-5</v>
      </c>
    </row>
    <row r="18" spans="1:10" x14ac:dyDescent="0.2">
      <c r="A18" s="107" t="s">
        <v>39</v>
      </c>
      <c r="B18" s="73">
        <f>IF($B$10="kWh",$B$4,$B$5)</f>
        <v>3091</v>
      </c>
      <c r="C18" s="78">
        <f>VLOOKUP($B$3,'Data for Bill Impacts'!$A$6:$Y$18,10,0)</f>
        <v>1.2052</v>
      </c>
      <c r="D18" s="22">
        <f>B18*C18</f>
        <v>3725.2732000000001</v>
      </c>
      <c r="E18" s="73">
        <f t="shared" si="4"/>
        <v>3091</v>
      </c>
      <c r="F18" s="125">
        <f>VLOOKUP($B$3,'Data for Bill Impacts'!$A$6:$Y$18,19,0)</f>
        <v>1.3102585039311754</v>
      </c>
      <c r="G18" s="22">
        <f>E18*F18</f>
        <v>4050.0090356512633</v>
      </c>
      <c r="H18" s="22">
        <f t="shared" si="3"/>
        <v>324.73583565126319</v>
      </c>
      <c r="I18" s="23">
        <f t="shared" si="0"/>
        <v>8.7171012223013114E-2</v>
      </c>
      <c r="J18" s="124">
        <f t="shared" si="1"/>
        <v>1.8385295620209633E-2</v>
      </c>
    </row>
    <row r="19" spans="1:10" s="1" customFormat="1" x14ac:dyDescent="0.2">
      <c r="A19" s="107" t="s">
        <v>124</v>
      </c>
      <c r="B19" s="73">
        <f>IF($B$10="kWh",$B$4,$B$5)</f>
        <v>3091</v>
      </c>
      <c r="C19" s="78">
        <f>VLOOKUP($B$3,'Data for Bill Impacts'!$A$6:$Y$18,14,0)</f>
        <v>0.31259999999999999</v>
      </c>
      <c r="D19" s="22">
        <f>B19*C19</f>
        <v>966.24659999999994</v>
      </c>
      <c r="E19" s="73">
        <f>B19</f>
        <v>3091</v>
      </c>
      <c r="F19" s="125">
        <f>VLOOKUP($B$3,'Data for Bill Impacts'!$A$6:$Y$18,23,0)</f>
        <v>-0.13666999999999996</v>
      </c>
      <c r="G19" s="22">
        <f>E19*F19</f>
        <v>-422.44696999999985</v>
      </c>
      <c r="H19" s="22">
        <f>G19-D19</f>
        <v>-1388.6935699999999</v>
      </c>
      <c r="I19" s="23">
        <f>IF(ISERROR(H19/ABS(D19)),"N/A",(H19/ABS(D19)))</f>
        <v>-1.4372040946896993</v>
      </c>
      <c r="J19" s="124">
        <f t="shared" si="1"/>
        <v>-1.9177271850364852E-3</v>
      </c>
    </row>
    <row r="20" spans="1:10" s="1" customFormat="1" x14ac:dyDescent="0.2">
      <c r="A20" s="107" t="s">
        <v>112</v>
      </c>
      <c r="B20" s="73">
        <f>B9</f>
        <v>1655471.2240000002</v>
      </c>
      <c r="C20" s="125">
        <f>VLOOKUP($B$3,'Data for Bill Impacts'!$A$6:$Y$18,20,0)</f>
        <v>-1E-3</v>
      </c>
      <c r="D20" s="22">
        <f>B20*C20</f>
        <v>-1655.4712240000001</v>
      </c>
      <c r="E20" s="73">
        <f t="shared" si="4"/>
        <v>1655471.2240000002</v>
      </c>
      <c r="F20" s="78">
        <f>VLOOKUP($B$3,'Data for Bill Impacts'!$A$6:$Y$18,21,0)</f>
        <v>0</v>
      </c>
      <c r="G20" s="22">
        <f>E20*F20</f>
        <v>0</v>
      </c>
      <c r="H20" s="22">
        <f t="shared" si="3"/>
        <v>1655.4712240000001</v>
      </c>
      <c r="I20" s="23">
        <f t="shared" ref="I20:I36" si="7">IF(ISERROR(H20/ABS(D20)),"N/A",(H20/ABS(D20)))</f>
        <v>1</v>
      </c>
      <c r="J20" s="124">
        <f t="shared" si="1"/>
        <v>0</v>
      </c>
    </row>
    <row r="21" spans="1:10" x14ac:dyDescent="0.2">
      <c r="A21" s="110" t="s">
        <v>79</v>
      </c>
      <c r="B21" s="74"/>
      <c r="C21" s="35"/>
      <c r="D21" s="35">
        <f>SUM(D16:D20)</f>
        <v>4304.4685760000002</v>
      </c>
      <c r="E21" s="73"/>
      <c r="F21" s="35"/>
      <c r="G21" s="35">
        <f>SUM(G16:G20)</f>
        <v>4830.5910656512633</v>
      </c>
      <c r="H21" s="35">
        <f t="shared" si="3"/>
        <v>526.12248965126309</v>
      </c>
      <c r="I21" s="36">
        <f t="shared" si="7"/>
        <v>0.1222270485571</v>
      </c>
      <c r="J21" s="111">
        <f t="shared" si="1"/>
        <v>2.1928801634898212E-2</v>
      </c>
    </row>
    <row r="22" spans="1:10" x14ac:dyDescent="0.2">
      <c r="A22" s="107" t="s">
        <v>40</v>
      </c>
      <c r="B22" s="73">
        <f>B5</f>
        <v>3091</v>
      </c>
      <c r="C22" s="78">
        <f>VLOOKUP($B$3,'Data for Bill Impacts'!$A$6:$Y$18,15,0)</f>
        <v>3.3028</v>
      </c>
      <c r="D22" s="22">
        <f>B22*C22</f>
        <v>10208.9548</v>
      </c>
      <c r="E22" s="73">
        <f t="shared" si="4"/>
        <v>3091</v>
      </c>
      <c r="F22" s="125">
        <f>VLOOKUP($B$3,'Data for Bill Impacts'!$A$6:$Y$18,24,0)</f>
        <v>3.4866480000000002</v>
      </c>
      <c r="G22" s="22">
        <f>E22*F22</f>
        <v>10777.228968000001</v>
      </c>
      <c r="H22" s="22">
        <f t="shared" si="3"/>
        <v>568.27416800000174</v>
      </c>
      <c r="I22" s="23">
        <f t="shared" si="7"/>
        <v>5.5664284849219016E-2</v>
      </c>
      <c r="J22" s="124">
        <f t="shared" si="1"/>
        <v>4.892397493417059E-2</v>
      </c>
    </row>
    <row r="23" spans="1:10" s="1" customFormat="1" x14ac:dyDescent="0.2">
      <c r="A23" s="107" t="s">
        <v>41</v>
      </c>
      <c r="B23" s="73">
        <f>B5</f>
        <v>3091</v>
      </c>
      <c r="C23" s="125">
        <f>VLOOKUP($B$3,'Data for Bill Impacts'!$A$6:$Y$18,16,0)</f>
        <v>2.6059999999999999</v>
      </c>
      <c r="D23" s="22">
        <f>B23*C23</f>
        <v>8055.1459999999997</v>
      </c>
      <c r="E23" s="73">
        <f t="shared" si="4"/>
        <v>3091</v>
      </c>
      <c r="F23" s="125">
        <f>VLOOKUP($B$3,'Data for Bill Impacts'!$A$6:$Y$18,25,0)</f>
        <v>2.6021643999999999</v>
      </c>
      <c r="G23" s="22">
        <f>E23*F23</f>
        <v>8043.2901603999999</v>
      </c>
      <c r="H23" s="22">
        <f t="shared" si="3"/>
        <v>-11.855839599999854</v>
      </c>
      <c r="I23" s="23">
        <f t="shared" si="7"/>
        <v>-1.471834228702975E-3</v>
      </c>
      <c r="J23" s="124">
        <f t="shared" si="1"/>
        <v>3.6513070972518887E-2</v>
      </c>
    </row>
    <row r="24" spans="1:10" x14ac:dyDescent="0.2">
      <c r="A24" s="110" t="s">
        <v>76</v>
      </c>
      <c r="B24" s="74"/>
      <c r="C24" s="35"/>
      <c r="D24" s="35">
        <f>SUM(D22:D23)</f>
        <v>18264.1008</v>
      </c>
      <c r="E24" s="73"/>
      <c r="F24" s="35"/>
      <c r="G24" s="35">
        <f>SUM(G22:G23)</f>
        <v>18820.519128400003</v>
      </c>
      <c r="H24" s="35">
        <f t="shared" si="3"/>
        <v>556.41832840000279</v>
      </c>
      <c r="I24" s="36">
        <f t="shared" si="7"/>
        <v>3.0465136745193761E-2</v>
      </c>
      <c r="J24" s="111">
        <f t="shared" si="1"/>
        <v>8.5437045906689491E-2</v>
      </c>
    </row>
    <row r="25" spans="1:10" s="1" customFormat="1" x14ac:dyDescent="0.2">
      <c r="A25" s="110" t="s">
        <v>80</v>
      </c>
      <c r="B25" s="74"/>
      <c r="C25" s="35"/>
      <c r="D25" s="35">
        <f>D21+D24</f>
        <v>22568.569375999999</v>
      </c>
      <c r="E25" s="73"/>
      <c r="F25" s="35"/>
      <c r="G25" s="35">
        <f>G21+G24</f>
        <v>23651.110194051267</v>
      </c>
      <c r="H25" s="35">
        <f t="shared" si="3"/>
        <v>1082.5408180512677</v>
      </c>
      <c r="I25" s="36">
        <f t="shared" si="7"/>
        <v>4.7966745256013861E-2</v>
      </c>
      <c r="J25" s="111">
        <f t="shared" si="1"/>
        <v>0.10736584754158771</v>
      </c>
    </row>
    <row r="26" spans="1:10" x14ac:dyDescent="0.2">
      <c r="A26" s="107" t="s">
        <v>42</v>
      </c>
      <c r="B26" s="73">
        <f>B9</f>
        <v>1655471.2240000002</v>
      </c>
      <c r="C26" s="34">
        <v>3.5999999999999999E-3</v>
      </c>
      <c r="D26" s="22">
        <f>B26*C26</f>
        <v>5959.6964064000003</v>
      </c>
      <c r="E26" s="73">
        <f t="shared" si="4"/>
        <v>1655471.2240000002</v>
      </c>
      <c r="F26" s="34">
        <v>3.5999999999999999E-3</v>
      </c>
      <c r="G26" s="22">
        <f>E26*F26</f>
        <v>5959.6964064000003</v>
      </c>
      <c r="H26" s="22">
        <f t="shared" si="3"/>
        <v>0</v>
      </c>
      <c r="I26" s="23">
        <f t="shared" si="7"/>
        <v>0</v>
      </c>
      <c r="J26" s="124">
        <f t="shared" si="1"/>
        <v>2.7054453279940754E-2</v>
      </c>
    </row>
    <row r="27" spans="1:10" x14ac:dyDescent="0.2">
      <c r="A27" s="107" t="s">
        <v>43</v>
      </c>
      <c r="B27" s="73">
        <f>B9</f>
        <v>1655471.2240000002</v>
      </c>
      <c r="C27" s="34">
        <v>2.0999999999999999E-3</v>
      </c>
      <c r="D27" s="22">
        <f>B27*C27</f>
        <v>3476.4895704</v>
      </c>
      <c r="E27" s="73">
        <f t="shared" si="4"/>
        <v>1655471.2240000002</v>
      </c>
      <c r="F27" s="34">
        <v>2.0999999999999999E-3</v>
      </c>
      <c r="G27" s="22">
        <f>E27*F27</f>
        <v>3476.4895704</v>
      </c>
      <c r="H27" s="22">
        <f>G27-D27</f>
        <v>0</v>
      </c>
      <c r="I27" s="23">
        <f t="shared" si="7"/>
        <v>0</v>
      </c>
      <c r="J27" s="124">
        <f t="shared" si="1"/>
        <v>1.5781764413298774E-2</v>
      </c>
    </row>
    <row r="28" spans="1:10" x14ac:dyDescent="0.2">
      <c r="A28" s="107" t="s">
        <v>96</v>
      </c>
      <c r="B28" s="73">
        <f>B9</f>
        <v>1655471.2240000002</v>
      </c>
      <c r="C28" s="34">
        <v>0</v>
      </c>
      <c r="D28" s="22">
        <f>B28*C28</f>
        <v>0</v>
      </c>
      <c r="E28" s="73">
        <f t="shared" si="4"/>
        <v>1655471.2240000002</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1.1348922593979582E-6</v>
      </c>
    </row>
    <row r="30" spans="1:10" x14ac:dyDescent="0.2">
      <c r="A30" s="110" t="s">
        <v>45</v>
      </c>
      <c r="B30" s="74"/>
      <c r="C30" s="35"/>
      <c r="D30" s="35">
        <f>SUM(D26:D29)</f>
        <v>9436.4359767999995</v>
      </c>
      <c r="E30" s="73"/>
      <c r="F30" s="35"/>
      <c r="G30" s="35">
        <f>SUM(G26:G29)</f>
        <v>9436.4359767999995</v>
      </c>
      <c r="H30" s="35">
        <f t="shared" si="3"/>
        <v>0</v>
      </c>
      <c r="I30" s="36">
        <f t="shared" si="7"/>
        <v>0</v>
      </c>
      <c r="J30" s="111">
        <f t="shared" si="9"/>
        <v>4.2837352585498922E-2</v>
      </c>
    </row>
    <row r="31" spans="1:10" ht="13.5" thickBot="1" x14ac:dyDescent="0.25">
      <c r="A31" s="112" t="s">
        <v>46</v>
      </c>
      <c r="B31" s="113">
        <f>B4</f>
        <v>1601036</v>
      </c>
      <c r="C31" s="114">
        <v>7.0000000000000001E-3</v>
      </c>
      <c r="D31" s="115">
        <f>B31*C31</f>
        <v>11207.252</v>
      </c>
      <c r="E31" s="116">
        <f t="shared" si="4"/>
        <v>1601036</v>
      </c>
      <c r="F31" s="114">
        <f>C31</f>
        <v>7.0000000000000001E-3</v>
      </c>
      <c r="G31" s="115">
        <f>E31*F31</f>
        <v>11207.252</v>
      </c>
      <c r="H31" s="115">
        <f t="shared" si="3"/>
        <v>0</v>
      </c>
      <c r="I31" s="117">
        <f t="shared" si="7"/>
        <v>0</v>
      </c>
      <c r="J31" s="118">
        <f t="shared" si="9"/>
        <v>5.0876094175689147E-2</v>
      </c>
    </row>
    <row r="32" spans="1:10" x14ac:dyDescent="0.2">
      <c r="A32" s="37" t="s">
        <v>115</v>
      </c>
      <c r="B32" s="38"/>
      <c r="C32" s="39"/>
      <c r="D32" s="39">
        <f>SUM(D15,D21,D24,D30,D31)</f>
        <v>193860.13873680003</v>
      </c>
      <c r="E32" s="38"/>
      <c r="F32" s="39"/>
      <c r="G32" s="39">
        <f>SUM(G15,G21,G24,G30,G31)</f>
        <v>194942.67955485129</v>
      </c>
      <c r="H32" s="39">
        <f t="shared" si="3"/>
        <v>1082.5408180512604</v>
      </c>
      <c r="I32" s="40">
        <f t="shared" si="7"/>
        <v>5.584133102891276E-3</v>
      </c>
      <c r="J32" s="41">
        <f t="shared" si="9"/>
        <v>0.88495575221238931</v>
      </c>
    </row>
    <row r="33" spans="1:10" x14ac:dyDescent="0.2">
      <c r="A33" s="46" t="s">
        <v>106</v>
      </c>
      <c r="B33" s="43"/>
      <c r="C33" s="26">
        <v>0.13</v>
      </c>
      <c r="D33" s="26">
        <f>D32*C33</f>
        <v>25201.818035784003</v>
      </c>
      <c r="E33" s="26"/>
      <c r="F33" s="26">
        <f>C33</f>
        <v>0.13</v>
      </c>
      <c r="G33" s="26">
        <f>G32*F33</f>
        <v>25342.548342130667</v>
      </c>
      <c r="H33" s="26">
        <f t="shared" si="3"/>
        <v>140.73030634666429</v>
      </c>
      <c r="I33" s="44">
        <f t="shared" si="7"/>
        <v>5.5841331028912934E-3</v>
      </c>
      <c r="J33" s="45">
        <f t="shared" si="9"/>
        <v>0.11504424778761062</v>
      </c>
    </row>
    <row r="34" spans="1:10" x14ac:dyDescent="0.2">
      <c r="A34" s="46" t="s">
        <v>107</v>
      </c>
      <c r="B34" s="24"/>
      <c r="C34" s="25"/>
      <c r="D34" s="25">
        <f>SUM(D32:D33)</f>
        <v>219061.95677258403</v>
      </c>
      <c r="E34" s="25"/>
      <c r="F34" s="25"/>
      <c r="G34" s="25">
        <f>SUM(G32:G33)</f>
        <v>220285.22789698196</v>
      </c>
      <c r="H34" s="25">
        <f t="shared" si="3"/>
        <v>1223.2711243979284</v>
      </c>
      <c r="I34" s="27">
        <f t="shared" si="7"/>
        <v>5.5841331028912951E-3</v>
      </c>
      <c r="J34" s="47">
        <f t="shared" si="9"/>
        <v>1</v>
      </c>
    </row>
    <row r="35" spans="1:10" x14ac:dyDescent="0.2">
      <c r="A35" s="46" t="s">
        <v>108</v>
      </c>
      <c r="B35" s="43"/>
      <c r="C35" s="26">
        <v>0</v>
      </c>
      <c r="D35" s="26">
        <f>D32*C35</f>
        <v>0</v>
      </c>
      <c r="E35" s="26"/>
      <c r="F35" s="26">
        <f>C35</f>
        <v>0</v>
      </c>
      <c r="G35" s="26">
        <f>G32*F35</f>
        <v>0</v>
      </c>
      <c r="H35" s="26">
        <f t="shared" si="3"/>
        <v>0</v>
      </c>
      <c r="I35" s="44" t="str">
        <f t="shared" si="7"/>
        <v>N/A</v>
      </c>
      <c r="J35" s="45">
        <f t="shared" si="9"/>
        <v>0</v>
      </c>
    </row>
    <row r="36" spans="1:10" ht="13.5" thickBot="1" x14ac:dyDescent="0.25">
      <c r="A36" s="46" t="s">
        <v>109</v>
      </c>
      <c r="B36" s="49"/>
      <c r="C36" s="50"/>
      <c r="D36" s="50">
        <f>SUM(D34:D35)</f>
        <v>219061.95677258403</v>
      </c>
      <c r="E36" s="50"/>
      <c r="F36" s="50"/>
      <c r="G36" s="50">
        <f>SUM(G34:G35)</f>
        <v>220285.22789698196</v>
      </c>
      <c r="H36" s="50">
        <f t="shared" si="3"/>
        <v>1223.2711243979284</v>
      </c>
      <c r="I36" s="51">
        <f t="shared" si="7"/>
        <v>5.5841331028912951E-3</v>
      </c>
      <c r="J36" s="52">
        <f t="shared" si="9"/>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Impacts'!$A$15:$A$18</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38"/>
  <sheetViews>
    <sheetView tabSelected="1" view="pageLayout" topLeftCell="A4" zoomScaleNormal="100" zoomScaleSheetLayoutView="100" workbookViewId="0">
      <selection sqref="A1:XFD1"/>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101</v>
      </c>
      <c r="B1" s="191"/>
      <c r="C1" s="191"/>
      <c r="D1" s="191"/>
      <c r="E1" s="191"/>
      <c r="F1" s="191"/>
      <c r="G1" s="191"/>
      <c r="H1" s="191"/>
      <c r="I1" s="191"/>
      <c r="J1" s="192"/>
    </row>
    <row r="3" spans="1:10" x14ac:dyDescent="0.2">
      <c r="A3" s="13" t="s">
        <v>13</v>
      </c>
      <c r="B3" s="13" t="s">
        <v>11</v>
      </c>
    </row>
    <row r="4" spans="1:10" x14ac:dyDescent="0.2">
      <c r="A4" s="15" t="s">
        <v>62</v>
      </c>
      <c r="B4" s="79">
        <v>4000000</v>
      </c>
    </row>
    <row r="5" spans="1:10" x14ac:dyDescent="0.2">
      <c r="A5" s="15" t="s">
        <v>16</v>
      </c>
      <c r="B5" s="79">
        <v>10000</v>
      </c>
    </row>
    <row r="6" spans="1:10" x14ac:dyDescent="0.2">
      <c r="A6" s="15" t="s">
        <v>20</v>
      </c>
      <c r="B6" s="80">
        <f>VLOOKUP($B$3,'Data for Bill Impacts'!$A$6:$Y$18,2,0)</f>
        <v>1.034</v>
      </c>
    </row>
    <row r="7" spans="1:10" x14ac:dyDescent="0.2">
      <c r="A7" s="81" t="s">
        <v>48</v>
      </c>
      <c r="B7" s="82">
        <f>B4/(B5*730)</f>
        <v>0.54794520547945202</v>
      </c>
    </row>
    <row r="8" spans="1:10" x14ac:dyDescent="0.2">
      <c r="A8" s="15" t="s">
        <v>15</v>
      </c>
      <c r="B8" s="79">
        <f>VLOOKUP($B$3,'Data for Bill Impacts'!$A$6:$Y$18,4,0)</f>
        <v>0</v>
      </c>
    </row>
    <row r="9" spans="1:10" x14ac:dyDescent="0.2">
      <c r="A9" s="15" t="s">
        <v>82</v>
      </c>
      <c r="B9" s="79">
        <f>B4*B6</f>
        <v>4136000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2" t="s">
        <v>49</v>
      </c>
    </row>
    <row r="13" spans="1:10" x14ac:dyDescent="0.2">
      <c r="A13" s="101" t="s">
        <v>31</v>
      </c>
      <c r="B13" s="102">
        <f>B9</f>
        <v>4136000</v>
      </c>
      <c r="C13" s="103">
        <v>9.0999999999999998E-2</v>
      </c>
      <c r="D13" s="104">
        <f>B13*C13</f>
        <v>376376</v>
      </c>
      <c r="E13" s="102">
        <f>B13</f>
        <v>4136000</v>
      </c>
      <c r="F13" s="103">
        <f>C13</f>
        <v>9.0999999999999998E-2</v>
      </c>
      <c r="G13" s="104">
        <f>E13*F13</f>
        <v>376376</v>
      </c>
      <c r="H13" s="104">
        <f>G13-D13</f>
        <v>0</v>
      </c>
      <c r="I13" s="105">
        <f t="shared" ref="I13:I18" si="0">IF(ISERROR(H13/ABS(D13)),"N/A",(H13/ABS(D13)))</f>
        <v>0</v>
      </c>
      <c r="J13" s="123">
        <f t="shared" ref="J13:J27" si="1">G13/$G$36</f>
        <v>0.6637911232428032</v>
      </c>
    </row>
    <row r="14" spans="1:10" x14ac:dyDescent="0.2">
      <c r="A14" s="107" t="s">
        <v>32</v>
      </c>
      <c r="B14" s="73">
        <v>0</v>
      </c>
      <c r="C14" s="21">
        <v>0.106</v>
      </c>
      <c r="D14" s="22">
        <f>B14*C14</f>
        <v>0</v>
      </c>
      <c r="E14" s="73">
        <f t="shared" ref="E14" si="2">B14</f>
        <v>0</v>
      </c>
      <c r="F14" s="21">
        <f>C14</f>
        <v>0.106</v>
      </c>
      <c r="G14" s="22">
        <f>E14*F14</f>
        <v>0</v>
      </c>
      <c r="H14" s="22">
        <f t="shared" ref="H14:H36" si="3">G14-D14</f>
        <v>0</v>
      </c>
      <c r="I14" s="23" t="str">
        <f t="shared" si="0"/>
        <v>N/A</v>
      </c>
      <c r="J14" s="124">
        <f t="shared" si="1"/>
        <v>0</v>
      </c>
    </row>
    <row r="15" spans="1:10" s="1" customFormat="1" x14ac:dyDescent="0.2">
      <c r="A15" s="46" t="s">
        <v>33</v>
      </c>
      <c r="B15" s="24"/>
      <c r="C15" s="25"/>
      <c r="D15" s="25">
        <f>SUM(D13:D14)</f>
        <v>376376</v>
      </c>
      <c r="E15" s="76"/>
      <c r="F15" s="25"/>
      <c r="G15" s="25">
        <f>SUM(G13:G14)</f>
        <v>376376</v>
      </c>
      <c r="H15" s="25">
        <f t="shared" si="3"/>
        <v>0</v>
      </c>
      <c r="I15" s="27">
        <f t="shared" si="0"/>
        <v>0</v>
      </c>
      <c r="J15" s="47">
        <f t="shared" si="1"/>
        <v>0.6637911232428032</v>
      </c>
    </row>
    <row r="16" spans="1:10" s="1" customFormat="1" x14ac:dyDescent="0.2">
      <c r="A16" s="107" t="s">
        <v>38</v>
      </c>
      <c r="B16" s="73">
        <v>1</v>
      </c>
      <c r="C16" s="78">
        <f>VLOOKUP($B$3,'Data for Bill Impacts'!$A$6:$Y$18,7,0)</f>
        <v>1256.56</v>
      </c>
      <c r="D16" s="22">
        <f>B16*C16</f>
        <v>1256.56</v>
      </c>
      <c r="E16" s="73">
        <f t="shared" ref="E16:E31" si="4">B16</f>
        <v>1</v>
      </c>
      <c r="F16" s="78">
        <f>VLOOKUP($B$3,'Data for Bill Impacts'!$A$6:$Y$18,17,0)</f>
        <v>1199.21</v>
      </c>
      <c r="G16" s="22">
        <f>E16*F16</f>
        <v>1199.21</v>
      </c>
      <c r="H16" s="22">
        <f t="shared" si="3"/>
        <v>-57.349999999999909</v>
      </c>
      <c r="I16" s="23">
        <f t="shared" si="0"/>
        <v>-4.5640478767428466E-2</v>
      </c>
      <c r="J16" s="124">
        <f t="shared" si="1"/>
        <v>2.1149726680340991E-3</v>
      </c>
    </row>
    <row r="17" spans="1:10" x14ac:dyDescent="0.2">
      <c r="A17" s="107" t="s">
        <v>85</v>
      </c>
      <c r="B17" s="73">
        <v>1</v>
      </c>
      <c r="C17" s="78">
        <f>VLOOKUP($B$3,'Data for Bill Impacts'!$A$6:$Y$18,13,0)</f>
        <v>11.86</v>
      </c>
      <c r="D17" s="22">
        <f t="shared" ref="D17" si="5">B17*C17</f>
        <v>11.86</v>
      </c>
      <c r="E17" s="73">
        <f t="shared" si="4"/>
        <v>1</v>
      </c>
      <c r="F17" s="121">
        <f>VLOOKUP($B$3,'Data for Bill Impacts'!$A$6:$Y$18,22,0)</f>
        <v>3.819</v>
      </c>
      <c r="G17" s="22">
        <f t="shared" ref="G17" si="6">E17*F17</f>
        <v>3.819</v>
      </c>
      <c r="H17" s="22">
        <f t="shared" si="3"/>
        <v>-8.0410000000000004</v>
      </c>
      <c r="I17" s="23">
        <f t="shared" si="0"/>
        <v>-0.67799325463743687</v>
      </c>
      <c r="J17" s="124">
        <f t="shared" si="1"/>
        <v>6.7353346113042957E-6</v>
      </c>
    </row>
    <row r="18" spans="1:10" x14ac:dyDescent="0.2">
      <c r="A18" s="107" t="s">
        <v>39</v>
      </c>
      <c r="B18" s="73">
        <f>IF($B$10="kWh",$B$4,$B$5)</f>
        <v>10000</v>
      </c>
      <c r="C18" s="78">
        <f>VLOOKUP($B$3,'Data for Bill Impacts'!$A$6:$Y$18,10,0)</f>
        <v>1.2052</v>
      </c>
      <c r="D18" s="22">
        <f>B18*C18</f>
        <v>12052</v>
      </c>
      <c r="E18" s="73">
        <f t="shared" si="4"/>
        <v>10000</v>
      </c>
      <c r="F18" s="125">
        <f>VLOOKUP($B$3,'Data for Bill Impacts'!$A$6:$Y$18,19,0)</f>
        <v>1.3102585039311754</v>
      </c>
      <c r="G18" s="22">
        <f>E18*F18</f>
        <v>13102.585039311754</v>
      </c>
      <c r="H18" s="22">
        <f t="shared" si="3"/>
        <v>1050.5850393117544</v>
      </c>
      <c r="I18" s="23">
        <f t="shared" si="0"/>
        <v>8.7171012223013142E-2</v>
      </c>
      <c r="J18" s="124">
        <f t="shared" si="1"/>
        <v>2.3108220610849519E-2</v>
      </c>
    </row>
    <row r="19" spans="1:10" s="1" customFormat="1" x14ac:dyDescent="0.2">
      <c r="A19" s="107" t="s">
        <v>124</v>
      </c>
      <c r="B19" s="73">
        <f>IF($B$10="kWh",$B$4,$B$5)</f>
        <v>10000</v>
      </c>
      <c r="C19" s="78">
        <f>VLOOKUP($B$3,'Data for Bill Impacts'!$A$6:$Y$18,14,0)</f>
        <v>0.31259999999999999</v>
      </c>
      <c r="D19" s="22">
        <f>B19*C19</f>
        <v>3126</v>
      </c>
      <c r="E19" s="73">
        <f>B19</f>
        <v>10000</v>
      </c>
      <c r="F19" s="125">
        <f>VLOOKUP($B$3,'Data for Bill Impacts'!$A$6:$Y$18,23,0)</f>
        <v>-0.13666999999999996</v>
      </c>
      <c r="G19" s="22">
        <f>E19*F19</f>
        <v>-1366.6999999999996</v>
      </c>
      <c r="H19" s="22">
        <f>G19-D19</f>
        <v>-4492.7</v>
      </c>
      <c r="I19" s="23">
        <f>IF(ISERROR(H19/ABS(D19)),"N/A",(H19/ABS(D19)))</f>
        <v>-1.4372040946896993</v>
      </c>
      <c r="J19" s="124">
        <f t="shared" si="1"/>
        <v>-2.4103644444277502E-3</v>
      </c>
    </row>
    <row r="20" spans="1:10" s="1" customFormat="1" x14ac:dyDescent="0.2">
      <c r="A20" s="107" t="s">
        <v>112</v>
      </c>
      <c r="B20" s="73">
        <f>B9</f>
        <v>4136000</v>
      </c>
      <c r="C20" s="125">
        <f>VLOOKUP($B$3,'Data for Bill Impacts'!$A$6:$Y$18,20,0)</f>
        <v>-1E-3</v>
      </c>
      <c r="D20" s="22">
        <f>B20*C20</f>
        <v>-4136</v>
      </c>
      <c r="E20" s="73">
        <f t="shared" si="4"/>
        <v>4136000</v>
      </c>
      <c r="F20" s="78">
        <f>VLOOKUP($B$3,'Data for Bill Impacts'!$A$6:$Y$18,21,0)</f>
        <v>0</v>
      </c>
      <c r="G20" s="22">
        <f>E20*F20</f>
        <v>0</v>
      </c>
      <c r="H20" s="22">
        <f t="shared" si="3"/>
        <v>4136</v>
      </c>
      <c r="I20" s="23">
        <f t="shared" ref="I20:I36" si="7">IF(ISERROR(H20/ABS(D20)),"N/A",(H20/ABS(D20)))</f>
        <v>1</v>
      </c>
      <c r="J20" s="124">
        <f t="shared" si="1"/>
        <v>0</v>
      </c>
    </row>
    <row r="21" spans="1:10" x14ac:dyDescent="0.2">
      <c r="A21" s="110" t="s">
        <v>93</v>
      </c>
      <c r="B21" s="74"/>
      <c r="C21" s="35"/>
      <c r="D21" s="35">
        <f>SUM(D16:D20)</f>
        <v>12310.419999999998</v>
      </c>
      <c r="E21" s="73"/>
      <c r="F21" s="35"/>
      <c r="G21" s="35">
        <f>SUM(G16:G20)</f>
        <v>12938.914039311756</v>
      </c>
      <c r="H21" s="35">
        <f t="shared" si="3"/>
        <v>628.49403931175766</v>
      </c>
      <c r="I21" s="36">
        <f t="shared" si="7"/>
        <v>5.1053825889917463E-2</v>
      </c>
      <c r="J21" s="111">
        <f t="shared" si="1"/>
        <v>2.2819564169067174E-2</v>
      </c>
    </row>
    <row r="22" spans="1:10" x14ac:dyDescent="0.2">
      <c r="A22" s="107" t="s">
        <v>40</v>
      </c>
      <c r="B22" s="73">
        <f>B5</f>
        <v>10000</v>
      </c>
      <c r="C22" s="78">
        <f>VLOOKUP($B$3,'Data for Bill Impacts'!$A$6:$Y$18,15,0)</f>
        <v>3.3028</v>
      </c>
      <c r="D22" s="22">
        <f>B22*C22</f>
        <v>33028</v>
      </c>
      <c r="E22" s="73">
        <f t="shared" si="4"/>
        <v>10000</v>
      </c>
      <c r="F22" s="125">
        <f>VLOOKUP($B$3,'Data for Bill Impacts'!$A$6:$Y$18,24,0)</f>
        <v>3.4866480000000002</v>
      </c>
      <c r="G22" s="22">
        <f>E22*F22</f>
        <v>34866.480000000003</v>
      </c>
      <c r="H22" s="22">
        <f t="shared" si="3"/>
        <v>1838.4800000000032</v>
      </c>
      <c r="I22" s="23">
        <f t="shared" si="7"/>
        <v>5.566428484921894E-2</v>
      </c>
      <c r="J22" s="124">
        <f t="shared" si="1"/>
        <v>6.1491858999305843E-2</v>
      </c>
    </row>
    <row r="23" spans="1:10" s="1" customFormat="1" x14ac:dyDescent="0.2">
      <c r="A23" s="107" t="s">
        <v>41</v>
      </c>
      <c r="B23" s="73">
        <f>B5</f>
        <v>10000</v>
      </c>
      <c r="C23" s="125">
        <f>VLOOKUP($B$3,'Data for Bill Impacts'!$A$6:$Y$18,16,0)</f>
        <v>2.6059999999999999</v>
      </c>
      <c r="D23" s="22">
        <f>B23*C23</f>
        <v>26060</v>
      </c>
      <c r="E23" s="73">
        <f t="shared" si="4"/>
        <v>10000</v>
      </c>
      <c r="F23" s="125">
        <f>VLOOKUP($B$3,'Data for Bill Impacts'!$A$6:$Y$18,25,0)</f>
        <v>2.6021643999999999</v>
      </c>
      <c r="G23" s="22">
        <f>E23*F23</f>
        <v>26021.644</v>
      </c>
      <c r="H23" s="22">
        <f t="shared" si="3"/>
        <v>-38.355999999999767</v>
      </c>
      <c r="I23" s="23">
        <f t="shared" si="7"/>
        <v>-1.4718342287029841E-3</v>
      </c>
      <c r="J23" s="124">
        <f t="shared" si="1"/>
        <v>4.589276760309996E-2</v>
      </c>
    </row>
    <row r="24" spans="1:10" x14ac:dyDescent="0.2">
      <c r="A24" s="110" t="s">
        <v>76</v>
      </c>
      <c r="B24" s="74"/>
      <c r="C24" s="35"/>
      <c r="D24" s="35">
        <f>SUM(D22:D23)</f>
        <v>59088</v>
      </c>
      <c r="E24" s="73"/>
      <c r="F24" s="35"/>
      <c r="G24" s="35">
        <f>SUM(G22:G23)</f>
        <v>60888.124000000003</v>
      </c>
      <c r="H24" s="35">
        <f t="shared" si="3"/>
        <v>1800.1240000000034</v>
      </c>
      <c r="I24" s="36">
        <f t="shared" si="7"/>
        <v>3.0465136745193667E-2</v>
      </c>
      <c r="J24" s="111">
        <f t="shared" si="1"/>
        <v>0.1073846266024058</v>
      </c>
    </row>
    <row r="25" spans="1:10" s="1" customFormat="1" x14ac:dyDescent="0.2">
      <c r="A25" s="110" t="s">
        <v>80</v>
      </c>
      <c r="B25" s="74"/>
      <c r="C25" s="35"/>
      <c r="D25" s="35">
        <f>D21+D24</f>
        <v>71398.42</v>
      </c>
      <c r="E25" s="73"/>
      <c r="F25" s="35"/>
      <c r="G25" s="35">
        <f>G21+G24</f>
        <v>73827.038039311767</v>
      </c>
      <c r="H25" s="35">
        <f t="shared" si="3"/>
        <v>2428.6180393117684</v>
      </c>
      <c r="I25" s="36">
        <f t="shared" si="7"/>
        <v>3.401501096679406E-2</v>
      </c>
      <c r="J25" s="111">
        <f t="shared" si="1"/>
        <v>0.13020419077147299</v>
      </c>
    </row>
    <row r="26" spans="1:10" x14ac:dyDescent="0.2">
      <c r="A26" s="107" t="s">
        <v>42</v>
      </c>
      <c r="B26" s="73">
        <f>B9</f>
        <v>4136000</v>
      </c>
      <c r="C26" s="34">
        <v>3.5999999999999999E-3</v>
      </c>
      <c r="D26" s="22">
        <f>B26*C26</f>
        <v>14889.6</v>
      </c>
      <c r="E26" s="73">
        <f t="shared" si="4"/>
        <v>4136000</v>
      </c>
      <c r="F26" s="34">
        <v>3.5999999999999999E-3</v>
      </c>
      <c r="G26" s="22">
        <f>E26*F26</f>
        <v>14889.6</v>
      </c>
      <c r="H26" s="22">
        <f t="shared" si="3"/>
        <v>0</v>
      </c>
      <c r="I26" s="23">
        <f t="shared" si="7"/>
        <v>0</v>
      </c>
      <c r="J26" s="124">
        <f t="shared" si="1"/>
        <v>2.6259868611803204E-2</v>
      </c>
    </row>
    <row r="27" spans="1:10" x14ac:dyDescent="0.2">
      <c r="A27" s="107" t="s">
        <v>43</v>
      </c>
      <c r="B27" s="73">
        <f>B9</f>
        <v>4136000</v>
      </c>
      <c r="C27" s="34">
        <v>2.0999999999999999E-3</v>
      </c>
      <c r="D27" s="22">
        <f>B27*C27</f>
        <v>8685.6</v>
      </c>
      <c r="E27" s="73">
        <f t="shared" si="4"/>
        <v>4136000</v>
      </c>
      <c r="F27" s="34">
        <v>2.0999999999999999E-3</v>
      </c>
      <c r="G27" s="22">
        <f>E27*F27</f>
        <v>8685.6</v>
      </c>
      <c r="H27" s="22">
        <f>G27-D27</f>
        <v>0</v>
      </c>
      <c r="I27" s="23">
        <f t="shared" si="7"/>
        <v>0</v>
      </c>
      <c r="J27" s="124">
        <f t="shared" si="1"/>
        <v>1.5318256690218536E-2</v>
      </c>
    </row>
    <row r="28" spans="1:10" x14ac:dyDescent="0.2">
      <c r="A28" s="107" t="s">
        <v>96</v>
      </c>
      <c r="B28" s="73">
        <f>B9</f>
        <v>4136000</v>
      </c>
      <c r="C28" s="34">
        <v>0</v>
      </c>
      <c r="D28" s="22">
        <f>B28*C28</f>
        <v>0</v>
      </c>
      <c r="E28" s="73">
        <f t="shared" si="4"/>
        <v>4136000</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4.409095713082152E-7</v>
      </c>
    </row>
    <row r="30" spans="1:10" x14ac:dyDescent="0.2">
      <c r="A30" s="110" t="s">
        <v>45</v>
      </c>
      <c r="B30" s="74"/>
      <c r="C30" s="35"/>
      <c r="D30" s="35">
        <f>SUM(D26:D29)</f>
        <v>23575.45</v>
      </c>
      <c r="E30" s="73"/>
      <c r="F30" s="35"/>
      <c r="G30" s="35">
        <f>SUM(G26:G29)</f>
        <v>23575.45</v>
      </c>
      <c r="H30" s="35">
        <f t="shared" si="3"/>
        <v>0</v>
      </c>
      <c r="I30" s="36">
        <f t="shared" si="7"/>
        <v>0</v>
      </c>
      <c r="J30" s="111">
        <f t="shared" si="9"/>
        <v>4.1578566211593053E-2</v>
      </c>
    </row>
    <row r="31" spans="1:10" ht="13.5" thickBot="1" x14ac:dyDescent="0.25">
      <c r="A31" s="112" t="s">
        <v>46</v>
      </c>
      <c r="B31" s="113">
        <f>B4</f>
        <v>4000000</v>
      </c>
      <c r="C31" s="114">
        <v>7.0000000000000001E-3</v>
      </c>
      <c r="D31" s="115">
        <f>B31*C31</f>
        <v>28000</v>
      </c>
      <c r="E31" s="116">
        <f t="shared" si="4"/>
        <v>4000000</v>
      </c>
      <c r="F31" s="114">
        <f>C31</f>
        <v>7.0000000000000001E-3</v>
      </c>
      <c r="G31" s="115">
        <f>E31*F31</f>
        <v>28000</v>
      </c>
      <c r="H31" s="115">
        <f t="shared" si="3"/>
        <v>0</v>
      </c>
      <c r="I31" s="117">
        <f t="shared" si="7"/>
        <v>0</v>
      </c>
      <c r="J31" s="118">
        <f t="shared" si="9"/>
        <v>4.9381871986520103E-2</v>
      </c>
    </row>
    <row r="32" spans="1:10" x14ac:dyDescent="0.2">
      <c r="A32" s="37" t="s">
        <v>115</v>
      </c>
      <c r="B32" s="38"/>
      <c r="C32" s="39"/>
      <c r="D32" s="39">
        <f>SUM(D15,D21,D24,D30,D31)</f>
        <v>499349.87</v>
      </c>
      <c r="E32" s="38"/>
      <c r="F32" s="39"/>
      <c r="G32" s="39">
        <f>SUM(G15,G21,G24,G30,G31)</f>
        <v>501778.48803931178</v>
      </c>
      <c r="H32" s="39">
        <f t="shared" si="3"/>
        <v>2428.6180393117829</v>
      </c>
      <c r="I32" s="40">
        <f t="shared" si="7"/>
        <v>4.8635599711116034E-3</v>
      </c>
      <c r="J32" s="41">
        <f t="shared" si="9"/>
        <v>0.88495575221238942</v>
      </c>
    </row>
    <row r="33" spans="1:10" x14ac:dyDescent="0.2">
      <c r="A33" s="46" t="s">
        <v>106</v>
      </c>
      <c r="B33" s="43"/>
      <c r="C33" s="26">
        <v>0.13</v>
      </c>
      <c r="D33" s="26">
        <f>D32*C33</f>
        <v>64915.483100000005</v>
      </c>
      <c r="E33" s="26"/>
      <c r="F33" s="26">
        <f>C33</f>
        <v>0.13</v>
      </c>
      <c r="G33" s="26">
        <f>G32*F33</f>
        <v>65231.203445110536</v>
      </c>
      <c r="H33" s="26">
        <f t="shared" si="3"/>
        <v>315.72034511053062</v>
      </c>
      <c r="I33" s="44">
        <f t="shared" si="7"/>
        <v>4.8635599711115852E-3</v>
      </c>
      <c r="J33" s="45">
        <f t="shared" si="9"/>
        <v>0.11504424778761063</v>
      </c>
    </row>
    <row r="34" spans="1:10" x14ac:dyDescent="0.2">
      <c r="A34" s="46" t="s">
        <v>107</v>
      </c>
      <c r="B34" s="24"/>
      <c r="C34" s="25"/>
      <c r="D34" s="25">
        <f>SUM(D32:D33)</f>
        <v>564265.35309999995</v>
      </c>
      <c r="E34" s="25"/>
      <c r="F34" s="25"/>
      <c r="G34" s="25">
        <f>SUM(G32:G33)</f>
        <v>567009.69148442231</v>
      </c>
      <c r="H34" s="25">
        <f t="shared" si="3"/>
        <v>2744.3383844223572</v>
      </c>
      <c r="I34" s="27">
        <f t="shared" si="7"/>
        <v>4.8635599711116789E-3</v>
      </c>
      <c r="J34" s="47">
        <f t="shared" si="9"/>
        <v>1</v>
      </c>
    </row>
    <row r="35" spans="1:10" x14ac:dyDescent="0.2">
      <c r="A35" s="46" t="s">
        <v>108</v>
      </c>
      <c r="B35" s="43"/>
      <c r="C35" s="26">
        <v>0</v>
      </c>
      <c r="D35" s="26">
        <f>D32*C35</f>
        <v>0</v>
      </c>
      <c r="E35" s="26"/>
      <c r="F35" s="26">
        <f>C35</f>
        <v>0</v>
      </c>
      <c r="G35" s="26">
        <f>G32*F35</f>
        <v>0</v>
      </c>
      <c r="H35" s="26">
        <f t="shared" si="3"/>
        <v>0</v>
      </c>
      <c r="I35" s="44" t="str">
        <f t="shared" si="7"/>
        <v>N/A</v>
      </c>
      <c r="J35" s="45">
        <f t="shared" si="9"/>
        <v>0</v>
      </c>
    </row>
    <row r="36" spans="1:10" ht="13.5" thickBot="1" x14ac:dyDescent="0.25">
      <c r="A36" s="46" t="s">
        <v>109</v>
      </c>
      <c r="B36" s="49"/>
      <c r="C36" s="50"/>
      <c r="D36" s="50">
        <f>SUM(D34:D35)</f>
        <v>564265.35309999995</v>
      </c>
      <c r="E36" s="50"/>
      <c r="F36" s="50"/>
      <c r="G36" s="50">
        <f>SUM(G34:G35)</f>
        <v>567009.69148442231</v>
      </c>
      <c r="H36" s="50">
        <f t="shared" si="3"/>
        <v>2744.3383844223572</v>
      </c>
      <c r="I36" s="51">
        <f t="shared" si="7"/>
        <v>4.8635599711116789E-3</v>
      </c>
      <c r="J36" s="52">
        <f t="shared" si="9"/>
        <v>1</v>
      </c>
    </row>
    <row r="37" spans="1:10" x14ac:dyDescent="0.2">
      <c r="F37" s="69"/>
    </row>
    <row r="38" spans="1:10" x14ac:dyDescent="0.2">
      <c r="F38" s="69"/>
    </row>
  </sheetData>
  <mergeCells count="1">
    <mergeCell ref="A1:J1"/>
  </mergeCells>
  <dataValidations disablePrompts="1"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Impacts'!$A$15:$A$18</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47"/>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98</v>
      </c>
      <c r="B1" s="191"/>
      <c r="C1" s="191"/>
      <c r="D1" s="191"/>
      <c r="E1" s="191"/>
      <c r="F1" s="191"/>
      <c r="G1" s="191"/>
      <c r="H1" s="191"/>
      <c r="I1" s="191"/>
      <c r="J1" s="192"/>
    </row>
    <row r="3" spans="1:10" x14ac:dyDescent="0.2">
      <c r="A3" s="13" t="s">
        <v>13</v>
      </c>
      <c r="B3" s="13" t="s">
        <v>12</v>
      </c>
    </row>
    <row r="4" spans="1:10" x14ac:dyDescent="0.2">
      <c r="A4" s="15" t="s">
        <v>62</v>
      </c>
      <c r="B4" s="15">
        <v>100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109.2</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100</v>
      </c>
      <c r="C12" s="103">
        <v>9.0999999999999998E-2</v>
      </c>
      <c r="D12" s="104">
        <f>B12*C12</f>
        <v>9.1</v>
      </c>
      <c r="E12" s="102">
        <f>B12</f>
        <v>100</v>
      </c>
      <c r="F12" s="103">
        <f>C12</f>
        <v>9.0999999999999998E-2</v>
      </c>
      <c r="G12" s="104">
        <f>E12*F12</f>
        <v>9.1</v>
      </c>
      <c r="H12" s="104">
        <f>G12-D12</f>
        <v>0</v>
      </c>
      <c r="I12" s="105">
        <f t="shared" ref="I12:I18" si="0">IF(ISERROR(H12/ABS(D12)),"N/A",(H12/ABS(D12)))</f>
        <v>0</v>
      </c>
      <c r="J12" s="123">
        <f t="shared" ref="J12:J27" si="1">G12/$G$36</f>
        <v>0.17316384748596791</v>
      </c>
    </row>
    <row r="13" spans="1:10" x14ac:dyDescent="0.2">
      <c r="A13" s="107" t="s">
        <v>32</v>
      </c>
      <c r="B13" s="73">
        <f>IF(B4&gt;B7,(B4)-B7,0)</f>
        <v>0</v>
      </c>
      <c r="C13" s="21">
        <v>0.106</v>
      </c>
      <c r="D13" s="22">
        <f>B13*C13</f>
        <v>0</v>
      </c>
      <c r="E13" s="73">
        <f t="shared" ref="E13" si="2">B13</f>
        <v>0</v>
      </c>
      <c r="F13" s="21">
        <f>C13</f>
        <v>0.106</v>
      </c>
      <c r="G13" s="22">
        <f>E13*F13</f>
        <v>0</v>
      </c>
      <c r="H13" s="22">
        <f t="shared" ref="H13:H36" si="3">G13-D13</f>
        <v>0</v>
      </c>
      <c r="I13" s="23" t="str">
        <f t="shared" si="0"/>
        <v>N/A</v>
      </c>
      <c r="J13" s="124">
        <f t="shared" si="1"/>
        <v>0</v>
      </c>
    </row>
    <row r="14" spans="1:10" s="1" customFormat="1" x14ac:dyDescent="0.2">
      <c r="A14" s="46" t="s">
        <v>33</v>
      </c>
      <c r="B14" s="24"/>
      <c r="C14" s="25"/>
      <c r="D14" s="25">
        <f>SUM(D12:D13)</f>
        <v>9.1</v>
      </c>
      <c r="E14" s="76"/>
      <c r="F14" s="25"/>
      <c r="G14" s="25">
        <f>SUM(G12:G13)</f>
        <v>9.1</v>
      </c>
      <c r="H14" s="25">
        <f t="shared" si="3"/>
        <v>0</v>
      </c>
      <c r="I14" s="27">
        <f t="shared" si="0"/>
        <v>0</v>
      </c>
      <c r="J14" s="47">
        <f t="shared" si="1"/>
        <v>0.17316384748596791</v>
      </c>
    </row>
    <row r="15" spans="1:10" x14ac:dyDescent="0.2">
      <c r="A15" s="107" t="s">
        <v>38</v>
      </c>
      <c r="B15" s="73">
        <v>1</v>
      </c>
      <c r="C15" s="78">
        <f>VLOOKUP($B$3,'Data for Bill Impacts'!$A$6:$Y$18,7,0)</f>
        <v>35.18</v>
      </c>
      <c r="D15" s="22">
        <f>B15*C15</f>
        <v>35.18</v>
      </c>
      <c r="E15" s="73">
        <f t="shared" ref="E15:E31" si="4">B15</f>
        <v>1</v>
      </c>
      <c r="F15" s="78">
        <f>VLOOKUP($B$3,'Data for Bill Impacts'!$A$6:$Y$18,17,0)</f>
        <v>34.76</v>
      </c>
      <c r="G15" s="22">
        <f>E15*F15</f>
        <v>34.76</v>
      </c>
      <c r="H15" s="22">
        <f t="shared" si="3"/>
        <v>-0.42000000000000171</v>
      </c>
      <c r="I15" s="23">
        <f t="shared" si="0"/>
        <v>-1.1938601478112612E-2</v>
      </c>
      <c r="J15" s="124">
        <f t="shared" si="1"/>
        <v>0.66144783940793894</v>
      </c>
    </row>
    <row r="16" spans="1:10" x14ac:dyDescent="0.2">
      <c r="A16" s="107" t="s">
        <v>85</v>
      </c>
      <c r="B16" s="73">
        <v>1</v>
      </c>
      <c r="C16" s="78">
        <f>VLOOKUP($B$3,'Data for Bill Impacts'!$A$6:$Y$18,13,0)</f>
        <v>0.51</v>
      </c>
      <c r="D16" s="22">
        <f t="shared" ref="D16" si="5">B16*C16</f>
        <v>0.51</v>
      </c>
      <c r="E16" s="73">
        <f t="shared" si="4"/>
        <v>1</v>
      </c>
      <c r="F16" s="121">
        <f>VLOOKUP($B$3,'Data for Bill Impacts'!$A$6:$Y$18,22,0)</f>
        <v>2E-3</v>
      </c>
      <c r="G16" s="22">
        <f t="shared" ref="G16" si="6">E16*F16</f>
        <v>2E-3</v>
      </c>
      <c r="H16" s="22">
        <f t="shared" si="3"/>
        <v>-0.50800000000000001</v>
      </c>
      <c r="I16" s="23">
        <f t="shared" si="0"/>
        <v>-0.99607843137254903</v>
      </c>
      <c r="J16" s="124">
        <f t="shared" si="1"/>
        <v>3.805798845845449E-5</v>
      </c>
    </row>
    <row r="17" spans="1:10" x14ac:dyDescent="0.2">
      <c r="A17" s="107" t="s">
        <v>39</v>
      </c>
      <c r="B17" s="73">
        <f>IF($B$9="kWh",$B$4,$B$5)</f>
        <v>100</v>
      </c>
      <c r="C17" s="78">
        <f>VLOOKUP($B$3,'Data for Bill Impacts'!$A$6:$Y$18,10,0)</f>
        <v>2.8500000000000001E-2</v>
      </c>
      <c r="D17" s="22">
        <f>B17*C17</f>
        <v>2.85</v>
      </c>
      <c r="E17" s="73">
        <f t="shared" si="4"/>
        <v>100</v>
      </c>
      <c r="F17" s="78">
        <f>VLOOKUP($B$3,'Data for Bill Impacts'!$A$6:$Y$18,19,0)</f>
        <v>2.8400000000000002E-2</v>
      </c>
      <c r="G17" s="22">
        <f>E17*F17</f>
        <v>2.8400000000000003</v>
      </c>
      <c r="H17" s="22">
        <f t="shared" si="3"/>
        <v>-9.9999999999997868E-3</v>
      </c>
      <c r="I17" s="23">
        <f t="shared" si="0"/>
        <v>-3.5087719298244864E-3</v>
      </c>
      <c r="J17" s="124">
        <f t="shared" si="1"/>
        <v>5.4042343611005378E-2</v>
      </c>
    </row>
    <row r="18" spans="1:10" s="1" customFormat="1" x14ac:dyDescent="0.2">
      <c r="A18" s="107" t="s">
        <v>124</v>
      </c>
      <c r="B18" s="73">
        <f>IF($B$9="kWh",$B$4,$B$5)</f>
        <v>100</v>
      </c>
      <c r="C18" s="125">
        <f>VLOOKUP($B$3,'Data for Bill Impacts'!$A$6:$Y$18,14,0)</f>
        <v>-1E-4</v>
      </c>
      <c r="D18" s="22">
        <f>B18*C18</f>
        <v>-0.01</v>
      </c>
      <c r="E18" s="73">
        <f>B18</f>
        <v>100</v>
      </c>
      <c r="F18" s="125">
        <f>VLOOKUP($B$3,'Data for Bill Impacts'!$A$6:$Y$18,23,0)</f>
        <v>2.0000000000000002E-5</v>
      </c>
      <c r="G18" s="22">
        <f>E18*F18</f>
        <v>2E-3</v>
      </c>
      <c r="H18" s="22">
        <f>G18-D18</f>
        <v>1.2E-2</v>
      </c>
      <c r="I18" s="23">
        <f t="shared" si="0"/>
        <v>1.2</v>
      </c>
      <c r="J18" s="124">
        <f t="shared" si="1"/>
        <v>3.805798845845449E-5</v>
      </c>
    </row>
    <row r="19" spans="1:10" x14ac:dyDescent="0.2">
      <c r="A19" s="110" t="s">
        <v>72</v>
      </c>
      <c r="B19" s="74"/>
      <c r="C19" s="35"/>
      <c r="D19" s="35">
        <f>SUM(D15:D18)</f>
        <v>38.53</v>
      </c>
      <c r="E19" s="73"/>
      <c r="F19" s="35"/>
      <c r="G19" s="35">
        <f>SUM(G15:G18)</f>
        <v>37.604000000000006</v>
      </c>
      <c r="H19" s="35">
        <f t="shared" si="3"/>
        <v>-0.92599999999999483</v>
      </c>
      <c r="I19" s="36">
        <f>IF(ISERROR(H19/ABS(D19)),"N/A",(H19/ABS(D19)))</f>
        <v>-2.4033220866856858E-2</v>
      </c>
      <c r="J19" s="111">
        <f t="shared" si="1"/>
        <v>0.71556629899586133</v>
      </c>
    </row>
    <row r="20" spans="1:10" s="1" customFormat="1" x14ac:dyDescent="0.2">
      <c r="A20" s="119" t="s">
        <v>81</v>
      </c>
      <c r="B20" s="120">
        <f>B8-B4</f>
        <v>9.2000000000000028</v>
      </c>
      <c r="C20" s="176">
        <f>IF(B4&gt;B7,C13,C12)</f>
        <v>9.0999999999999998E-2</v>
      </c>
      <c r="D20" s="22">
        <f>B20*C20</f>
        <v>0.83720000000000028</v>
      </c>
      <c r="E20" s="73">
        <f>B20</f>
        <v>9.2000000000000028</v>
      </c>
      <c r="F20" s="176">
        <f>C20</f>
        <v>9.0999999999999998E-2</v>
      </c>
      <c r="G20" s="22">
        <f>E20*F20</f>
        <v>0.83720000000000028</v>
      </c>
      <c r="H20" s="22">
        <f t="shared" si="3"/>
        <v>0</v>
      </c>
      <c r="I20" s="23">
        <f t="shared" ref="I20:I36" si="7">IF(ISERROR(H20/ABS(D20)),"N/A",(H20/ABS(D20)))</f>
        <v>0</v>
      </c>
      <c r="J20" s="124">
        <f t="shared" si="1"/>
        <v>1.5931073968709054E-2</v>
      </c>
    </row>
    <row r="21" spans="1:10" x14ac:dyDescent="0.2">
      <c r="A21" s="110" t="s">
        <v>79</v>
      </c>
      <c r="B21" s="74"/>
      <c r="C21" s="35"/>
      <c r="D21" s="35">
        <f>SUM(D19,D20:D20)</f>
        <v>39.367200000000004</v>
      </c>
      <c r="E21" s="73"/>
      <c r="F21" s="35"/>
      <c r="G21" s="35">
        <f>SUM(G19,G20:G20)</f>
        <v>38.441200000000009</v>
      </c>
      <c r="H21" s="35">
        <f t="shared" si="3"/>
        <v>-0.92599999999999483</v>
      </c>
      <c r="I21" s="36">
        <f t="shared" si="7"/>
        <v>-2.3522119937409689E-2</v>
      </c>
      <c r="J21" s="111">
        <f t="shared" si="1"/>
        <v>0.73149737296457051</v>
      </c>
    </row>
    <row r="22" spans="1:10" x14ac:dyDescent="0.2">
      <c r="A22" s="107" t="s">
        <v>40</v>
      </c>
      <c r="B22" s="73">
        <f>B8</f>
        <v>109.2</v>
      </c>
      <c r="C22" s="78">
        <f>VLOOKUP($B$3,'Data for Bill Impacts'!$A$6:$Y$18,15,0)</f>
        <v>4.7000000000000002E-3</v>
      </c>
      <c r="D22" s="22">
        <f>B22*C22</f>
        <v>0.51324000000000003</v>
      </c>
      <c r="E22" s="73">
        <f t="shared" si="4"/>
        <v>109.2</v>
      </c>
      <c r="F22" s="125">
        <f>VLOOKUP($B$3,'Data for Bill Impacts'!$A$6:$Y$18,24,0)</f>
        <v>4.7699999999999999E-3</v>
      </c>
      <c r="G22" s="22">
        <f>E22*F22</f>
        <v>0.52088400000000001</v>
      </c>
      <c r="H22" s="22">
        <f t="shared" si="3"/>
        <v>7.6439999999999841E-3</v>
      </c>
      <c r="I22" s="23">
        <f t="shared" si="7"/>
        <v>1.4893617021276563E-2</v>
      </c>
      <c r="J22" s="124">
        <f t="shared" si="1"/>
        <v>9.9118986300968034E-3</v>
      </c>
    </row>
    <row r="23" spans="1:10" s="1" customFormat="1" x14ac:dyDescent="0.2">
      <c r="A23" s="107" t="s">
        <v>41</v>
      </c>
      <c r="B23" s="73">
        <f>B8</f>
        <v>109.2</v>
      </c>
      <c r="C23" s="78">
        <f>VLOOKUP($B$3,'Data for Bill Impacts'!$A$6:$Y$18,16,0)</f>
        <v>3.0999999999999999E-3</v>
      </c>
      <c r="D23" s="22">
        <f>B23*C23</f>
        <v>0.33851999999999999</v>
      </c>
      <c r="E23" s="73">
        <f t="shared" si="4"/>
        <v>109.2</v>
      </c>
      <c r="F23" s="125">
        <f>VLOOKUP($B$3,'Data for Bill Impacts'!$A$6:$Y$18,25,0)</f>
        <v>3.7950000000000002E-3</v>
      </c>
      <c r="G23" s="22">
        <f>E23*F23</f>
        <v>0.414414</v>
      </c>
      <c r="H23" s="22">
        <f t="shared" si="3"/>
        <v>7.5894000000000017E-2</v>
      </c>
      <c r="I23" s="23">
        <f t="shared" si="7"/>
        <v>0.22419354838709682</v>
      </c>
      <c r="J23" s="124">
        <f t="shared" si="1"/>
        <v>7.8858816145109794E-3</v>
      </c>
    </row>
    <row r="24" spans="1:10" s="1" customFormat="1" x14ac:dyDescent="0.2">
      <c r="A24" s="110" t="s">
        <v>76</v>
      </c>
      <c r="B24" s="74"/>
      <c r="C24" s="35"/>
      <c r="D24" s="35">
        <f>SUM(D22:D23)</f>
        <v>0.85176000000000007</v>
      </c>
      <c r="E24" s="73"/>
      <c r="F24" s="35"/>
      <c r="G24" s="35">
        <f>SUM(G22:G23)</f>
        <v>0.93529799999999996</v>
      </c>
      <c r="H24" s="35">
        <f t="shared" si="3"/>
        <v>8.353799999999989E-2</v>
      </c>
      <c r="I24" s="36">
        <f t="shared" si="7"/>
        <v>9.8076923076922937E-2</v>
      </c>
      <c r="J24" s="111">
        <f t="shared" si="1"/>
        <v>1.7797780244607781E-2</v>
      </c>
    </row>
    <row r="25" spans="1:10" s="1" customFormat="1" x14ac:dyDescent="0.2">
      <c r="A25" s="110" t="s">
        <v>80</v>
      </c>
      <c r="B25" s="74"/>
      <c r="C25" s="35"/>
      <c r="D25" s="35">
        <f>D21+D24</f>
        <v>40.218960000000003</v>
      </c>
      <c r="E25" s="73"/>
      <c r="F25" s="35"/>
      <c r="G25" s="35">
        <f>G21+G24</f>
        <v>39.376498000000012</v>
      </c>
      <c r="H25" s="35">
        <f t="shared" si="3"/>
        <v>-0.8424619999999905</v>
      </c>
      <c r="I25" s="36">
        <f t="shared" si="7"/>
        <v>-2.0946886741974195E-2</v>
      </c>
      <c r="J25" s="111">
        <f t="shared" si="1"/>
        <v>0.74929515320917828</v>
      </c>
    </row>
    <row r="26" spans="1:10" x14ac:dyDescent="0.2">
      <c r="A26" s="107" t="s">
        <v>42</v>
      </c>
      <c r="B26" s="73">
        <f>B8</f>
        <v>109.2</v>
      </c>
      <c r="C26" s="34">
        <v>3.5999999999999999E-3</v>
      </c>
      <c r="D26" s="22">
        <f>B26*C26</f>
        <v>0.39312000000000002</v>
      </c>
      <c r="E26" s="73">
        <f t="shared" si="4"/>
        <v>109.2</v>
      </c>
      <c r="F26" s="34">
        <v>3.5999999999999999E-3</v>
      </c>
      <c r="G26" s="22">
        <f>E26*F26</f>
        <v>0.39312000000000002</v>
      </c>
      <c r="H26" s="22">
        <f t="shared" si="3"/>
        <v>0</v>
      </c>
      <c r="I26" s="23">
        <f t="shared" si="7"/>
        <v>0</v>
      </c>
      <c r="J26" s="124">
        <f t="shared" si="1"/>
        <v>7.4806782113938141E-3</v>
      </c>
    </row>
    <row r="27" spans="1:10" s="1" customFormat="1" x14ac:dyDescent="0.2">
      <c r="A27" s="107" t="s">
        <v>43</v>
      </c>
      <c r="B27" s="73">
        <f>B8</f>
        <v>109.2</v>
      </c>
      <c r="C27" s="34">
        <v>2.0999999999999999E-3</v>
      </c>
      <c r="D27" s="22">
        <f>B27*C27</f>
        <v>0.22932</v>
      </c>
      <c r="E27" s="73">
        <f t="shared" si="4"/>
        <v>109.2</v>
      </c>
      <c r="F27" s="34">
        <v>2.0999999999999999E-3</v>
      </c>
      <c r="G27" s="22">
        <f>E27*F27</f>
        <v>0.22932</v>
      </c>
      <c r="H27" s="22">
        <f>G27-D27</f>
        <v>0</v>
      </c>
      <c r="I27" s="23">
        <f t="shared" si="7"/>
        <v>0</v>
      </c>
      <c r="J27" s="124">
        <f t="shared" si="1"/>
        <v>4.3637289566463913E-3</v>
      </c>
    </row>
    <row r="28" spans="1:10" s="1" customFormat="1" x14ac:dyDescent="0.2">
      <c r="A28" s="107" t="s">
        <v>96</v>
      </c>
      <c r="B28" s="73">
        <f>B8</f>
        <v>109.2</v>
      </c>
      <c r="C28" s="34">
        <v>0</v>
      </c>
      <c r="D28" s="22">
        <f>B28*C28</f>
        <v>0</v>
      </c>
      <c r="E28" s="73">
        <f t="shared" si="4"/>
        <v>109.2</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4.7572485573068105E-3</v>
      </c>
    </row>
    <row r="30" spans="1:10" s="1" customFormat="1" x14ac:dyDescent="0.2">
      <c r="A30" s="110" t="s">
        <v>45</v>
      </c>
      <c r="B30" s="74"/>
      <c r="C30" s="35"/>
      <c r="D30" s="35">
        <f>SUM(D26:D29)</f>
        <v>0.87243999999999999</v>
      </c>
      <c r="E30" s="73"/>
      <c r="F30" s="35"/>
      <c r="G30" s="35">
        <f>SUM(G26:G29)</f>
        <v>0.87243999999999999</v>
      </c>
      <c r="H30" s="35">
        <f t="shared" si="3"/>
        <v>0</v>
      </c>
      <c r="I30" s="36">
        <f t="shared" si="7"/>
        <v>0</v>
      </c>
      <c r="J30" s="111">
        <f t="shared" si="9"/>
        <v>1.6601655725347015E-2</v>
      </c>
    </row>
    <row r="31" spans="1:10" ht="13.5" thickBot="1" x14ac:dyDescent="0.25">
      <c r="A31" s="112" t="s">
        <v>46</v>
      </c>
      <c r="B31" s="113">
        <f>B4</f>
        <v>100</v>
      </c>
      <c r="C31" s="114">
        <v>7.0000000000000001E-3</v>
      </c>
      <c r="D31" s="115">
        <f>B31*C31</f>
        <v>0.70000000000000007</v>
      </c>
      <c r="E31" s="116">
        <f t="shared" si="4"/>
        <v>100</v>
      </c>
      <c r="F31" s="114">
        <f>C31</f>
        <v>7.0000000000000001E-3</v>
      </c>
      <c r="G31" s="115">
        <f>E31*F31</f>
        <v>0.70000000000000007</v>
      </c>
      <c r="H31" s="115">
        <f t="shared" si="3"/>
        <v>0</v>
      </c>
      <c r="I31" s="117">
        <f t="shared" si="7"/>
        <v>0</v>
      </c>
      <c r="J31" s="118">
        <f t="shared" si="9"/>
        <v>1.3320295960459071E-2</v>
      </c>
    </row>
    <row r="32" spans="1:10" x14ac:dyDescent="0.2">
      <c r="A32" s="37" t="s">
        <v>115</v>
      </c>
      <c r="B32" s="38"/>
      <c r="C32" s="39"/>
      <c r="D32" s="39">
        <f>SUM(D14,D21,D24,D30,D31)</f>
        <v>50.891400000000004</v>
      </c>
      <c r="E32" s="38"/>
      <c r="F32" s="39"/>
      <c r="G32" s="39">
        <f>SUM(G14,G21,G24,G30,G31)</f>
        <v>50.048938000000014</v>
      </c>
      <c r="H32" s="39">
        <f t="shared" si="3"/>
        <v>-0.8424619999999905</v>
      </c>
      <c r="I32" s="40">
        <f t="shared" si="7"/>
        <v>-1.6554113268646382E-2</v>
      </c>
      <c r="J32" s="41">
        <f t="shared" si="9"/>
        <v>0.95238095238095233</v>
      </c>
    </row>
    <row r="33" spans="1:10" x14ac:dyDescent="0.2">
      <c r="A33" s="46" t="s">
        <v>106</v>
      </c>
      <c r="B33" s="43"/>
      <c r="C33" s="26">
        <v>0.13</v>
      </c>
      <c r="D33" s="26">
        <f>D32*C33</f>
        <v>6.6158820000000009</v>
      </c>
      <c r="E33" s="26"/>
      <c r="F33" s="26">
        <f>C33</f>
        <v>0.13</v>
      </c>
      <c r="G33" s="26">
        <f>G32*F33</f>
        <v>6.5063619400000023</v>
      </c>
      <c r="H33" s="26">
        <f t="shared" si="3"/>
        <v>-0.10952005999999859</v>
      </c>
      <c r="I33" s="44">
        <f t="shared" si="7"/>
        <v>-1.6554113268646354E-2</v>
      </c>
      <c r="J33" s="45">
        <f t="shared" si="9"/>
        <v>0.12380952380952381</v>
      </c>
    </row>
    <row r="34" spans="1:10" x14ac:dyDescent="0.2">
      <c r="A34" s="46" t="s">
        <v>107</v>
      </c>
      <c r="B34" s="24"/>
      <c r="C34" s="25"/>
      <c r="D34" s="25">
        <f>SUM(D32:D33)</f>
        <v>57.507282000000004</v>
      </c>
      <c r="E34" s="25"/>
      <c r="F34" s="25"/>
      <c r="G34" s="25">
        <f>SUM(G32:G33)</f>
        <v>56.555299940000019</v>
      </c>
      <c r="H34" s="25">
        <f t="shared" si="3"/>
        <v>-0.95198205999998464</v>
      </c>
      <c r="I34" s="27">
        <f t="shared" si="7"/>
        <v>-1.6554113268646302E-2</v>
      </c>
      <c r="J34" s="47">
        <f t="shared" si="9"/>
        <v>1.0761904761904761</v>
      </c>
    </row>
    <row r="35" spans="1:10" x14ac:dyDescent="0.2">
      <c r="A35" s="46" t="s">
        <v>108</v>
      </c>
      <c r="B35" s="43"/>
      <c r="C35" s="26">
        <v>-0.08</v>
      </c>
      <c r="D35" s="26">
        <f>D32*C35</f>
        <v>-4.0713120000000007</v>
      </c>
      <c r="E35" s="26"/>
      <c r="F35" s="26">
        <f>C35</f>
        <v>-0.08</v>
      </c>
      <c r="G35" s="26">
        <f>G32*F35</f>
        <v>-4.0039150400000008</v>
      </c>
      <c r="H35" s="26">
        <f t="shared" si="3"/>
        <v>6.739695999999995E-2</v>
      </c>
      <c r="I35" s="44">
        <f t="shared" si="7"/>
        <v>1.6554113268646555E-2</v>
      </c>
      <c r="J35" s="45">
        <f t="shared" si="9"/>
        <v>-7.6190476190476183E-2</v>
      </c>
    </row>
    <row r="36" spans="1:10" ht="13.5" thickBot="1" x14ac:dyDescent="0.25">
      <c r="A36" s="46" t="s">
        <v>109</v>
      </c>
      <c r="B36" s="49"/>
      <c r="C36" s="50"/>
      <c r="D36" s="50">
        <f>SUM(D34:D35)</f>
        <v>53.435970000000005</v>
      </c>
      <c r="E36" s="50"/>
      <c r="F36" s="50"/>
      <c r="G36" s="50">
        <f>SUM(G34:G35)</f>
        <v>52.551384900000016</v>
      </c>
      <c r="H36" s="50">
        <f t="shared" si="3"/>
        <v>-0.88458509999998824</v>
      </c>
      <c r="I36" s="51">
        <f t="shared" si="7"/>
        <v>-1.6554113268646347E-2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47"/>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120</v>
      </c>
      <c r="B1" s="191"/>
      <c r="C1" s="191"/>
      <c r="D1" s="191"/>
      <c r="E1" s="191"/>
      <c r="F1" s="191"/>
      <c r="G1" s="191"/>
      <c r="H1" s="191"/>
      <c r="I1" s="191"/>
      <c r="J1" s="192"/>
    </row>
    <row r="3" spans="1:10" x14ac:dyDescent="0.2">
      <c r="A3" s="13" t="s">
        <v>13</v>
      </c>
      <c r="B3" s="13" t="s">
        <v>12</v>
      </c>
    </row>
    <row r="4" spans="1:10" x14ac:dyDescent="0.2">
      <c r="A4" s="15" t="s">
        <v>62</v>
      </c>
      <c r="B4" s="168">
        <f>VLOOKUP(B3,'Data for Bill Impacts'!A21:D34,3,FALSE)</f>
        <v>364</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68">
        <f>B4*B6</f>
        <v>397.48800000000006</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364</v>
      </c>
      <c r="C12" s="103">
        <v>9.0999999999999998E-2</v>
      </c>
      <c r="D12" s="104">
        <f>B12*C12</f>
        <v>33.124000000000002</v>
      </c>
      <c r="E12" s="102">
        <f>B12</f>
        <v>364</v>
      </c>
      <c r="F12" s="103">
        <f>C12</f>
        <v>9.0999999999999998E-2</v>
      </c>
      <c r="G12" s="104">
        <f>E12*F12</f>
        <v>33.124000000000002</v>
      </c>
      <c r="H12" s="104">
        <f>G12-D12</f>
        <v>0</v>
      </c>
      <c r="I12" s="105">
        <f t="shared" ref="I12:I18" si="0">IF(ISERROR(H12/ABS(D12)),"N/A",(H12/ABS(D12)))</f>
        <v>0</v>
      </c>
      <c r="J12" s="123">
        <f t="shared" ref="J12:J27" si="1">G12/$G$36</f>
        <v>0.35150877999239788</v>
      </c>
    </row>
    <row r="13" spans="1:10" x14ac:dyDescent="0.2">
      <c r="A13" s="107" t="s">
        <v>32</v>
      </c>
      <c r="B13" s="73">
        <f>IF(B4&gt;B7,(B4)-B7,0)</f>
        <v>0</v>
      </c>
      <c r="C13" s="21">
        <v>0.106</v>
      </c>
      <c r="D13" s="22">
        <f>B13*C13</f>
        <v>0</v>
      </c>
      <c r="E13" s="73">
        <f t="shared" ref="E13" si="2">B13</f>
        <v>0</v>
      </c>
      <c r="F13" s="21">
        <f>C13</f>
        <v>0.106</v>
      </c>
      <c r="G13" s="22">
        <f>E13*F13</f>
        <v>0</v>
      </c>
      <c r="H13" s="22">
        <f t="shared" ref="H13:H36" si="3">G13-D13</f>
        <v>0</v>
      </c>
      <c r="I13" s="23" t="str">
        <f t="shared" si="0"/>
        <v>N/A</v>
      </c>
      <c r="J13" s="124">
        <f t="shared" si="1"/>
        <v>0</v>
      </c>
    </row>
    <row r="14" spans="1:10" s="1" customFormat="1" x14ac:dyDescent="0.2">
      <c r="A14" s="46" t="s">
        <v>33</v>
      </c>
      <c r="B14" s="24"/>
      <c r="C14" s="25"/>
      <c r="D14" s="25">
        <f>SUM(D12:D13)</f>
        <v>33.124000000000002</v>
      </c>
      <c r="E14" s="76"/>
      <c r="F14" s="25"/>
      <c r="G14" s="25">
        <f>SUM(G12:G13)</f>
        <v>33.124000000000002</v>
      </c>
      <c r="H14" s="25">
        <f t="shared" si="3"/>
        <v>0</v>
      </c>
      <c r="I14" s="27">
        <f t="shared" si="0"/>
        <v>0</v>
      </c>
      <c r="J14" s="47">
        <f t="shared" si="1"/>
        <v>0.35150877999239788</v>
      </c>
    </row>
    <row r="15" spans="1:10" x14ac:dyDescent="0.2">
      <c r="A15" s="107" t="s">
        <v>38</v>
      </c>
      <c r="B15" s="73">
        <v>1</v>
      </c>
      <c r="C15" s="78">
        <f>VLOOKUP($B$3,'Data for Bill Impacts'!$A$6:$Y$18,7,0)</f>
        <v>35.18</v>
      </c>
      <c r="D15" s="22">
        <f>B15*C15</f>
        <v>35.18</v>
      </c>
      <c r="E15" s="73">
        <f t="shared" ref="E15:E31" si="4">B15</f>
        <v>1</v>
      </c>
      <c r="F15" s="78">
        <f>VLOOKUP($B$3,'Data for Bill Impacts'!$A$6:$Y$18,17,0)</f>
        <v>34.76</v>
      </c>
      <c r="G15" s="22">
        <f>E15*F15</f>
        <v>34.76</v>
      </c>
      <c r="H15" s="22">
        <f t="shared" si="3"/>
        <v>-0.42000000000000171</v>
      </c>
      <c r="I15" s="23">
        <f t="shared" si="0"/>
        <v>-1.1938601478112612E-2</v>
      </c>
      <c r="J15" s="124">
        <f t="shared" si="1"/>
        <v>0.36886985848737319</v>
      </c>
    </row>
    <row r="16" spans="1:10" x14ac:dyDescent="0.2">
      <c r="A16" s="107" t="s">
        <v>85</v>
      </c>
      <c r="B16" s="73">
        <v>1</v>
      </c>
      <c r="C16" s="78">
        <f>VLOOKUP($B$3,'Data for Bill Impacts'!$A$6:$Y$18,13,0)</f>
        <v>0.51</v>
      </c>
      <c r="D16" s="22">
        <f t="shared" ref="D16" si="5">B16*C16</f>
        <v>0.51</v>
      </c>
      <c r="E16" s="73">
        <f t="shared" si="4"/>
        <v>1</v>
      </c>
      <c r="F16" s="121">
        <f>VLOOKUP($B$3,'Data for Bill Impacts'!$A$6:$Y$18,22,0)</f>
        <v>2E-3</v>
      </c>
      <c r="G16" s="22">
        <f t="shared" ref="G16" si="6">E16*F16</f>
        <v>2E-3</v>
      </c>
      <c r="H16" s="22">
        <f t="shared" si="3"/>
        <v>-0.50800000000000001</v>
      </c>
      <c r="I16" s="23">
        <f t="shared" si="0"/>
        <v>-0.99607843137254903</v>
      </c>
      <c r="J16" s="124">
        <f t="shared" si="1"/>
        <v>2.1223812341045637E-5</v>
      </c>
    </row>
    <row r="17" spans="1:10" x14ac:dyDescent="0.2">
      <c r="A17" s="107" t="s">
        <v>39</v>
      </c>
      <c r="B17" s="73">
        <f>IF($B$9="kWh",$B$4,$B$5)</f>
        <v>364</v>
      </c>
      <c r="C17" s="78">
        <f>VLOOKUP($B$3,'Data for Bill Impacts'!$A$6:$Y$18,10,0)</f>
        <v>2.8500000000000001E-2</v>
      </c>
      <c r="D17" s="22">
        <f>B17*C17</f>
        <v>10.374000000000001</v>
      </c>
      <c r="E17" s="73">
        <f t="shared" si="4"/>
        <v>364</v>
      </c>
      <c r="F17" s="78">
        <f>VLOOKUP($B$3,'Data for Bill Impacts'!$A$6:$Y$18,19,0)</f>
        <v>2.8400000000000002E-2</v>
      </c>
      <c r="G17" s="22">
        <f>E17*F17</f>
        <v>10.3376</v>
      </c>
      <c r="H17" s="22">
        <f t="shared" si="3"/>
        <v>-3.6400000000000432E-2</v>
      </c>
      <c r="I17" s="23">
        <f t="shared" si="0"/>
        <v>-3.5087719298246027E-3</v>
      </c>
      <c r="J17" s="124">
        <f t="shared" si="1"/>
        <v>0.10970164122839669</v>
      </c>
    </row>
    <row r="18" spans="1:10" s="1" customFormat="1" x14ac:dyDescent="0.2">
      <c r="A18" s="107" t="s">
        <v>124</v>
      </c>
      <c r="B18" s="73">
        <f>IF($B$9="kWh",$B$4,$B$5)</f>
        <v>364</v>
      </c>
      <c r="C18" s="125">
        <f>VLOOKUP($B$3,'Data for Bill Impacts'!$A$6:$Y$18,14,0)</f>
        <v>-1E-4</v>
      </c>
      <c r="D18" s="22">
        <f>B18*C18</f>
        <v>-3.6400000000000002E-2</v>
      </c>
      <c r="E18" s="73">
        <f>B18</f>
        <v>364</v>
      </c>
      <c r="F18" s="125">
        <f>VLOOKUP($B$3,'Data for Bill Impacts'!$A$6:$Y$18,23,0)</f>
        <v>2.0000000000000002E-5</v>
      </c>
      <c r="G18" s="22">
        <f>E18*F18</f>
        <v>7.2800000000000009E-3</v>
      </c>
      <c r="H18" s="22">
        <f>G18-D18</f>
        <v>4.3680000000000004E-2</v>
      </c>
      <c r="I18" s="23">
        <f t="shared" si="0"/>
        <v>1.2</v>
      </c>
      <c r="J18" s="124">
        <f t="shared" si="1"/>
        <v>7.7254676921406138E-5</v>
      </c>
    </row>
    <row r="19" spans="1:10" x14ac:dyDescent="0.2">
      <c r="A19" s="110" t="s">
        <v>72</v>
      </c>
      <c r="B19" s="74"/>
      <c r="C19" s="35"/>
      <c r="D19" s="35">
        <f>SUM(D15:D18)</f>
        <v>46.0276</v>
      </c>
      <c r="E19" s="73"/>
      <c r="F19" s="35"/>
      <c r="G19" s="35">
        <f>SUM(G15:G18)</f>
        <v>45.106880000000004</v>
      </c>
      <c r="H19" s="35">
        <f t="shared" si="3"/>
        <v>-0.92071999999999576</v>
      </c>
      <c r="I19" s="36">
        <f>IF(ISERROR(H19/ABS(D19)),"N/A",(H19/ABS(D19)))</f>
        <v>-2.0003649983922598E-2</v>
      </c>
      <c r="J19" s="111">
        <f t="shared" si="1"/>
        <v>0.47866997820503238</v>
      </c>
    </row>
    <row r="20" spans="1:10" s="1" customFormat="1" x14ac:dyDescent="0.2">
      <c r="A20" s="119" t="s">
        <v>81</v>
      </c>
      <c r="B20" s="120">
        <f>B8-B4</f>
        <v>33.488000000000056</v>
      </c>
      <c r="C20" s="176">
        <f>IF(B4&gt;B7,C13,C12)</f>
        <v>9.0999999999999998E-2</v>
      </c>
      <c r="D20" s="22">
        <f>B20*C20</f>
        <v>3.0474080000000052</v>
      </c>
      <c r="E20" s="73">
        <f>B20</f>
        <v>33.488000000000056</v>
      </c>
      <c r="F20" s="176">
        <f>C20</f>
        <v>9.0999999999999998E-2</v>
      </c>
      <c r="G20" s="22">
        <f>E20*F20</f>
        <v>3.0474080000000052</v>
      </c>
      <c r="H20" s="22">
        <f t="shared" si="3"/>
        <v>0</v>
      </c>
      <c r="I20" s="23">
        <f t="shared" ref="I20:I36" si="7">IF(ISERROR(H20/ABS(D20)),"N/A",(H20/ABS(D20)))</f>
        <v>0</v>
      </c>
      <c r="J20" s="124">
        <f t="shared" si="1"/>
        <v>3.2338807759300661E-2</v>
      </c>
    </row>
    <row r="21" spans="1:10" x14ac:dyDescent="0.2">
      <c r="A21" s="110" t="s">
        <v>79</v>
      </c>
      <c r="B21" s="74"/>
      <c r="C21" s="35"/>
      <c r="D21" s="35">
        <f>SUM(D19,D20:D20)</f>
        <v>49.075008000000004</v>
      </c>
      <c r="E21" s="73"/>
      <c r="F21" s="35"/>
      <c r="G21" s="35">
        <f>SUM(G19,G20:G20)</f>
        <v>48.154288000000008</v>
      </c>
      <c r="H21" s="35">
        <f t="shared" si="3"/>
        <v>-0.92071999999999576</v>
      </c>
      <c r="I21" s="36">
        <f t="shared" si="7"/>
        <v>-1.8761484460685075E-2</v>
      </c>
      <c r="J21" s="111">
        <f t="shared" si="1"/>
        <v>0.51100878596433308</v>
      </c>
    </row>
    <row r="22" spans="1:10" x14ac:dyDescent="0.2">
      <c r="A22" s="107" t="s">
        <v>40</v>
      </c>
      <c r="B22" s="73">
        <f>B8</f>
        <v>397.48800000000006</v>
      </c>
      <c r="C22" s="78">
        <f>VLOOKUP($B$3,'Data for Bill Impacts'!$A$6:$Y$18,15,0)</f>
        <v>4.7000000000000002E-3</v>
      </c>
      <c r="D22" s="22">
        <f>B22*C22</f>
        <v>1.8681936000000003</v>
      </c>
      <c r="E22" s="73">
        <f t="shared" si="4"/>
        <v>397.48800000000006</v>
      </c>
      <c r="F22" s="125">
        <f>VLOOKUP($B$3,'Data for Bill Impacts'!$A$6:$Y$18,24,0)</f>
        <v>4.7699999999999999E-3</v>
      </c>
      <c r="G22" s="22">
        <f>E22*F22</f>
        <v>1.8960177600000003</v>
      </c>
      <c r="H22" s="22">
        <f t="shared" si="3"/>
        <v>2.7824159999999987E-2</v>
      </c>
      <c r="I22" s="23">
        <f t="shared" si="7"/>
        <v>1.4893617021276586E-2</v>
      </c>
      <c r="J22" s="124">
        <f t="shared" si="1"/>
        <v>2.0120362566764857E-2</v>
      </c>
    </row>
    <row r="23" spans="1:10" s="1" customFormat="1" x14ac:dyDescent="0.2">
      <c r="A23" s="107" t="s">
        <v>41</v>
      </c>
      <c r="B23" s="73">
        <f>B8</f>
        <v>397.48800000000006</v>
      </c>
      <c r="C23" s="78">
        <f>VLOOKUP($B$3,'Data for Bill Impacts'!$A$6:$Y$18,16,0)</f>
        <v>3.0999999999999999E-3</v>
      </c>
      <c r="D23" s="22">
        <f>B23*C23</f>
        <v>1.2322128000000001</v>
      </c>
      <c r="E23" s="73">
        <f t="shared" si="4"/>
        <v>397.48800000000006</v>
      </c>
      <c r="F23" s="125">
        <f>VLOOKUP($B$3,'Data for Bill Impacts'!$A$6:$Y$18,25,0)</f>
        <v>3.7950000000000002E-3</v>
      </c>
      <c r="G23" s="22">
        <f>E23*F23</f>
        <v>1.5084669600000002</v>
      </c>
      <c r="H23" s="22">
        <f t="shared" si="3"/>
        <v>0.27625416000000014</v>
      </c>
      <c r="I23" s="23">
        <f t="shared" si="7"/>
        <v>0.22419354838709687</v>
      </c>
      <c r="J23" s="124">
        <f t="shared" si="1"/>
        <v>1.6007709840853802E-2</v>
      </c>
    </row>
    <row r="24" spans="1:10" s="1" customFormat="1" x14ac:dyDescent="0.2">
      <c r="A24" s="110" t="s">
        <v>76</v>
      </c>
      <c r="B24" s="74"/>
      <c r="C24" s="35"/>
      <c r="D24" s="35">
        <f>SUM(D22:D23)</f>
        <v>3.1004064000000007</v>
      </c>
      <c r="E24" s="73"/>
      <c r="F24" s="35"/>
      <c r="G24" s="35">
        <f>SUM(G22:G23)</f>
        <v>3.4044847200000006</v>
      </c>
      <c r="H24" s="35">
        <f t="shared" si="3"/>
        <v>0.3040783199999999</v>
      </c>
      <c r="I24" s="36">
        <f t="shared" si="7"/>
        <v>9.807692307692302E-2</v>
      </c>
      <c r="J24" s="111">
        <f t="shared" si="1"/>
        <v>3.6128072407618658E-2</v>
      </c>
    </row>
    <row r="25" spans="1:10" s="1" customFormat="1" x14ac:dyDescent="0.2">
      <c r="A25" s="110" t="s">
        <v>80</v>
      </c>
      <c r="B25" s="74"/>
      <c r="C25" s="35"/>
      <c r="D25" s="35">
        <f>D21+D24</f>
        <v>52.175414400000008</v>
      </c>
      <c r="E25" s="73"/>
      <c r="F25" s="35"/>
      <c r="G25" s="35">
        <f>G21+G24</f>
        <v>51.558772720000007</v>
      </c>
      <c r="H25" s="35">
        <f t="shared" si="3"/>
        <v>-0.61664168000000075</v>
      </c>
      <c r="I25" s="36">
        <f t="shared" si="7"/>
        <v>-1.1818625440567668E-2</v>
      </c>
      <c r="J25" s="111">
        <f t="shared" si="1"/>
        <v>0.5471368583719517</v>
      </c>
    </row>
    <row r="26" spans="1:10" x14ac:dyDescent="0.2">
      <c r="A26" s="107" t="s">
        <v>42</v>
      </c>
      <c r="B26" s="73">
        <f>B8</f>
        <v>397.48800000000006</v>
      </c>
      <c r="C26" s="34">
        <v>3.5999999999999999E-3</v>
      </c>
      <c r="D26" s="22">
        <f>B26*C26</f>
        <v>1.4309568000000001</v>
      </c>
      <c r="E26" s="73">
        <f t="shared" si="4"/>
        <v>397.48800000000006</v>
      </c>
      <c r="F26" s="34">
        <v>3.5999999999999999E-3</v>
      </c>
      <c r="G26" s="22">
        <f>E26*F26</f>
        <v>1.4309568000000001</v>
      </c>
      <c r="H26" s="22">
        <f t="shared" si="3"/>
        <v>0</v>
      </c>
      <c r="I26" s="23">
        <f t="shared" si="7"/>
        <v>0</v>
      </c>
      <c r="J26" s="124">
        <f t="shared" si="1"/>
        <v>1.518517929567159E-2</v>
      </c>
    </row>
    <row r="27" spans="1:10" s="1" customFormat="1" x14ac:dyDescent="0.2">
      <c r="A27" s="107" t="s">
        <v>43</v>
      </c>
      <c r="B27" s="73">
        <f>B8</f>
        <v>397.48800000000006</v>
      </c>
      <c r="C27" s="34">
        <v>2.0999999999999999E-3</v>
      </c>
      <c r="D27" s="22">
        <f>B27*C27</f>
        <v>0.83472480000000004</v>
      </c>
      <c r="E27" s="73">
        <f t="shared" si="4"/>
        <v>397.48800000000006</v>
      </c>
      <c r="F27" s="34">
        <v>2.0999999999999999E-3</v>
      </c>
      <c r="G27" s="22">
        <f>E27*F27</f>
        <v>0.83472480000000004</v>
      </c>
      <c r="H27" s="22">
        <f>G27-D27</f>
        <v>0</v>
      </c>
      <c r="I27" s="23">
        <f t="shared" si="7"/>
        <v>0</v>
      </c>
      <c r="J27" s="124">
        <f t="shared" si="1"/>
        <v>8.8580212558084272E-3</v>
      </c>
    </row>
    <row r="28" spans="1:10" s="1" customFormat="1" x14ac:dyDescent="0.2">
      <c r="A28" s="107" t="s">
        <v>96</v>
      </c>
      <c r="B28" s="73">
        <f>B8</f>
        <v>397.48800000000006</v>
      </c>
      <c r="C28" s="34">
        <v>0</v>
      </c>
      <c r="D28" s="22">
        <f>B28*C28</f>
        <v>0</v>
      </c>
      <c r="E28" s="73">
        <f t="shared" si="4"/>
        <v>397.48800000000006</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2.6529765426307047E-3</v>
      </c>
    </row>
    <row r="30" spans="1:10" s="1" customFormat="1" x14ac:dyDescent="0.2">
      <c r="A30" s="110" t="s">
        <v>45</v>
      </c>
      <c r="B30" s="74"/>
      <c r="C30" s="35"/>
      <c r="D30" s="35">
        <f>SUM(D26:D29)</f>
        <v>2.5156816000000002</v>
      </c>
      <c r="E30" s="73"/>
      <c r="F30" s="35"/>
      <c r="G30" s="35">
        <f>SUM(G26:G29)</f>
        <v>2.5156816000000002</v>
      </c>
      <c r="H30" s="35">
        <f t="shared" si="3"/>
        <v>0</v>
      </c>
      <c r="I30" s="36">
        <f t="shared" si="7"/>
        <v>0</v>
      </c>
      <c r="J30" s="111">
        <f t="shared" si="9"/>
        <v>2.6696177094110721E-2</v>
      </c>
    </row>
    <row r="31" spans="1:10" ht="13.5" thickBot="1" x14ac:dyDescent="0.25">
      <c r="A31" s="112" t="s">
        <v>46</v>
      </c>
      <c r="B31" s="113">
        <f>B4</f>
        <v>364</v>
      </c>
      <c r="C31" s="114">
        <v>7.0000000000000001E-3</v>
      </c>
      <c r="D31" s="115">
        <f>B31*C31</f>
        <v>2.548</v>
      </c>
      <c r="E31" s="116">
        <f t="shared" si="4"/>
        <v>364</v>
      </c>
      <c r="F31" s="114">
        <f>C31</f>
        <v>7.0000000000000001E-3</v>
      </c>
      <c r="G31" s="115">
        <f>E31*F31</f>
        <v>2.548</v>
      </c>
      <c r="H31" s="115">
        <f t="shared" si="3"/>
        <v>0</v>
      </c>
      <c r="I31" s="117">
        <f t="shared" si="7"/>
        <v>0</v>
      </c>
      <c r="J31" s="118">
        <f t="shared" si="9"/>
        <v>2.7039136922492144E-2</v>
      </c>
    </row>
    <row r="32" spans="1:10" x14ac:dyDescent="0.2">
      <c r="A32" s="37" t="s">
        <v>115</v>
      </c>
      <c r="B32" s="38"/>
      <c r="C32" s="39"/>
      <c r="D32" s="39">
        <f>SUM(D14,D21,D24,D30,D31)</f>
        <v>90.363095999999999</v>
      </c>
      <c r="E32" s="38"/>
      <c r="F32" s="39"/>
      <c r="G32" s="39">
        <f>SUM(G14,G21,G24,G30,G31)</f>
        <v>89.746454319999998</v>
      </c>
      <c r="H32" s="39">
        <f t="shared" si="3"/>
        <v>-0.61664168000000075</v>
      </c>
      <c r="I32" s="40">
        <f t="shared" si="7"/>
        <v>-6.8240433019249444E-3</v>
      </c>
      <c r="J32" s="41">
        <f t="shared" si="9"/>
        <v>0.95238095238095233</v>
      </c>
    </row>
    <row r="33" spans="1:10" x14ac:dyDescent="0.2">
      <c r="A33" s="46" t="s">
        <v>106</v>
      </c>
      <c r="B33" s="43"/>
      <c r="C33" s="26">
        <v>0.13</v>
      </c>
      <c r="D33" s="26">
        <f>D32*C33</f>
        <v>11.74720248</v>
      </c>
      <c r="E33" s="26"/>
      <c r="F33" s="26">
        <f>C33</f>
        <v>0.13</v>
      </c>
      <c r="G33" s="26">
        <f>G32*F33</f>
        <v>11.667039061600001</v>
      </c>
      <c r="H33" s="26">
        <f t="shared" si="3"/>
        <v>-8.0163418399999742E-2</v>
      </c>
      <c r="I33" s="44">
        <f t="shared" si="7"/>
        <v>-6.824043301924914E-3</v>
      </c>
      <c r="J33" s="45">
        <f t="shared" si="9"/>
        <v>0.12380952380952381</v>
      </c>
    </row>
    <row r="34" spans="1:10" x14ac:dyDescent="0.2">
      <c r="A34" s="46" t="s">
        <v>107</v>
      </c>
      <c r="B34" s="24"/>
      <c r="C34" s="25"/>
      <c r="D34" s="25">
        <f>SUM(D32:D33)</f>
        <v>102.11029848</v>
      </c>
      <c r="E34" s="25"/>
      <c r="F34" s="25"/>
      <c r="G34" s="25">
        <f>SUM(G32:G33)</f>
        <v>101.41349338160001</v>
      </c>
      <c r="H34" s="25">
        <f t="shared" si="3"/>
        <v>-0.69680509839999161</v>
      </c>
      <c r="I34" s="27">
        <f t="shared" si="7"/>
        <v>-6.8240433019248542E-3</v>
      </c>
      <c r="J34" s="47">
        <f t="shared" si="9"/>
        <v>1.0761904761904761</v>
      </c>
    </row>
    <row r="35" spans="1:10" x14ac:dyDescent="0.2">
      <c r="A35" s="46" t="s">
        <v>108</v>
      </c>
      <c r="B35" s="43"/>
      <c r="C35" s="26">
        <v>-0.08</v>
      </c>
      <c r="D35" s="26">
        <f>D32*C35</f>
        <v>-7.2290476799999999</v>
      </c>
      <c r="E35" s="26"/>
      <c r="F35" s="26">
        <f>C35</f>
        <v>-0.08</v>
      </c>
      <c r="G35" s="26">
        <f>G32*F35</f>
        <v>-7.1797163456000002</v>
      </c>
      <c r="H35" s="26">
        <f t="shared" si="3"/>
        <v>4.9331334399999704E-2</v>
      </c>
      <c r="I35" s="44">
        <f t="shared" si="7"/>
        <v>6.8240433019248958E-3</v>
      </c>
      <c r="J35" s="45">
        <f t="shared" si="9"/>
        <v>-7.6190476190476183E-2</v>
      </c>
    </row>
    <row r="36" spans="1:10" ht="13.5" thickBot="1" x14ac:dyDescent="0.25">
      <c r="A36" s="46" t="s">
        <v>109</v>
      </c>
      <c r="B36" s="49"/>
      <c r="C36" s="50"/>
      <c r="D36" s="50">
        <f>SUM(D34:D35)</f>
        <v>94.881250800000004</v>
      </c>
      <c r="E36" s="50"/>
      <c r="F36" s="50"/>
      <c r="G36" s="50">
        <f>SUM(G34:G35)</f>
        <v>94.233777036000006</v>
      </c>
      <c r="H36" s="50">
        <f t="shared" si="3"/>
        <v>-0.64747376399999723</v>
      </c>
      <c r="I36" s="51">
        <f t="shared" si="7"/>
        <v>-6.8240433019249071E-3</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0.499984740745262"/>
    <pageSetUpPr fitToPage="1"/>
  </sheetPr>
  <dimension ref="A1:K68"/>
  <sheetViews>
    <sheetView tabSelected="1" view="pageLayout" topLeftCell="A3"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100</v>
      </c>
      <c r="B1" s="191"/>
      <c r="C1" s="191"/>
      <c r="D1" s="191"/>
      <c r="E1" s="191"/>
      <c r="F1" s="191"/>
      <c r="G1" s="191"/>
      <c r="H1" s="191"/>
      <c r="I1" s="191"/>
      <c r="J1" s="191"/>
      <c r="K1" s="192"/>
    </row>
    <row r="3" spans="1:11" x14ac:dyDescent="0.2">
      <c r="A3" s="13" t="s">
        <v>13</v>
      </c>
      <c r="B3" s="13" t="s">
        <v>0</v>
      </c>
    </row>
    <row r="4" spans="1:11" x14ac:dyDescent="0.2">
      <c r="A4" s="15" t="s">
        <v>62</v>
      </c>
      <c r="B4" s="15">
        <v>750</v>
      </c>
    </row>
    <row r="5" spans="1:11" x14ac:dyDescent="0.2">
      <c r="A5" s="15" t="s">
        <v>16</v>
      </c>
      <c r="B5" s="15">
        <f>VLOOKUP($B$3,'Data for Bill Impacts'!$A$6:$Y$18,5,0)</f>
        <v>0</v>
      </c>
    </row>
    <row r="6" spans="1:11" x14ac:dyDescent="0.2">
      <c r="A6" s="15" t="s">
        <v>20</v>
      </c>
      <c r="B6" s="15">
        <f>VLOOKUP($B$3,'Data for Bill Impacts'!$A$6:$Y$18,2,0)</f>
        <v>1.0569999999999999</v>
      </c>
    </row>
    <row r="7" spans="1:11" x14ac:dyDescent="0.2">
      <c r="A7" s="15" t="s">
        <v>15</v>
      </c>
      <c r="B7" s="15">
        <f>VLOOKUP($B$3,'Data for Bill Impacts'!$A$6:$Y$18,4,0)</f>
        <v>600</v>
      </c>
    </row>
    <row r="8" spans="1:11" x14ac:dyDescent="0.2">
      <c r="A8" s="15" t="s">
        <v>82</v>
      </c>
      <c r="B8" s="15">
        <f>B4*B6</f>
        <v>792.75</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0.41437879600113148</v>
      </c>
      <c r="K12" s="106"/>
    </row>
    <row r="13" spans="1:11" x14ac:dyDescent="0.2">
      <c r="A13" s="107" t="s">
        <v>32</v>
      </c>
      <c r="B13" s="73">
        <f>IF(B4&gt;B7,(B4)-B7,0)</f>
        <v>150</v>
      </c>
      <c r="C13" s="21">
        <v>0.106</v>
      </c>
      <c r="D13" s="22">
        <f>B13*C13</f>
        <v>15.9</v>
      </c>
      <c r="E13" s="73">
        <f t="shared" ref="E13:F17" si="1">B13</f>
        <v>150</v>
      </c>
      <c r="F13" s="21">
        <f t="shared" si="1"/>
        <v>0.106</v>
      </c>
      <c r="G13" s="22">
        <f>E13*F13</f>
        <v>15.9</v>
      </c>
      <c r="H13" s="22">
        <f t="shared" ref="H13:H46" si="2">G13-D13</f>
        <v>0</v>
      </c>
      <c r="I13" s="23">
        <f t="shared" si="0"/>
        <v>0</v>
      </c>
      <c r="J13" s="23">
        <f>G13/$G$46</f>
        <v>0.12067074828604378</v>
      </c>
      <c r="K13" s="108"/>
    </row>
    <row r="14" spans="1:11" s="1" customFormat="1" x14ac:dyDescent="0.2">
      <c r="A14" s="46" t="s">
        <v>33</v>
      </c>
      <c r="B14" s="24"/>
      <c r="C14" s="25"/>
      <c r="D14" s="25">
        <f>SUM(D12:D13)</f>
        <v>70.5</v>
      </c>
      <c r="E14" s="76"/>
      <c r="F14" s="76"/>
      <c r="G14" s="25">
        <f>SUM(G12:G13)</f>
        <v>70.5</v>
      </c>
      <c r="H14" s="25">
        <f t="shared" si="2"/>
        <v>0</v>
      </c>
      <c r="I14" s="27">
        <f t="shared" si="0"/>
        <v>0</v>
      </c>
      <c r="J14" s="27">
        <f>G14/$G$46</f>
        <v>0.53504954428717522</v>
      </c>
      <c r="K14" s="108"/>
    </row>
    <row r="15" spans="1:11" s="1" customFormat="1" x14ac:dyDescent="0.2">
      <c r="A15" s="109" t="s">
        <v>34</v>
      </c>
      <c r="B15" s="75">
        <f>B4*0.65</f>
        <v>487.5</v>
      </c>
      <c r="C15" s="28">
        <v>7.6999999999999999E-2</v>
      </c>
      <c r="D15" s="22">
        <f>B15*C15</f>
        <v>37.537500000000001</v>
      </c>
      <c r="E15" s="73">
        <f t="shared" ref="E15:E17" si="3">B15</f>
        <v>487.5</v>
      </c>
      <c r="F15" s="28">
        <f t="shared" si="1"/>
        <v>7.6999999999999999E-2</v>
      </c>
      <c r="G15" s="22">
        <f>E15*F15</f>
        <v>37.537500000000001</v>
      </c>
      <c r="H15" s="22">
        <f t="shared" si="2"/>
        <v>0</v>
      </c>
      <c r="I15" s="23">
        <f t="shared" si="0"/>
        <v>0</v>
      </c>
      <c r="J15" s="23"/>
      <c r="K15" s="108">
        <f t="shared" ref="K15:K26" si="4">G15/$G$51</f>
        <v>0.27980724669696638</v>
      </c>
    </row>
    <row r="16" spans="1:11" s="1" customFormat="1" x14ac:dyDescent="0.2">
      <c r="A16" s="109" t="s">
        <v>35</v>
      </c>
      <c r="B16" s="75">
        <f>B4*0.17</f>
        <v>127.50000000000001</v>
      </c>
      <c r="C16" s="28">
        <v>0.113</v>
      </c>
      <c r="D16" s="22">
        <f>B16*C16</f>
        <v>14.407500000000002</v>
      </c>
      <c r="E16" s="73">
        <f t="shared" si="3"/>
        <v>127.50000000000001</v>
      </c>
      <c r="F16" s="28">
        <f t="shared" si="1"/>
        <v>0.113</v>
      </c>
      <c r="G16" s="22">
        <f>E16*F16</f>
        <v>14.407500000000002</v>
      </c>
      <c r="H16" s="22">
        <f t="shared" si="2"/>
        <v>0</v>
      </c>
      <c r="I16" s="23">
        <f t="shared" si="0"/>
        <v>0</v>
      </c>
      <c r="J16" s="23"/>
      <c r="K16" s="108">
        <f t="shared" si="4"/>
        <v>0.10739454963134315</v>
      </c>
    </row>
    <row r="17" spans="1:11" s="1" customFormat="1" x14ac:dyDescent="0.2">
      <c r="A17" s="109" t="s">
        <v>36</v>
      </c>
      <c r="B17" s="75">
        <f>B4*0.18</f>
        <v>135</v>
      </c>
      <c r="C17" s="28">
        <v>0.157</v>
      </c>
      <c r="D17" s="22">
        <f>B17*C17</f>
        <v>21.195</v>
      </c>
      <c r="E17" s="73">
        <f t="shared" si="3"/>
        <v>135</v>
      </c>
      <c r="F17" s="28">
        <f t="shared" si="1"/>
        <v>0.157</v>
      </c>
      <c r="G17" s="22">
        <f>E17*F17</f>
        <v>21.195</v>
      </c>
      <c r="H17" s="22">
        <f t="shared" si="2"/>
        <v>0</v>
      </c>
      <c r="I17" s="23">
        <f t="shared" si="0"/>
        <v>0</v>
      </c>
      <c r="J17" s="23"/>
      <c r="K17" s="108">
        <f t="shared" si="4"/>
        <v>0.15798906676635904</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6" si="5">G18/$G$46</f>
        <v>0.55508544211580146</v>
      </c>
      <c r="K18" s="62">
        <f t="shared" si="4"/>
        <v>0.54519086309466869</v>
      </c>
    </row>
    <row r="19" spans="1:11" x14ac:dyDescent="0.2">
      <c r="A19" s="107" t="s">
        <v>38</v>
      </c>
      <c r="B19" s="73">
        <v>1</v>
      </c>
      <c r="C19" s="78">
        <f>VLOOKUP($B$3,'Data for Bill Impacts'!$A$6:$Y$18,7,0)</f>
        <v>24.78</v>
      </c>
      <c r="D19" s="22">
        <f>B19*C19</f>
        <v>24.78</v>
      </c>
      <c r="E19" s="73">
        <f t="shared" ref="E19:E41" si="6">B19</f>
        <v>1</v>
      </c>
      <c r="F19" s="78">
        <f>VLOOKUP($B$3,'Data for Bill Impacts'!$A$6:$Y$18,17,0)</f>
        <v>27.71</v>
      </c>
      <c r="G19" s="22">
        <f>E19*F19</f>
        <v>27.71</v>
      </c>
      <c r="H19" s="22">
        <f t="shared" si="2"/>
        <v>2.9299999999999997</v>
      </c>
      <c r="I19" s="23">
        <f>IF(ISERROR(H19/ABS(D19)),"N/A",(H19/ABS(D19)))</f>
        <v>0.11824051654560128</v>
      </c>
      <c r="J19" s="23">
        <f t="shared" si="5"/>
        <v>0.21030103364819328</v>
      </c>
      <c r="K19" s="108">
        <f t="shared" si="4"/>
        <v>0.20655234914346821</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0.72</v>
      </c>
      <c r="D21" s="22">
        <f t="shared" si="7"/>
        <v>0.72</v>
      </c>
      <c r="E21" s="73">
        <f t="shared" si="6"/>
        <v>1</v>
      </c>
      <c r="F21" s="121">
        <f>VLOOKUP($B$3,'Data for Bill Impacts'!$A$6:$Y$18,22,0)</f>
        <v>7.0000000000000001E-3</v>
      </c>
      <c r="G21" s="22">
        <f t="shared" si="8"/>
        <v>7.0000000000000001E-3</v>
      </c>
      <c r="H21" s="22">
        <f t="shared" si="2"/>
        <v>-0.71299999999999997</v>
      </c>
      <c r="I21" s="23">
        <f t="shared" si="9"/>
        <v>-0.99027777777777781</v>
      </c>
      <c r="J21" s="23">
        <f t="shared" si="5"/>
        <v>5.3125486666811726E-5</v>
      </c>
      <c r="K21" s="108">
        <f t="shared" si="4"/>
        <v>5.2178507542557835E-5</v>
      </c>
    </row>
    <row r="22" spans="1:11" hidden="1" x14ac:dyDescent="0.2">
      <c r="A22" s="107" t="s">
        <v>123</v>
      </c>
      <c r="B22" s="73">
        <f>B4</f>
        <v>750</v>
      </c>
      <c r="C22" s="78">
        <v>0</v>
      </c>
      <c r="D22" s="22">
        <f>B22*C22</f>
        <v>0</v>
      </c>
      <c r="E22" s="73">
        <f>B22</f>
        <v>750</v>
      </c>
      <c r="F22" s="78">
        <f>C22</f>
        <v>0</v>
      </c>
      <c r="G22" s="22">
        <f>E22*F22</f>
        <v>0</v>
      </c>
      <c r="H22" s="22">
        <f>G22-D22</f>
        <v>0</v>
      </c>
      <c r="I22" s="23" t="str">
        <f t="shared" si="9"/>
        <v>N/A</v>
      </c>
      <c r="J22" s="23">
        <f t="shared" si="5"/>
        <v>0</v>
      </c>
      <c r="K22" s="108">
        <f t="shared" si="4"/>
        <v>0</v>
      </c>
    </row>
    <row r="23" spans="1:11" x14ac:dyDescent="0.2">
      <c r="A23" s="107" t="s">
        <v>39</v>
      </c>
      <c r="B23" s="73">
        <f>IF($B$9="kWh",$B$4,$B$5)</f>
        <v>750</v>
      </c>
      <c r="C23" s="78">
        <f>VLOOKUP($B$3,'Data for Bill Impacts'!$A$6:$Y$18,10,0)</f>
        <v>9.4000000000000004E-3</v>
      </c>
      <c r="D23" s="22">
        <f>B23*C23</f>
        <v>7.0500000000000007</v>
      </c>
      <c r="E23" s="73">
        <f t="shared" si="6"/>
        <v>750</v>
      </c>
      <c r="F23" s="78">
        <f>VLOOKUP($B$3,'Data for Bill Impacts'!$A$6:$Y$18,19,0)</f>
        <v>7.7999999999999996E-3</v>
      </c>
      <c r="G23" s="22">
        <f>E23*F23</f>
        <v>5.85</v>
      </c>
      <c r="H23" s="22">
        <f t="shared" si="2"/>
        <v>-1.2000000000000011</v>
      </c>
      <c r="I23" s="23">
        <f t="shared" si="9"/>
        <v>-0.17021276595744694</v>
      </c>
      <c r="J23" s="23">
        <f t="shared" si="5"/>
        <v>4.439772814297837E-2</v>
      </c>
      <c r="K23" s="108">
        <f t="shared" si="4"/>
        <v>4.3606324160566187E-2</v>
      </c>
    </row>
    <row r="24" spans="1:11" x14ac:dyDescent="0.2">
      <c r="A24" s="107" t="s">
        <v>124</v>
      </c>
      <c r="B24" s="73">
        <f>IF($B$9="kWh",$B$4,$B$5)</f>
        <v>750</v>
      </c>
      <c r="C24" s="78">
        <f>VLOOKUP($B$3,'Data for Bill Impacts'!$A$6:$Y$18,14,0)</f>
        <v>-2.9999999999999997E-4</v>
      </c>
      <c r="D24" s="22">
        <f>B24*C24</f>
        <v>-0.22499999999999998</v>
      </c>
      <c r="E24" s="73">
        <f>B24</f>
        <v>750</v>
      </c>
      <c r="F24" s="125">
        <f>VLOOKUP($B$3,'Data for Bill Impacts'!$A$6:$Y$18,23,0)</f>
        <v>3.0000000000000004E-5</v>
      </c>
      <c r="G24" s="22">
        <f>E24*F24</f>
        <v>2.2500000000000003E-2</v>
      </c>
      <c r="H24" s="22">
        <f>G24-D24</f>
        <v>0.24749999999999997</v>
      </c>
      <c r="I24" s="23">
        <f t="shared" si="9"/>
        <v>1.0999999999999999</v>
      </c>
      <c r="J24" s="23">
        <f t="shared" si="5"/>
        <v>1.7076049285760913E-4</v>
      </c>
      <c r="K24" s="108">
        <f t="shared" si="4"/>
        <v>1.6771663138679305E-4</v>
      </c>
    </row>
    <row r="25" spans="1:11" s="1" customFormat="1" x14ac:dyDescent="0.2">
      <c r="A25" s="110" t="s">
        <v>72</v>
      </c>
      <c r="B25" s="74"/>
      <c r="C25" s="35"/>
      <c r="D25" s="35">
        <f>SUM(D19:D24)</f>
        <v>32.324999999999996</v>
      </c>
      <c r="E25" s="73"/>
      <c r="F25" s="35"/>
      <c r="G25" s="35">
        <f>SUM(G19:G24)</f>
        <v>33.589500000000001</v>
      </c>
      <c r="H25" s="35">
        <f t="shared" si="2"/>
        <v>1.2645000000000053</v>
      </c>
      <c r="I25" s="36">
        <f t="shared" si="9"/>
        <v>3.9118329466357481E-2</v>
      </c>
      <c r="J25" s="36">
        <f t="shared" si="5"/>
        <v>0.25492264777069606</v>
      </c>
      <c r="K25" s="111">
        <f t="shared" si="4"/>
        <v>0.25037856844296374</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5.995590638111609E-3</v>
      </c>
      <c r="K26" s="108">
        <f t="shared" si="4"/>
        <v>5.888717279802955E-3</v>
      </c>
    </row>
    <row r="27" spans="1:11" s="1" customFormat="1" x14ac:dyDescent="0.2">
      <c r="A27" s="119" t="s">
        <v>75</v>
      </c>
      <c r="B27" s="120">
        <f>B8-B4</f>
        <v>42.75</v>
      </c>
      <c r="C27" s="176">
        <f>IF(B4&gt;B7,C13,C12)</f>
        <v>0.106</v>
      </c>
      <c r="D27" s="22">
        <f>B27*C27</f>
        <v>4.5315000000000003</v>
      </c>
      <c r="E27" s="73">
        <f>B27</f>
        <v>42.75</v>
      </c>
      <c r="F27" s="176">
        <f>C27</f>
        <v>0.106</v>
      </c>
      <c r="G27" s="22">
        <f>E27*F27</f>
        <v>4.5315000000000003</v>
      </c>
      <c r="H27" s="22">
        <f t="shared" si="2"/>
        <v>0</v>
      </c>
      <c r="I27" s="23">
        <f t="shared" si="9"/>
        <v>0</v>
      </c>
      <c r="J27" s="23">
        <f t="shared" ref="J27:J46" si="10">G27/$G$46</f>
        <v>3.439116326152248E-2</v>
      </c>
      <c r="K27" s="108">
        <f t="shared" ref="K27:K41" si="11">G27/$G$51</f>
        <v>3.3778129561300115E-2</v>
      </c>
    </row>
    <row r="28" spans="1:11" s="1" customFormat="1" x14ac:dyDescent="0.2">
      <c r="A28" s="119" t="s">
        <v>74</v>
      </c>
      <c r="B28" s="120">
        <f>B8-B4</f>
        <v>42.75</v>
      </c>
      <c r="C28" s="176">
        <f>0.65*C15+0.17*C16+0.18*C17</f>
        <v>9.7519999999999996E-2</v>
      </c>
      <c r="D28" s="22">
        <f>B28*C28</f>
        <v>4.1689799999999995</v>
      </c>
      <c r="E28" s="73">
        <f>B28</f>
        <v>42.75</v>
      </c>
      <c r="F28" s="176">
        <f>C28</f>
        <v>9.7519999999999996E-2</v>
      </c>
      <c r="G28" s="22">
        <f>E28*F28</f>
        <v>4.1689799999999995</v>
      </c>
      <c r="H28" s="22">
        <f t="shared" si="2"/>
        <v>0</v>
      </c>
      <c r="I28" s="23">
        <f t="shared" si="9"/>
        <v>0</v>
      </c>
      <c r="J28" s="23">
        <f t="shared" si="10"/>
        <v>3.1639870200600675E-2</v>
      </c>
      <c r="K28" s="108">
        <f t="shared" si="11"/>
        <v>3.1075879196396101E-2</v>
      </c>
    </row>
    <row r="29" spans="1:11" s="1" customFormat="1" x14ac:dyDescent="0.2">
      <c r="A29" s="110" t="s">
        <v>78</v>
      </c>
      <c r="B29" s="74"/>
      <c r="C29" s="35"/>
      <c r="D29" s="35">
        <f>SUM(D25,D26:D27)</f>
        <v>37.646499999999996</v>
      </c>
      <c r="E29" s="73"/>
      <c r="F29" s="35"/>
      <c r="G29" s="35">
        <f>SUM(G25,G26:G27)</f>
        <v>38.911000000000001</v>
      </c>
      <c r="H29" s="35">
        <f t="shared" si="2"/>
        <v>1.2645000000000053</v>
      </c>
      <c r="I29" s="36">
        <f t="shared" si="9"/>
        <v>3.3588779833450794E-2</v>
      </c>
      <c r="J29" s="36">
        <f t="shared" si="10"/>
        <v>0.29530940167033015</v>
      </c>
      <c r="K29" s="111">
        <f t="shared" si="11"/>
        <v>0.29004541528406685</v>
      </c>
    </row>
    <row r="30" spans="1:11" s="1" customFormat="1" x14ac:dyDescent="0.2">
      <c r="A30" s="110" t="s">
        <v>77</v>
      </c>
      <c r="B30" s="74"/>
      <c r="C30" s="35"/>
      <c r="D30" s="35">
        <f>SUM(D25,D26,D28)</f>
        <v>37.283979999999993</v>
      </c>
      <c r="E30" s="73"/>
      <c r="F30" s="35"/>
      <c r="G30" s="35">
        <f>SUM(G25,G26,G28)</f>
        <v>38.548479999999998</v>
      </c>
      <c r="H30" s="35">
        <f t="shared" si="2"/>
        <v>1.2645000000000053</v>
      </c>
      <c r="I30" s="36">
        <f t="shared" si="9"/>
        <v>3.3915370622986211E-2</v>
      </c>
      <c r="J30" s="36">
        <f t="shared" si="10"/>
        <v>0.29255810860940834</v>
      </c>
      <c r="K30" s="111">
        <f t="shared" si="11"/>
        <v>0.28734316491916279</v>
      </c>
    </row>
    <row r="31" spans="1:11" x14ac:dyDescent="0.2">
      <c r="A31" s="107" t="s">
        <v>40</v>
      </c>
      <c r="B31" s="73">
        <f>B8</f>
        <v>792.75</v>
      </c>
      <c r="C31" s="78">
        <f>VLOOKUP($B$3,'Data for Bill Impacts'!$A$6:$Y$18,15,0)</f>
        <v>6.7000000000000002E-3</v>
      </c>
      <c r="D31" s="22">
        <f>B31*C31</f>
        <v>5.3114249999999998</v>
      </c>
      <c r="E31" s="73">
        <f t="shared" si="6"/>
        <v>792.75</v>
      </c>
      <c r="F31" s="125">
        <f>VLOOKUP($B$3,'Data for Bill Impacts'!$A$6:$Y$18,24,0)</f>
        <v>7.8279999999999999E-3</v>
      </c>
      <c r="G31" s="22">
        <f>E31*F31</f>
        <v>6.2056469999999999</v>
      </c>
      <c r="H31" s="22">
        <f t="shared" si="2"/>
        <v>0.89422200000000007</v>
      </c>
      <c r="I31" s="23">
        <f t="shared" si="9"/>
        <v>0.16835820895522391</v>
      </c>
      <c r="J31" s="23">
        <f t="shared" si="10"/>
        <v>4.7096859565348599E-2</v>
      </c>
      <c r="K31" s="108">
        <f t="shared" si="11"/>
        <v>4.6257342685135913E-2</v>
      </c>
    </row>
    <row r="32" spans="1:11" x14ac:dyDescent="0.2">
      <c r="A32" s="107" t="s">
        <v>41</v>
      </c>
      <c r="B32" s="73">
        <f>B8</f>
        <v>792.75</v>
      </c>
      <c r="C32" s="78">
        <f>VLOOKUP($B$3,'Data for Bill Impacts'!$A$6:$Y$18,16,0)</f>
        <v>4.7000000000000002E-3</v>
      </c>
      <c r="D32" s="22">
        <f>B32*C32</f>
        <v>3.7259250000000002</v>
      </c>
      <c r="E32" s="73">
        <f t="shared" si="6"/>
        <v>792.75</v>
      </c>
      <c r="F32" s="125">
        <f>VLOOKUP($B$3,'Data for Bill Impacts'!$A$6:$Y$18,25,0)</f>
        <v>6.4380000000000001E-3</v>
      </c>
      <c r="G32" s="22">
        <f>E32*F32</f>
        <v>5.1037245000000002</v>
      </c>
      <c r="H32" s="22">
        <f t="shared" si="2"/>
        <v>1.3777995000000001</v>
      </c>
      <c r="I32" s="23">
        <f t="shared" si="9"/>
        <v>0.3697872340425532</v>
      </c>
      <c r="J32" s="23">
        <f t="shared" si="10"/>
        <v>3.8733978267975762E-2</v>
      </c>
      <c r="K32" s="108">
        <f t="shared" si="11"/>
        <v>3.8043532474055314E-2</v>
      </c>
    </row>
    <row r="33" spans="1:11" s="1" customFormat="1" x14ac:dyDescent="0.2">
      <c r="A33" s="110" t="s">
        <v>76</v>
      </c>
      <c r="B33" s="74"/>
      <c r="C33" s="35"/>
      <c r="D33" s="35">
        <f>SUM(D31:D32)</f>
        <v>9.03735</v>
      </c>
      <c r="E33" s="73"/>
      <c r="F33" s="35"/>
      <c r="G33" s="35">
        <f>SUM(G31:G32)</f>
        <v>11.309371500000001</v>
      </c>
      <c r="H33" s="35">
        <f t="shared" si="2"/>
        <v>2.272021500000001</v>
      </c>
      <c r="I33" s="36">
        <f t="shared" si="9"/>
        <v>0.25140350877192996</v>
      </c>
      <c r="J33" s="36">
        <f t="shared" si="10"/>
        <v>8.5830837833324375E-2</v>
      </c>
      <c r="K33" s="111">
        <f t="shared" si="11"/>
        <v>8.4300875159191227E-2</v>
      </c>
    </row>
    <row r="34" spans="1:11" s="1" customFormat="1" x14ac:dyDescent="0.2">
      <c r="A34" s="110" t="s">
        <v>91</v>
      </c>
      <c r="B34" s="74"/>
      <c r="C34" s="35"/>
      <c r="D34" s="35">
        <f>D29+D33</f>
        <v>46.683849999999993</v>
      </c>
      <c r="E34" s="73"/>
      <c r="F34" s="35"/>
      <c r="G34" s="35">
        <f>G29+G33</f>
        <v>50.220371499999999</v>
      </c>
      <c r="H34" s="35">
        <f t="shared" si="2"/>
        <v>3.5365215000000063</v>
      </c>
      <c r="I34" s="36">
        <f t="shared" si="9"/>
        <v>7.5754709605141968E-2</v>
      </c>
      <c r="J34" s="36">
        <f t="shared" si="10"/>
        <v>0.3811402395036545</v>
      </c>
      <c r="K34" s="111">
        <f t="shared" si="11"/>
        <v>0.37434629044325801</v>
      </c>
    </row>
    <row r="35" spans="1:11" s="1" customFormat="1" x14ac:dyDescent="0.2">
      <c r="A35" s="110" t="s">
        <v>92</v>
      </c>
      <c r="B35" s="74"/>
      <c r="C35" s="35"/>
      <c r="D35" s="35">
        <f>D30+D33</f>
        <v>46.321329999999989</v>
      </c>
      <c r="E35" s="73"/>
      <c r="F35" s="35"/>
      <c r="G35" s="35">
        <f>G30+G33</f>
        <v>49.857851499999995</v>
      </c>
      <c r="H35" s="35">
        <f t="shared" si="2"/>
        <v>3.5365215000000063</v>
      </c>
      <c r="I35" s="36">
        <f t="shared" si="9"/>
        <v>7.634758112515351E-2</v>
      </c>
      <c r="J35" s="36">
        <f t="shared" si="10"/>
        <v>0.37838894644273269</v>
      </c>
      <c r="K35" s="111">
        <f t="shared" si="11"/>
        <v>0.371644040078354</v>
      </c>
    </row>
    <row r="36" spans="1:11" x14ac:dyDescent="0.2">
      <c r="A36" s="107" t="s">
        <v>42</v>
      </c>
      <c r="B36" s="73">
        <f>B8</f>
        <v>792.75</v>
      </c>
      <c r="C36" s="34">
        <v>3.5999999999999999E-3</v>
      </c>
      <c r="D36" s="22">
        <f>B36*C36</f>
        <v>2.8538999999999999</v>
      </c>
      <c r="E36" s="73">
        <f t="shared" si="6"/>
        <v>792.75</v>
      </c>
      <c r="F36" s="34">
        <v>3.5999999999999999E-3</v>
      </c>
      <c r="G36" s="22">
        <f>E36*F36</f>
        <v>2.8538999999999999</v>
      </c>
      <c r="H36" s="22">
        <f t="shared" si="2"/>
        <v>0</v>
      </c>
      <c r="I36" s="23">
        <f t="shared" si="9"/>
        <v>0</v>
      </c>
      <c r="J36" s="23">
        <f t="shared" si="10"/>
        <v>2.1659260914059141E-2</v>
      </c>
      <c r="K36" s="108">
        <f t="shared" si="11"/>
        <v>2.1273177525100828E-2</v>
      </c>
    </row>
    <row r="37" spans="1:11" x14ac:dyDescent="0.2">
      <c r="A37" s="107" t="s">
        <v>43</v>
      </c>
      <c r="B37" s="73">
        <f>B8</f>
        <v>792.75</v>
      </c>
      <c r="C37" s="34">
        <v>2.0999999999999999E-3</v>
      </c>
      <c r="D37" s="22">
        <f>B37*C37</f>
        <v>1.6647749999999999</v>
      </c>
      <c r="E37" s="73">
        <f t="shared" si="6"/>
        <v>792.75</v>
      </c>
      <c r="F37" s="34">
        <v>2.0999999999999999E-3</v>
      </c>
      <c r="G37" s="22">
        <f>E37*F37</f>
        <v>1.6647749999999999</v>
      </c>
      <c r="H37" s="22">
        <f>G37-D37</f>
        <v>0</v>
      </c>
      <c r="I37" s="23">
        <f t="shared" si="9"/>
        <v>0</v>
      </c>
      <c r="J37" s="23">
        <f t="shared" si="10"/>
        <v>1.2634568866534497E-2</v>
      </c>
      <c r="K37" s="108">
        <f t="shared" si="11"/>
        <v>1.2409353556308815E-2</v>
      </c>
    </row>
    <row r="38" spans="1:11" x14ac:dyDescent="0.2">
      <c r="A38" s="107" t="s">
        <v>96</v>
      </c>
      <c r="B38" s="73">
        <f>B8</f>
        <v>792.75</v>
      </c>
      <c r="C38" s="34">
        <v>0</v>
      </c>
      <c r="D38" s="22">
        <f>B38*C38</f>
        <v>0</v>
      </c>
      <c r="E38" s="73">
        <f t="shared" si="6"/>
        <v>792.75</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1.8973388095289902E-3</v>
      </c>
      <c r="K39" s="108">
        <f t="shared" si="11"/>
        <v>1.8635181265199226E-3</v>
      </c>
    </row>
    <row r="40" spans="1:11" s="1" customFormat="1" x14ac:dyDescent="0.2">
      <c r="A40" s="110" t="s">
        <v>45</v>
      </c>
      <c r="B40" s="74"/>
      <c r="C40" s="35"/>
      <c r="D40" s="35">
        <f>SUM(D36:D39)</f>
        <v>4.768675</v>
      </c>
      <c r="E40" s="73"/>
      <c r="F40" s="35"/>
      <c r="G40" s="35">
        <f>SUM(G36:G39)</f>
        <v>4.768675</v>
      </c>
      <c r="H40" s="35">
        <f t="shared" si="2"/>
        <v>0</v>
      </c>
      <c r="I40" s="36">
        <f t="shared" si="9"/>
        <v>0</v>
      </c>
      <c r="J40" s="36">
        <f t="shared" si="10"/>
        <v>3.6191168590122627E-2</v>
      </c>
      <c r="K40" s="111">
        <f t="shared" si="11"/>
        <v>3.5546049207929566E-2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121.95252499999999</v>
      </c>
      <c r="E42" s="38"/>
      <c r="F42" s="39"/>
      <c r="G42" s="39">
        <f>SUM(G14,G25,G26,G27,G33,G40,G41)</f>
        <v>125.4890465</v>
      </c>
      <c r="H42" s="39">
        <f t="shared" si="2"/>
        <v>3.5365215000000063</v>
      </c>
      <c r="I42" s="40">
        <f t="shared" si="9"/>
        <v>2.899916586392948E-2</v>
      </c>
      <c r="J42" s="40">
        <f t="shared" si="10"/>
        <v>0.95238095238095244</v>
      </c>
      <c r="K42" s="41"/>
    </row>
    <row r="43" spans="1:11" x14ac:dyDescent="0.2">
      <c r="A43" s="153" t="s">
        <v>106</v>
      </c>
      <c r="B43" s="43"/>
      <c r="C43" s="26">
        <v>0.13</v>
      </c>
      <c r="D43" s="26">
        <f>D42*C43</f>
        <v>15.853828249999999</v>
      </c>
      <c r="E43" s="26"/>
      <c r="F43" s="26">
        <f>C43</f>
        <v>0.13</v>
      </c>
      <c r="G43" s="26">
        <f>G42*F43</f>
        <v>16.313576045000001</v>
      </c>
      <c r="H43" s="26">
        <f t="shared" si="2"/>
        <v>0.45974779500000196</v>
      </c>
      <c r="I43" s="44">
        <f t="shared" si="9"/>
        <v>2.899916586392955E-2</v>
      </c>
      <c r="J43" s="44">
        <f t="shared" si="10"/>
        <v>0.12380952380952381</v>
      </c>
      <c r="K43" s="45"/>
    </row>
    <row r="44" spans="1:11" s="1" customFormat="1" x14ac:dyDescent="0.2">
      <c r="A44" s="46" t="s">
        <v>107</v>
      </c>
      <c r="B44" s="24"/>
      <c r="C44" s="25"/>
      <c r="D44" s="25">
        <f>SUM(D42:D43)</f>
        <v>137.80635325</v>
      </c>
      <c r="E44" s="25"/>
      <c r="F44" s="25"/>
      <c r="G44" s="25">
        <f>SUM(G42:G43)</f>
        <v>141.80262254499999</v>
      </c>
      <c r="H44" s="25">
        <f t="shared" si="2"/>
        <v>3.9962692949999905</v>
      </c>
      <c r="I44" s="27">
        <f t="shared" si="9"/>
        <v>2.8999165863929359E-2</v>
      </c>
      <c r="J44" s="27">
        <f t="shared" si="10"/>
        <v>1.0761904761904761</v>
      </c>
      <c r="K44" s="47"/>
    </row>
    <row r="45" spans="1:11" x14ac:dyDescent="0.2">
      <c r="A45" s="42" t="s">
        <v>108</v>
      </c>
      <c r="B45" s="43"/>
      <c r="C45" s="26">
        <v>-0.08</v>
      </c>
      <c r="D45" s="26">
        <f>D42*C45</f>
        <v>-9.756202</v>
      </c>
      <c r="E45" s="26"/>
      <c r="F45" s="26">
        <f>C45</f>
        <v>-0.08</v>
      </c>
      <c r="G45" s="26">
        <f>G42*F45</f>
        <v>-10.039123720000001</v>
      </c>
      <c r="H45" s="26">
        <f t="shared" si="2"/>
        <v>-0.28292172000000093</v>
      </c>
      <c r="I45" s="44">
        <f t="shared" si="9"/>
        <v>-2.8999165863929522E-2</v>
      </c>
      <c r="J45" s="44">
        <f t="shared" si="10"/>
        <v>-7.6190476190476197E-2</v>
      </c>
      <c r="K45" s="45"/>
    </row>
    <row r="46" spans="1:11" s="1" customFormat="1" ht="13.5" thickBot="1" x14ac:dyDescent="0.25">
      <c r="A46" s="48" t="s">
        <v>109</v>
      </c>
      <c r="B46" s="49"/>
      <c r="C46" s="50"/>
      <c r="D46" s="50">
        <f>SUM(D44:D45)</f>
        <v>128.05015125</v>
      </c>
      <c r="E46" s="50"/>
      <c r="F46" s="50"/>
      <c r="G46" s="50">
        <f>SUM(G44:G45)</f>
        <v>131.763498825</v>
      </c>
      <c r="H46" s="50">
        <f t="shared" si="2"/>
        <v>3.7133475750000002</v>
      </c>
      <c r="I46" s="51">
        <f t="shared" si="9"/>
        <v>2.8999165863929428E-2</v>
      </c>
      <c r="J46" s="51">
        <f t="shared" si="10"/>
        <v>1</v>
      </c>
      <c r="K46" s="52"/>
    </row>
    <row r="47" spans="1:11" x14ac:dyDescent="0.2">
      <c r="A47" s="53" t="s">
        <v>110</v>
      </c>
      <c r="B47" s="54"/>
      <c r="C47" s="55"/>
      <c r="D47" s="55">
        <f>SUM(D18,D25,D26,D28,D33,D40,D41)</f>
        <v>124.23000500000002</v>
      </c>
      <c r="E47" s="55"/>
      <c r="F47" s="55"/>
      <c r="G47" s="55">
        <f>SUM(G18,G25,G26,G28,G33,G40,G41)</f>
        <v>127.76652650000003</v>
      </c>
      <c r="H47" s="55">
        <f>G47-D47</f>
        <v>3.5365215000000063</v>
      </c>
      <c r="I47" s="56">
        <f t="shared" si="9"/>
        <v>2.8467530851343084E-2</v>
      </c>
      <c r="J47" s="56"/>
      <c r="K47" s="57">
        <f>G47/$G$51</f>
        <v>0.95238095238095233</v>
      </c>
    </row>
    <row r="48" spans="1:11" x14ac:dyDescent="0.2">
      <c r="A48" s="154" t="s">
        <v>106</v>
      </c>
      <c r="B48" s="59"/>
      <c r="C48" s="31">
        <v>0.13</v>
      </c>
      <c r="D48" s="31">
        <f>D47*C48</f>
        <v>16.149900650000003</v>
      </c>
      <c r="E48" s="31"/>
      <c r="F48" s="31">
        <f>C48</f>
        <v>0.13</v>
      </c>
      <c r="G48" s="31">
        <f>G47*F48</f>
        <v>16.609648445000005</v>
      </c>
      <c r="H48" s="31">
        <f>G48-D48</f>
        <v>0.45974779500000196</v>
      </c>
      <c r="I48" s="32">
        <f t="shared" si="9"/>
        <v>2.8467530851343154E-2</v>
      </c>
      <c r="J48" s="32"/>
      <c r="K48" s="60">
        <f>G48/$G$51</f>
        <v>0.12380952380952381</v>
      </c>
    </row>
    <row r="49" spans="1:11" x14ac:dyDescent="0.2">
      <c r="A49" s="61" t="s">
        <v>111</v>
      </c>
      <c r="B49" s="29"/>
      <c r="C49" s="30"/>
      <c r="D49" s="30">
        <f>SUM(D47:D48)</f>
        <v>140.37990565000001</v>
      </c>
      <c r="E49" s="30"/>
      <c r="F49" s="30"/>
      <c r="G49" s="30">
        <f>SUM(G47:G48)</f>
        <v>144.37617494500003</v>
      </c>
      <c r="H49" s="30">
        <f>G49-D49</f>
        <v>3.9962692950000189</v>
      </c>
      <c r="I49" s="33">
        <f t="shared" si="9"/>
        <v>2.8467530851343171E-2</v>
      </c>
      <c r="J49" s="33"/>
      <c r="K49" s="62">
        <f>G49/$G$51</f>
        <v>1.0761904761904761</v>
      </c>
    </row>
    <row r="50" spans="1:11" x14ac:dyDescent="0.2">
      <c r="A50" s="58" t="s">
        <v>108</v>
      </c>
      <c r="B50" s="59"/>
      <c r="C50" s="31">
        <v>-0.08</v>
      </c>
      <c r="D50" s="31">
        <f>D47*C50</f>
        <v>-9.9384004000000026</v>
      </c>
      <c r="E50" s="31"/>
      <c r="F50" s="31">
        <f>C50</f>
        <v>-0.08</v>
      </c>
      <c r="G50" s="31">
        <f>G47*F50</f>
        <v>-10.221322120000002</v>
      </c>
      <c r="H50" s="31">
        <f>G50-D50</f>
        <v>-0.28292171999999915</v>
      </c>
      <c r="I50" s="32">
        <f t="shared" si="9"/>
        <v>-2.8467530851342945E-2</v>
      </c>
      <c r="J50" s="32"/>
      <c r="K50" s="60">
        <f>G50/$G$51</f>
        <v>-7.6190476190476183E-2</v>
      </c>
    </row>
    <row r="51" spans="1:11" ht="13.5" thickBot="1" x14ac:dyDescent="0.25">
      <c r="A51" s="63" t="s">
        <v>121</v>
      </c>
      <c r="B51" s="64"/>
      <c r="C51" s="65"/>
      <c r="D51" s="65">
        <f>SUM(D49:D50)</f>
        <v>130.44150525000001</v>
      </c>
      <c r="E51" s="65"/>
      <c r="F51" s="65"/>
      <c r="G51" s="65">
        <f>SUM(G49:G50)</f>
        <v>134.15485282500003</v>
      </c>
      <c r="H51" s="65">
        <f>G51-D51</f>
        <v>3.7133475750000287</v>
      </c>
      <c r="I51" s="66">
        <f t="shared" si="9"/>
        <v>2.8467530851343258E-2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1" tint="0.499984740745262"/>
    <pageSetUpPr fitToPage="1"/>
  </sheetPr>
  <dimension ref="A1:J47"/>
  <sheetViews>
    <sheetView tabSelected="1" view="pageLayout" topLeftCell="A10"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101</v>
      </c>
      <c r="B1" s="191"/>
      <c r="C1" s="191"/>
      <c r="D1" s="191"/>
      <c r="E1" s="191"/>
      <c r="F1" s="191"/>
      <c r="G1" s="191"/>
      <c r="H1" s="191"/>
      <c r="I1" s="191"/>
      <c r="J1" s="192"/>
    </row>
    <row r="3" spans="1:10" x14ac:dyDescent="0.2">
      <c r="A3" s="13" t="s">
        <v>13</v>
      </c>
      <c r="B3" s="13" t="s">
        <v>12</v>
      </c>
    </row>
    <row r="4" spans="1:10" x14ac:dyDescent="0.2">
      <c r="A4" s="15" t="s">
        <v>62</v>
      </c>
      <c r="B4" s="15">
        <v>1000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1092</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27" si="1">G12/$G$36</f>
        <v>0.34118696741370508</v>
      </c>
    </row>
    <row r="13" spans="1:10" x14ac:dyDescent="0.2">
      <c r="A13" s="107" t="s">
        <v>32</v>
      </c>
      <c r="B13" s="73">
        <f>IF(B4&gt;B7,(B4)-B7,0)</f>
        <v>250</v>
      </c>
      <c r="C13" s="21">
        <v>0.106</v>
      </c>
      <c r="D13" s="22">
        <f>B13*C13</f>
        <v>26.5</v>
      </c>
      <c r="E13" s="73">
        <f t="shared" ref="E13" si="2">B13</f>
        <v>250</v>
      </c>
      <c r="F13" s="21">
        <f>C13</f>
        <v>0.106</v>
      </c>
      <c r="G13" s="22">
        <f>E13*F13</f>
        <v>26.5</v>
      </c>
      <c r="H13" s="22">
        <f t="shared" ref="H13:H36" si="3">G13-D13</f>
        <v>0</v>
      </c>
      <c r="I13" s="23">
        <f t="shared" si="0"/>
        <v>0</v>
      </c>
      <c r="J13" s="124">
        <f t="shared" si="1"/>
        <v>0.13247552580898439</v>
      </c>
    </row>
    <row r="14" spans="1:10" s="1" customFormat="1" x14ac:dyDescent="0.2">
      <c r="A14" s="46" t="s">
        <v>33</v>
      </c>
      <c r="B14" s="24"/>
      <c r="C14" s="25"/>
      <c r="D14" s="25">
        <f>SUM(D12:D13)</f>
        <v>94.75</v>
      </c>
      <c r="E14" s="76"/>
      <c r="F14" s="25"/>
      <c r="G14" s="25">
        <f>SUM(G12:G13)</f>
        <v>94.75</v>
      </c>
      <c r="H14" s="25">
        <f t="shared" si="3"/>
        <v>0</v>
      </c>
      <c r="I14" s="27">
        <f t="shared" si="0"/>
        <v>0</v>
      </c>
      <c r="J14" s="47">
        <f t="shared" si="1"/>
        <v>0.47366249322268944</v>
      </c>
    </row>
    <row r="15" spans="1:10" x14ac:dyDescent="0.2">
      <c r="A15" s="107" t="s">
        <v>38</v>
      </c>
      <c r="B15" s="73">
        <v>1</v>
      </c>
      <c r="C15" s="78">
        <f>VLOOKUP($B$3,'Data for Bill Impacts'!$A$6:$Y$18,7,0)</f>
        <v>35.18</v>
      </c>
      <c r="D15" s="22">
        <f>B15*C15</f>
        <v>35.18</v>
      </c>
      <c r="E15" s="73">
        <f t="shared" ref="E15:E31" si="4">B15</f>
        <v>1</v>
      </c>
      <c r="F15" s="78">
        <f>VLOOKUP($B$3,'Data for Bill Impacts'!$A$6:$Y$18,17,0)</f>
        <v>34.76</v>
      </c>
      <c r="G15" s="22">
        <f>E15*F15</f>
        <v>34.76</v>
      </c>
      <c r="H15" s="22">
        <f t="shared" si="3"/>
        <v>-0.42000000000000171</v>
      </c>
      <c r="I15" s="23">
        <f t="shared" si="0"/>
        <v>-1.1938601478112612E-2</v>
      </c>
      <c r="J15" s="124">
        <f t="shared" si="1"/>
        <v>0.17376789724982253</v>
      </c>
    </row>
    <row r="16" spans="1:10" x14ac:dyDescent="0.2">
      <c r="A16" s="107" t="s">
        <v>85</v>
      </c>
      <c r="B16" s="73">
        <v>1</v>
      </c>
      <c r="C16" s="78">
        <f>VLOOKUP($B$3,'Data for Bill Impacts'!$A$6:$Y$18,13,0)</f>
        <v>0.51</v>
      </c>
      <c r="D16" s="22">
        <f t="shared" ref="D16" si="5">B16*C16</f>
        <v>0.51</v>
      </c>
      <c r="E16" s="73">
        <f t="shared" si="4"/>
        <v>1</v>
      </c>
      <c r="F16" s="121">
        <f>VLOOKUP($B$3,'Data for Bill Impacts'!$A$6:$Y$18,22,0)</f>
        <v>2E-3</v>
      </c>
      <c r="G16" s="22">
        <f t="shared" ref="G16" si="6">E16*F16</f>
        <v>2E-3</v>
      </c>
      <c r="H16" s="22">
        <f t="shared" si="3"/>
        <v>-0.50800000000000001</v>
      </c>
      <c r="I16" s="23">
        <f t="shared" si="0"/>
        <v>-0.99607843137254903</v>
      </c>
      <c r="J16" s="124">
        <f t="shared" si="1"/>
        <v>9.9981528912441053E-6</v>
      </c>
    </row>
    <row r="17" spans="1:10" x14ac:dyDescent="0.2">
      <c r="A17" s="107" t="s">
        <v>39</v>
      </c>
      <c r="B17" s="73">
        <f>IF($B$9="kWh",$B$4,$B$5)</f>
        <v>1000</v>
      </c>
      <c r="C17" s="78">
        <f>VLOOKUP($B$3,'Data for Bill Impacts'!$A$6:$Y$18,10,0)</f>
        <v>2.8500000000000001E-2</v>
      </c>
      <c r="D17" s="22">
        <f>B17*C17</f>
        <v>28.5</v>
      </c>
      <c r="E17" s="73">
        <f t="shared" si="4"/>
        <v>1000</v>
      </c>
      <c r="F17" s="78">
        <f>VLOOKUP($B$3,'Data for Bill Impacts'!$A$6:$Y$18,19,0)</f>
        <v>2.8400000000000002E-2</v>
      </c>
      <c r="G17" s="22">
        <f>E17*F17</f>
        <v>28.400000000000002</v>
      </c>
      <c r="H17" s="22">
        <f t="shared" si="3"/>
        <v>-9.9999999999997868E-2</v>
      </c>
      <c r="I17" s="23">
        <f t="shared" si="0"/>
        <v>-3.5087719298244864E-3</v>
      </c>
      <c r="J17" s="124">
        <f t="shared" si="1"/>
        <v>0.1419737710556663</v>
      </c>
    </row>
    <row r="18" spans="1:10" s="1" customFormat="1" x14ac:dyDescent="0.2">
      <c r="A18" s="107" t="s">
        <v>124</v>
      </c>
      <c r="B18" s="73">
        <f>IF($B$9="kWh",$B$4,$B$5)</f>
        <v>1000</v>
      </c>
      <c r="C18" s="125">
        <f>VLOOKUP($B$3,'Data for Bill Impacts'!$A$6:$Y$18,14,0)</f>
        <v>-1E-4</v>
      </c>
      <c r="D18" s="22">
        <f>B18*C18</f>
        <v>-0.1</v>
      </c>
      <c r="E18" s="73">
        <f>B18</f>
        <v>1000</v>
      </c>
      <c r="F18" s="125">
        <f>VLOOKUP($B$3,'Data for Bill Impacts'!$A$6:$Y$18,23,0)</f>
        <v>2.0000000000000002E-5</v>
      </c>
      <c r="G18" s="22">
        <f>E18*F18</f>
        <v>0.02</v>
      </c>
      <c r="H18" s="22">
        <f>G18-D18</f>
        <v>0.12000000000000001</v>
      </c>
      <c r="I18" s="23">
        <f t="shared" si="0"/>
        <v>1.2</v>
      </c>
      <c r="J18" s="124">
        <f t="shared" si="1"/>
        <v>9.9981528912441043E-5</v>
      </c>
    </row>
    <row r="19" spans="1:10" x14ac:dyDescent="0.2">
      <c r="A19" s="110" t="s">
        <v>72</v>
      </c>
      <c r="B19" s="74"/>
      <c r="C19" s="35"/>
      <c r="D19" s="35">
        <f>SUM(D15:D18)</f>
        <v>64.09</v>
      </c>
      <c r="E19" s="73"/>
      <c r="F19" s="35"/>
      <c r="G19" s="35">
        <f>SUM(G15:G18)</f>
        <v>63.182000000000009</v>
      </c>
      <c r="H19" s="35">
        <f t="shared" si="3"/>
        <v>-0.90799999999999415</v>
      </c>
      <c r="I19" s="36">
        <f>IF(ISERROR(H19/ABS(D19)),"N/A",(H19/ABS(D19)))</f>
        <v>-1.4167576845061539E-2</v>
      </c>
      <c r="J19" s="111">
        <f t="shared" si="1"/>
        <v>0.31585164798729254</v>
      </c>
    </row>
    <row r="20" spans="1:10" s="1" customFormat="1" x14ac:dyDescent="0.2">
      <c r="A20" s="119" t="s">
        <v>81</v>
      </c>
      <c r="B20" s="120">
        <f>B8-B4</f>
        <v>92</v>
      </c>
      <c r="C20" s="176">
        <f>IF(B4&gt;B7,C13,C12)</f>
        <v>0.106</v>
      </c>
      <c r="D20" s="22">
        <f>B20*C20</f>
        <v>9.7519999999999989</v>
      </c>
      <c r="E20" s="73">
        <f>B20</f>
        <v>92</v>
      </c>
      <c r="F20" s="176">
        <f>C20</f>
        <v>0.106</v>
      </c>
      <c r="G20" s="22">
        <f>E20*F20</f>
        <v>9.7519999999999989</v>
      </c>
      <c r="H20" s="22">
        <f t="shared" si="3"/>
        <v>0</v>
      </c>
      <c r="I20" s="23">
        <f t="shared" ref="I20:I36" si="7">IF(ISERROR(H20/ABS(D20)),"N/A",(H20/ABS(D20)))</f>
        <v>0</v>
      </c>
      <c r="J20" s="124">
        <f t="shared" si="1"/>
        <v>4.8750993497706251E-2</v>
      </c>
    </row>
    <row r="21" spans="1:10" x14ac:dyDescent="0.2">
      <c r="A21" s="110" t="s">
        <v>79</v>
      </c>
      <c r="B21" s="74"/>
      <c r="C21" s="35"/>
      <c r="D21" s="35">
        <f>SUM(D19,D20:D20)</f>
        <v>73.841999999999999</v>
      </c>
      <c r="E21" s="73"/>
      <c r="F21" s="35"/>
      <c r="G21" s="35">
        <f>SUM(G19,G20:G20)</f>
        <v>72.934000000000012</v>
      </c>
      <c r="H21" s="35">
        <f t="shared" si="3"/>
        <v>-0.90799999999998704</v>
      </c>
      <c r="I21" s="36">
        <f t="shared" si="7"/>
        <v>-1.2296525012865132E-2</v>
      </c>
      <c r="J21" s="111">
        <f t="shared" si="1"/>
        <v>0.36460264148499882</v>
      </c>
    </row>
    <row r="22" spans="1:10" x14ac:dyDescent="0.2">
      <c r="A22" s="107" t="s">
        <v>40</v>
      </c>
      <c r="B22" s="73">
        <f>B8</f>
        <v>1092</v>
      </c>
      <c r="C22" s="78">
        <f>VLOOKUP($B$3,'Data for Bill Impacts'!$A$6:$Y$18,15,0)</f>
        <v>4.7000000000000002E-3</v>
      </c>
      <c r="D22" s="22">
        <f>B22*C22</f>
        <v>5.1324000000000005</v>
      </c>
      <c r="E22" s="73">
        <f t="shared" si="4"/>
        <v>1092</v>
      </c>
      <c r="F22" s="125">
        <f>VLOOKUP($B$3,'Data for Bill Impacts'!$A$6:$Y$18,24,0)</f>
        <v>4.7699999999999999E-3</v>
      </c>
      <c r="G22" s="22">
        <f>E22*F22</f>
        <v>5.2088400000000004</v>
      </c>
      <c r="H22" s="22">
        <f t="shared" si="3"/>
        <v>7.6439999999999841E-2</v>
      </c>
      <c r="I22" s="23">
        <f t="shared" si="7"/>
        <v>1.4893617021276563E-2</v>
      </c>
      <c r="J22" s="124">
        <f t="shared" si="1"/>
        <v>2.6039389353013972E-2</v>
      </c>
    </row>
    <row r="23" spans="1:10" s="1" customFormat="1" x14ac:dyDescent="0.2">
      <c r="A23" s="107" t="s">
        <v>41</v>
      </c>
      <c r="B23" s="73">
        <f>B8</f>
        <v>1092</v>
      </c>
      <c r="C23" s="78">
        <f>VLOOKUP($B$3,'Data for Bill Impacts'!$A$6:$Y$18,16,0)</f>
        <v>3.0999999999999999E-3</v>
      </c>
      <c r="D23" s="22">
        <f>B23*C23</f>
        <v>3.3851999999999998</v>
      </c>
      <c r="E23" s="73">
        <f t="shared" si="4"/>
        <v>1092</v>
      </c>
      <c r="F23" s="125">
        <f>VLOOKUP($B$3,'Data for Bill Impacts'!$A$6:$Y$18,25,0)</f>
        <v>3.7950000000000002E-3</v>
      </c>
      <c r="G23" s="22">
        <f>E23*F23</f>
        <v>4.1441400000000002</v>
      </c>
      <c r="H23" s="22">
        <f t="shared" si="3"/>
        <v>0.75894000000000039</v>
      </c>
      <c r="I23" s="23">
        <f t="shared" si="7"/>
        <v>0.2241935483870969</v>
      </c>
      <c r="J23" s="124">
        <f t="shared" si="1"/>
        <v>2.0716872661360172E-2</v>
      </c>
    </row>
    <row r="24" spans="1:10" s="1" customFormat="1" x14ac:dyDescent="0.2">
      <c r="A24" s="110" t="s">
        <v>76</v>
      </c>
      <c r="B24" s="74"/>
      <c r="C24" s="35"/>
      <c r="D24" s="35">
        <f>SUM(D22:D23)</f>
        <v>8.5175999999999998</v>
      </c>
      <c r="E24" s="73"/>
      <c r="F24" s="35"/>
      <c r="G24" s="35">
        <f>SUM(G22:G23)</f>
        <v>9.3529800000000005</v>
      </c>
      <c r="H24" s="35">
        <f t="shared" si="3"/>
        <v>0.83538000000000068</v>
      </c>
      <c r="I24" s="36">
        <f t="shared" si="7"/>
        <v>9.8076923076923159E-2</v>
      </c>
      <c r="J24" s="111">
        <f t="shared" si="1"/>
        <v>4.6756262014374148E-2</v>
      </c>
    </row>
    <row r="25" spans="1:10" s="1" customFormat="1" x14ac:dyDescent="0.2">
      <c r="A25" s="110" t="s">
        <v>80</v>
      </c>
      <c r="B25" s="74"/>
      <c r="C25" s="35"/>
      <c r="D25" s="35">
        <f>D21+D24</f>
        <v>82.3596</v>
      </c>
      <c r="E25" s="73"/>
      <c r="F25" s="35"/>
      <c r="G25" s="35">
        <f>G21+G24</f>
        <v>82.286980000000014</v>
      </c>
      <c r="H25" s="35">
        <f t="shared" si="3"/>
        <v>-7.2619999999986362E-2</v>
      </c>
      <c r="I25" s="36">
        <f t="shared" si="7"/>
        <v>-8.8174299049517441E-4</v>
      </c>
      <c r="J25" s="111">
        <f t="shared" si="1"/>
        <v>0.41135890349937299</v>
      </c>
    </row>
    <row r="26" spans="1:10" x14ac:dyDescent="0.2">
      <c r="A26" s="107" t="s">
        <v>42</v>
      </c>
      <c r="B26" s="73">
        <f>B8</f>
        <v>1092</v>
      </c>
      <c r="C26" s="34">
        <v>3.5999999999999999E-3</v>
      </c>
      <c r="D26" s="22">
        <f>B26*C26</f>
        <v>3.9312</v>
      </c>
      <c r="E26" s="73">
        <f t="shared" si="4"/>
        <v>1092</v>
      </c>
      <c r="F26" s="34">
        <v>3.5999999999999999E-3</v>
      </c>
      <c r="G26" s="22">
        <f>E26*F26</f>
        <v>3.9312</v>
      </c>
      <c r="H26" s="22">
        <f t="shared" si="3"/>
        <v>0</v>
      </c>
      <c r="I26" s="23">
        <f t="shared" si="7"/>
        <v>0</v>
      </c>
      <c r="J26" s="124">
        <f t="shared" si="1"/>
        <v>1.9652369323029412E-2</v>
      </c>
    </row>
    <row r="27" spans="1:10" s="1" customFormat="1" x14ac:dyDescent="0.2">
      <c r="A27" s="107" t="s">
        <v>43</v>
      </c>
      <c r="B27" s="73">
        <f>B8</f>
        <v>1092</v>
      </c>
      <c r="C27" s="34">
        <v>2.0999999999999999E-3</v>
      </c>
      <c r="D27" s="22">
        <f>B27*C27</f>
        <v>2.2931999999999997</v>
      </c>
      <c r="E27" s="73">
        <f t="shared" si="4"/>
        <v>1092</v>
      </c>
      <c r="F27" s="34">
        <v>2.0999999999999999E-3</v>
      </c>
      <c r="G27" s="22">
        <f>E27*F27</f>
        <v>2.2931999999999997</v>
      </c>
      <c r="H27" s="22">
        <f>G27-D27</f>
        <v>0</v>
      </c>
      <c r="I27" s="23">
        <f t="shared" si="7"/>
        <v>0</v>
      </c>
      <c r="J27" s="124">
        <f t="shared" si="1"/>
        <v>1.1463882105100489E-2</v>
      </c>
    </row>
    <row r="28" spans="1:10" s="1" customFormat="1" x14ac:dyDescent="0.2">
      <c r="A28" s="107" t="s">
        <v>96</v>
      </c>
      <c r="B28" s="73">
        <f>B8</f>
        <v>1092</v>
      </c>
      <c r="C28" s="34">
        <v>0</v>
      </c>
      <c r="D28" s="22">
        <f>B28*C28</f>
        <v>0</v>
      </c>
      <c r="E28" s="73">
        <f t="shared" si="4"/>
        <v>1092</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1.249769111405513E-3</v>
      </c>
    </row>
    <row r="30" spans="1:10" s="1" customFormat="1" x14ac:dyDescent="0.2">
      <c r="A30" s="110" t="s">
        <v>45</v>
      </c>
      <c r="B30" s="74"/>
      <c r="C30" s="35"/>
      <c r="D30" s="35">
        <f>SUM(D26:D29)</f>
        <v>6.4743999999999993</v>
      </c>
      <c r="E30" s="73"/>
      <c r="F30" s="35"/>
      <c r="G30" s="35">
        <f>SUM(G26:G29)</f>
        <v>6.4743999999999993</v>
      </c>
      <c r="H30" s="35">
        <f t="shared" si="3"/>
        <v>0</v>
      </c>
      <c r="I30" s="36">
        <f t="shared" si="7"/>
        <v>0</v>
      </c>
      <c r="J30" s="111">
        <f t="shared" si="9"/>
        <v>3.2366020539535412E-2</v>
      </c>
    </row>
    <row r="31" spans="1:10" ht="13.5" thickBot="1" x14ac:dyDescent="0.25">
      <c r="A31" s="112" t="s">
        <v>46</v>
      </c>
      <c r="B31" s="113">
        <f>B4</f>
        <v>1000</v>
      </c>
      <c r="C31" s="114">
        <v>7.0000000000000001E-3</v>
      </c>
      <c r="D31" s="115">
        <f>B31*C31</f>
        <v>7</v>
      </c>
      <c r="E31" s="116">
        <f t="shared" si="4"/>
        <v>1000</v>
      </c>
      <c r="F31" s="114">
        <f>C31</f>
        <v>7.0000000000000001E-3</v>
      </c>
      <c r="G31" s="115">
        <f>E31*F31</f>
        <v>7</v>
      </c>
      <c r="H31" s="115">
        <f t="shared" si="3"/>
        <v>0</v>
      </c>
      <c r="I31" s="117">
        <f t="shared" si="7"/>
        <v>0</v>
      </c>
      <c r="J31" s="118">
        <f t="shared" si="9"/>
        <v>3.4993535119354366E-2</v>
      </c>
    </row>
    <row r="32" spans="1:10" x14ac:dyDescent="0.2">
      <c r="A32" s="37" t="s">
        <v>115</v>
      </c>
      <c r="B32" s="38"/>
      <c r="C32" s="39"/>
      <c r="D32" s="39">
        <f>SUM(D14,D21,D24,D30,D31)</f>
        <v>190.58399999999997</v>
      </c>
      <c r="E32" s="38"/>
      <c r="F32" s="39"/>
      <c r="G32" s="39">
        <f>SUM(G14,G21,G24,G30,G31)</f>
        <v>190.51138000000003</v>
      </c>
      <c r="H32" s="39">
        <f t="shared" si="3"/>
        <v>-7.261999999994373E-2</v>
      </c>
      <c r="I32" s="40">
        <f t="shared" si="7"/>
        <v>-3.8103933173794095E-4</v>
      </c>
      <c r="J32" s="41">
        <f t="shared" si="9"/>
        <v>0.95238095238095233</v>
      </c>
    </row>
    <row r="33" spans="1:10" x14ac:dyDescent="0.2">
      <c r="A33" s="46" t="s">
        <v>106</v>
      </c>
      <c r="B33" s="43"/>
      <c r="C33" s="26">
        <v>0.13</v>
      </c>
      <c r="D33" s="26">
        <f>D32*C33</f>
        <v>24.775919999999999</v>
      </c>
      <c r="E33" s="26"/>
      <c r="F33" s="26">
        <f>C33</f>
        <v>0.13</v>
      </c>
      <c r="G33" s="26">
        <f>G32*F33</f>
        <v>24.766479400000005</v>
      </c>
      <c r="H33" s="26">
        <f t="shared" si="3"/>
        <v>-9.440599999994248E-3</v>
      </c>
      <c r="I33" s="44">
        <f t="shared" si="7"/>
        <v>-3.8103933173800399E-4</v>
      </c>
      <c r="J33" s="45">
        <f t="shared" si="9"/>
        <v>0.1238095238095238</v>
      </c>
    </row>
    <row r="34" spans="1:10" x14ac:dyDescent="0.2">
      <c r="A34" s="46" t="s">
        <v>107</v>
      </c>
      <c r="B34" s="24"/>
      <c r="C34" s="25"/>
      <c r="D34" s="25">
        <f>SUM(D32:D33)</f>
        <v>215.35991999999999</v>
      </c>
      <c r="E34" s="25"/>
      <c r="F34" s="25"/>
      <c r="G34" s="25">
        <f>SUM(G32:G33)</f>
        <v>215.27785940000004</v>
      </c>
      <c r="H34" s="25">
        <f t="shared" si="3"/>
        <v>-8.2060599999948636E-2</v>
      </c>
      <c r="I34" s="27">
        <f t="shared" si="7"/>
        <v>-3.8103933173799765E-4</v>
      </c>
      <c r="J34" s="47">
        <f t="shared" si="9"/>
        <v>1.0761904761904761</v>
      </c>
    </row>
    <row r="35" spans="1:10" x14ac:dyDescent="0.2">
      <c r="A35" s="46" t="s">
        <v>108</v>
      </c>
      <c r="B35" s="43"/>
      <c r="C35" s="26">
        <v>-0.08</v>
      </c>
      <c r="D35" s="26">
        <f>D32*C35</f>
        <v>-15.246719999999998</v>
      </c>
      <c r="E35" s="26"/>
      <c r="F35" s="26">
        <f>C35</f>
        <v>-0.08</v>
      </c>
      <c r="G35" s="26">
        <f>G32*F35</f>
        <v>-15.240910400000002</v>
      </c>
      <c r="H35" s="26">
        <f t="shared" si="3"/>
        <v>5.8095999999956405E-3</v>
      </c>
      <c r="I35" s="44">
        <f t="shared" si="7"/>
        <v>3.8103933173795027E-4</v>
      </c>
      <c r="J35" s="45">
        <f t="shared" si="9"/>
        <v>-7.6190476190476183E-2</v>
      </c>
    </row>
    <row r="36" spans="1:10" ht="13.5" thickBot="1" x14ac:dyDescent="0.25">
      <c r="A36" s="46" t="s">
        <v>109</v>
      </c>
      <c r="B36" s="49"/>
      <c r="C36" s="50"/>
      <c r="D36" s="50">
        <f>SUM(D34:D35)</f>
        <v>200.11319999999998</v>
      </c>
      <c r="E36" s="50"/>
      <c r="F36" s="50"/>
      <c r="G36" s="50">
        <f>SUM(G34:G35)</f>
        <v>200.03694900000005</v>
      </c>
      <c r="H36" s="50">
        <f t="shared" si="3"/>
        <v>-7.6250999999928126E-2</v>
      </c>
      <c r="I36" s="51">
        <f t="shared" si="7"/>
        <v>-3.8103933173787703E-4</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47"/>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98</v>
      </c>
      <c r="B1" s="191"/>
      <c r="C1" s="191"/>
      <c r="D1" s="191"/>
      <c r="E1" s="191"/>
      <c r="F1" s="191"/>
      <c r="G1" s="191"/>
      <c r="H1" s="191"/>
      <c r="I1" s="191"/>
      <c r="J1" s="192"/>
    </row>
    <row r="3" spans="1:10" x14ac:dyDescent="0.2">
      <c r="A3" s="13" t="s">
        <v>13</v>
      </c>
      <c r="B3" s="13" t="s">
        <v>9</v>
      </c>
    </row>
    <row r="4" spans="1:10" x14ac:dyDescent="0.2">
      <c r="A4" s="15" t="s">
        <v>62</v>
      </c>
      <c r="B4" s="15">
        <v>20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21.840000000000003</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20</v>
      </c>
      <c r="C12" s="103">
        <v>9.0999999999999998E-2</v>
      </c>
      <c r="D12" s="104">
        <f>B12*C12</f>
        <v>1.8199999999999998</v>
      </c>
      <c r="E12" s="102">
        <f>B12</f>
        <v>20</v>
      </c>
      <c r="F12" s="103">
        <f>C12</f>
        <v>9.0999999999999998E-2</v>
      </c>
      <c r="G12" s="104">
        <f>E12*F12</f>
        <v>1.8199999999999998</v>
      </c>
      <c r="H12" s="104">
        <f>G12-D12</f>
        <v>0</v>
      </c>
      <c r="I12" s="105">
        <f t="shared" ref="I12:I18" si="0">IF(ISERROR(H12/ABS(D12)),"N/A",(H12/ABS(D12)))</f>
        <v>0</v>
      </c>
      <c r="J12" s="123">
        <f t="shared" ref="J12:J27" si="1">G12/$G$36</f>
        <v>0.21007488646131084</v>
      </c>
    </row>
    <row r="13" spans="1:10" x14ac:dyDescent="0.2">
      <c r="A13" s="107" t="s">
        <v>32</v>
      </c>
      <c r="B13" s="73">
        <f>IF(B4&gt;B7,(B4)-B7,0)</f>
        <v>0</v>
      </c>
      <c r="C13" s="21">
        <v>0.106</v>
      </c>
      <c r="D13" s="22">
        <f>B13*C13</f>
        <v>0</v>
      </c>
      <c r="E13" s="73">
        <f t="shared" ref="E13" si="2">B13</f>
        <v>0</v>
      </c>
      <c r="F13" s="21">
        <f>C13</f>
        <v>0.106</v>
      </c>
      <c r="G13" s="22">
        <f>E13*F13</f>
        <v>0</v>
      </c>
      <c r="H13" s="22">
        <f t="shared" ref="H13:H36" si="3">G13-D13</f>
        <v>0</v>
      </c>
      <c r="I13" s="23" t="str">
        <f t="shared" si="0"/>
        <v>N/A</v>
      </c>
      <c r="J13" s="124">
        <f t="shared" si="1"/>
        <v>0</v>
      </c>
    </row>
    <row r="14" spans="1:10" s="1" customFormat="1" x14ac:dyDescent="0.2">
      <c r="A14" s="46" t="s">
        <v>33</v>
      </c>
      <c r="B14" s="24"/>
      <c r="C14" s="25"/>
      <c r="D14" s="25">
        <f>SUM(D12:D13)</f>
        <v>1.8199999999999998</v>
      </c>
      <c r="E14" s="76"/>
      <c r="F14" s="25"/>
      <c r="G14" s="25">
        <f>SUM(G12:G13)</f>
        <v>1.8199999999999998</v>
      </c>
      <c r="H14" s="25">
        <f t="shared" si="3"/>
        <v>0</v>
      </c>
      <c r="I14" s="27">
        <f t="shared" si="0"/>
        <v>0</v>
      </c>
      <c r="J14" s="47">
        <f t="shared" si="1"/>
        <v>0.21007488646131084</v>
      </c>
    </row>
    <row r="15" spans="1:10" x14ac:dyDescent="0.2">
      <c r="A15" s="107" t="s">
        <v>38</v>
      </c>
      <c r="B15" s="73">
        <v>1</v>
      </c>
      <c r="C15" s="78">
        <f>VLOOKUP($B$3,'Data for Bill Impacts'!$A$6:$Y$18,7,0)</f>
        <v>2.71</v>
      </c>
      <c r="D15" s="22">
        <f>B15*C15</f>
        <v>2.71</v>
      </c>
      <c r="E15" s="73">
        <f t="shared" ref="E15:E31" si="4">B15</f>
        <v>1</v>
      </c>
      <c r="F15" s="78">
        <f>VLOOKUP($B$3,'Data for Bill Impacts'!$A$6:$Y$18,17,0)</f>
        <v>3.15</v>
      </c>
      <c r="G15" s="22">
        <f>E15*F15</f>
        <v>3.15</v>
      </c>
      <c r="H15" s="22">
        <f t="shared" si="3"/>
        <v>0.43999999999999995</v>
      </c>
      <c r="I15" s="23">
        <f t="shared" si="0"/>
        <v>0.16236162361623616</v>
      </c>
      <c r="J15" s="124">
        <f t="shared" si="1"/>
        <v>0.36359114964457645</v>
      </c>
    </row>
    <row r="16" spans="1:10" x14ac:dyDescent="0.2">
      <c r="A16" s="107" t="s">
        <v>85</v>
      </c>
      <c r="B16" s="73">
        <v>1</v>
      </c>
      <c r="C16" s="78">
        <f>VLOOKUP($B$3,'Data for Bill Impacts'!$A$6:$Y$18,13,0)</f>
        <v>0.05</v>
      </c>
      <c r="D16" s="22">
        <f t="shared" ref="D16" si="5">B16*C16</f>
        <v>0.05</v>
      </c>
      <c r="E16" s="73">
        <f t="shared" si="4"/>
        <v>1</v>
      </c>
      <c r="F16" s="121">
        <f>VLOOKUP($B$3,'Data for Bill Impacts'!$A$6:$Y$18,22,0)</f>
        <v>6.0000000000000001E-3</v>
      </c>
      <c r="G16" s="22">
        <f t="shared" ref="G16" si="6">E16*F16</f>
        <v>6.0000000000000001E-3</v>
      </c>
      <c r="H16" s="22">
        <f t="shared" si="3"/>
        <v>-4.4000000000000004E-2</v>
      </c>
      <c r="I16" s="23">
        <f t="shared" si="0"/>
        <v>-0.88</v>
      </c>
      <c r="J16" s="124">
        <f t="shared" si="1"/>
        <v>6.9255457075157421E-4</v>
      </c>
    </row>
    <row r="17" spans="1:10" x14ac:dyDescent="0.2">
      <c r="A17" s="107" t="s">
        <v>39</v>
      </c>
      <c r="B17" s="73">
        <f>IF($B$9="kWh",$B$4,$B$5)</f>
        <v>20</v>
      </c>
      <c r="C17" s="78">
        <f>VLOOKUP($B$3,'Data for Bill Impacts'!$A$6:$Y$18,10,0)</f>
        <v>0.1178</v>
      </c>
      <c r="D17" s="22">
        <f>B17*C17</f>
        <v>2.3559999999999999</v>
      </c>
      <c r="E17" s="73">
        <f t="shared" si="4"/>
        <v>20</v>
      </c>
      <c r="F17" s="125">
        <f>VLOOKUP($B$3,'Data for Bill Impacts'!$A$6:$Y$18,19,0)</f>
        <v>0.11990000000000001</v>
      </c>
      <c r="G17" s="22">
        <f>E17*F17</f>
        <v>2.3980000000000001</v>
      </c>
      <c r="H17" s="22">
        <f t="shared" si="3"/>
        <v>4.2000000000000259E-2</v>
      </c>
      <c r="I17" s="23">
        <f t="shared" si="0"/>
        <v>1.7826825127334578E-2</v>
      </c>
      <c r="J17" s="124">
        <f t="shared" si="1"/>
        <v>0.27679097677704584</v>
      </c>
    </row>
    <row r="18" spans="1:10" s="1" customFormat="1" x14ac:dyDescent="0.2">
      <c r="A18" s="107" t="s">
        <v>124</v>
      </c>
      <c r="B18" s="73">
        <f>IF($B$9="kWh",$B$4,$B$5)</f>
        <v>20</v>
      </c>
      <c r="C18" s="78">
        <f>VLOOKUP($B$3,'Data for Bill Impacts'!$A$6:$Y$18,14,0)</f>
        <v>8.9999999999999998E-4</v>
      </c>
      <c r="D18" s="22">
        <f>B18*C18</f>
        <v>1.7999999999999999E-2</v>
      </c>
      <c r="E18" s="73">
        <f>B18</f>
        <v>20</v>
      </c>
      <c r="F18" s="125">
        <f>VLOOKUP($B$3,'Data for Bill Impacts'!$A$6:$Y$18,23,0)</f>
        <v>-6.0000000000000002E-5</v>
      </c>
      <c r="G18" s="22">
        <f>E18*F18</f>
        <v>-1.2000000000000001E-3</v>
      </c>
      <c r="H18" s="22">
        <f>G18-D18</f>
        <v>-1.9199999999999998E-2</v>
      </c>
      <c r="I18" s="23">
        <f t="shared" si="0"/>
        <v>-1.0666666666666667</v>
      </c>
      <c r="J18" s="124">
        <f t="shared" si="1"/>
        <v>-1.3851091415031485E-4</v>
      </c>
    </row>
    <row r="19" spans="1:10" x14ac:dyDescent="0.2">
      <c r="A19" s="110" t="s">
        <v>72</v>
      </c>
      <c r="B19" s="74"/>
      <c r="C19" s="35"/>
      <c r="D19" s="35">
        <f>SUM(D15:D18)</f>
        <v>5.1339999999999995</v>
      </c>
      <c r="E19" s="73"/>
      <c r="F19" s="35"/>
      <c r="G19" s="35">
        <f>SUM(G15:G18)</f>
        <v>5.5528000000000004</v>
      </c>
      <c r="H19" s="35">
        <f t="shared" si="3"/>
        <v>0.41880000000000095</v>
      </c>
      <c r="I19" s="36">
        <f>IF(ISERROR(H19/ABS(D19)),"N/A",(H19/ABS(D19)))</f>
        <v>8.1573821581612971E-2</v>
      </c>
      <c r="J19" s="111">
        <f t="shared" si="1"/>
        <v>0.64093617007822368</v>
      </c>
    </row>
    <row r="20" spans="1:10" s="1" customFormat="1" x14ac:dyDescent="0.2">
      <c r="A20" s="119" t="s">
        <v>81</v>
      </c>
      <c r="B20" s="120">
        <f>B8-B4</f>
        <v>1.8400000000000034</v>
      </c>
      <c r="C20" s="176">
        <f>IF(B4&gt;B7,C13,C12)</f>
        <v>9.0999999999999998E-2</v>
      </c>
      <c r="D20" s="22">
        <f>B20*C20</f>
        <v>0.16744000000000031</v>
      </c>
      <c r="E20" s="73">
        <f>B20</f>
        <v>1.8400000000000034</v>
      </c>
      <c r="F20" s="176">
        <f>C20</f>
        <v>9.0999999999999998E-2</v>
      </c>
      <c r="G20" s="22">
        <f>E20*F20</f>
        <v>0.16744000000000031</v>
      </c>
      <c r="H20" s="22">
        <f t="shared" si="3"/>
        <v>0</v>
      </c>
      <c r="I20" s="23">
        <f t="shared" ref="I20:I36" si="7">IF(ISERROR(H20/ABS(D20)),"N/A",(H20/ABS(D20)))</f>
        <v>0</v>
      </c>
      <c r="J20" s="124">
        <f t="shared" si="1"/>
        <v>1.9326889554440636E-2</v>
      </c>
    </row>
    <row r="21" spans="1:10" x14ac:dyDescent="0.2">
      <c r="A21" s="110" t="s">
        <v>79</v>
      </c>
      <c r="B21" s="74"/>
      <c r="C21" s="35"/>
      <c r="D21" s="35">
        <f>SUM(D19,D20:D20)</f>
        <v>5.3014399999999995</v>
      </c>
      <c r="E21" s="73"/>
      <c r="F21" s="35"/>
      <c r="G21" s="35">
        <f>SUM(G19,G20:G20)</f>
        <v>5.7202400000000004</v>
      </c>
      <c r="H21" s="35">
        <f t="shared" si="3"/>
        <v>0.41880000000000095</v>
      </c>
      <c r="I21" s="36">
        <f t="shared" si="7"/>
        <v>7.8997404478783312E-2</v>
      </c>
      <c r="J21" s="111">
        <f t="shared" si="1"/>
        <v>0.66026305963266418</v>
      </c>
    </row>
    <row r="22" spans="1:10" x14ac:dyDescent="0.2">
      <c r="A22" s="107" t="s">
        <v>40</v>
      </c>
      <c r="B22" s="73">
        <f>B8</f>
        <v>21.840000000000003</v>
      </c>
      <c r="C22" s="78">
        <f>VLOOKUP($B$3,'Data for Bill Impacts'!$A$6:$Y$18,15,0)</f>
        <v>4.4999999999999997E-3</v>
      </c>
      <c r="D22" s="22">
        <f>B22*C22</f>
        <v>9.8280000000000006E-2</v>
      </c>
      <c r="E22" s="73">
        <f t="shared" si="4"/>
        <v>21.840000000000003</v>
      </c>
      <c r="F22" s="125">
        <f>VLOOKUP($B$3,'Data for Bill Impacts'!$A$6:$Y$18,24,0)</f>
        <v>4.6979999999999999E-3</v>
      </c>
      <c r="G22" s="22">
        <f>E22*F22</f>
        <v>0.10260432000000001</v>
      </c>
      <c r="H22" s="22">
        <f t="shared" si="3"/>
        <v>4.3243200000000065E-3</v>
      </c>
      <c r="I22" s="23">
        <f t="shared" si="7"/>
        <v>4.400000000000006E-2</v>
      </c>
      <c r="J22" s="124">
        <f t="shared" si="1"/>
        <v>1.1843181799142862E-2</v>
      </c>
    </row>
    <row r="23" spans="1:10" s="1" customFormat="1" x14ac:dyDescent="0.2">
      <c r="A23" s="107" t="s">
        <v>41</v>
      </c>
      <c r="B23" s="73">
        <f>B8</f>
        <v>21.840000000000003</v>
      </c>
      <c r="C23" s="78">
        <f>VLOOKUP($B$3,'Data for Bill Impacts'!$A$6:$Y$18,16,0)</f>
        <v>2.7000000000000001E-3</v>
      </c>
      <c r="D23" s="22">
        <f>B23*C23</f>
        <v>5.8968000000000013E-2</v>
      </c>
      <c r="E23" s="73">
        <f t="shared" si="4"/>
        <v>21.840000000000003</v>
      </c>
      <c r="F23" s="125">
        <f>VLOOKUP($B$3,'Data for Bill Impacts'!$A$6:$Y$18,25,0)</f>
        <v>4.2899999999999995E-3</v>
      </c>
      <c r="G23" s="22">
        <f>E23*F23</f>
        <v>9.3693600000000002E-2</v>
      </c>
      <c r="H23" s="22">
        <f t="shared" si="3"/>
        <v>3.4725599999999988E-2</v>
      </c>
      <c r="I23" s="23">
        <f t="shared" si="7"/>
        <v>0.58888888888888857</v>
      </c>
      <c r="J23" s="124">
        <f t="shared" si="1"/>
        <v>1.0814655155028283E-2</v>
      </c>
    </row>
    <row r="24" spans="1:10" s="1" customFormat="1" x14ac:dyDescent="0.2">
      <c r="A24" s="110" t="s">
        <v>76</v>
      </c>
      <c r="B24" s="74"/>
      <c r="C24" s="35"/>
      <c r="D24" s="35">
        <f>SUM(D22:D23)</f>
        <v>0.15724800000000003</v>
      </c>
      <c r="E24" s="73"/>
      <c r="F24" s="35"/>
      <c r="G24" s="35">
        <f>SUM(G22:G23)</f>
        <v>0.19629792000000001</v>
      </c>
      <c r="H24" s="35">
        <f t="shared" si="3"/>
        <v>3.9049919999999988E-2</v>
      </c>
      <c r="I24" s="36">
        <f t="shared" si="7"/>
        <v>0.24833333333333321</v>
      </c>
      <c r="J24" s="111">
        <f t="shared" si="1"/>
        <v>2.2657836954171146E-2</v>
      </c>
    </row>
    <row r="25" spans="1:10" s="1" customFormat="1" x14ac:dyDescent="0.2">
      <c r="A25" s="110" t="s">
        <v>80</v>
      </c>
      <c r="B25" s="74"/>
      <c r="C25" s="35"/>
      <c r="D25" s="35">
        <f>D21+D24</f>
        <v>5.4586879999999995</v>
      </c>
      <c r="E25" s="73"/>
      <c r="F25" s="35"/>
      <c r="G25" s="35">
        <f>G21+G24</f>
        <v>5.9165379200000006</v>
      </c>
      <c r="H25" s="35">
        <f t="shared" si="3"/>
        <v>0.45784992000000102</v>
      </c>
      <c r="I25" s="36">
        <f t="shared" si="7"/>
        <v>8.3875451390517469E-2</v>
      </c>
      <c r="J25" s="111">
        <f t="shared" si="1"/>
        <v>0.68292089658683541</v>
      </c>
    </row>
    <row r="26" spans="1:10" x14ac:dyDescent="0.2">
      <c r="A26" s="107" t="s">
        <v>42</v>
      </c>
      <c r="B26" s="73">
        <f>B8</f>
        <v>21.840000000000003</v>
      </c>
      <c r="C26" s="34">
        <v>3.5999999999999999E-3</v>
      </c>
      <c r="D26" s="22">
        <f>B26*C26</f>
        <v>7.8624000000000013E-2</v>
      </c>
      <c r="E26" s="73">
        <f t="shared" si="4"/>
        <v>21.840000000000003</v>
      </c>
      <c r="F26" s="34">
        <v>3.5999999999999999E-3</v>
      </c>
      <c r="G26" s="22">
        <f>E26*F26</f>
        <v>7.8624000000000013E-2</v>
      </c>
      <c r="H26" s="22">
        <f t="shared" si="3"/>
        <v>0</v>
      </c>
      <c r="I26" s="23">
        <f t="shared" si="7"/>
        <v>0</v>
      </c>
      <c r="J26" s="124">
        <f t="shared" si="1"/>
        <v>9.0752350951286299E-3</v>
      </c>
    </row>
    <row r="27" spans="1:10" s="1" customFormat="1" x14ac:dyDescent="0.2">
      <c r="A27" s="107" t="s">
        <v>43</v>
      </c>
      <c r="B27" s="73">
        <f>B8</f>
        <v>21.840000000000003</v>
      </c>
      <c r="C27" s="34">
        <v>2.0999999999999999E-3</v>
      </c>
      <c r="D27" s="22">
        <f>B27*C27</f>
        <v>4.5864000000000002E-2</v>
      </c>
      <c r="E27" s="73">
        <f t="shared" si="4"/>
        <v>21.840000000000003</v>
      </c>
      <c r="F27" s="34">
        <v>2.0999999999999999E-3</v>
      </c>
      <c r="G27" s="22">
        <f>E27*F27</f>
        <v>4.5864000000000002E-2</v>
      </c>
      <c r="H27" s="22">
        <f>G27-D27</f>
        <v>0</v>
      </c>
      <c r="I27" s="23">
        <f t="shared" si="7"/>
        <v>0</v>
      </c>
      <c r="J27" s="124">
        <f t="shared" si="1"/>
        <v>5.2938871388250337E-3</v>
      </c>
    </row>
    <row r="28" spans="1:10" s="1" customFormat="1" x14ac:dyDescent="0.2">
      <c r="A28" s="107" t="s">
        <v>96</v>
      </c>
      <c r="B28" s="73">
        <f>B8</f>
        <v>21.840000000000003</v>
      </c>
      <c r="C28" s="34">
        <v>0</v>
      </c>
      <c r="D28" s="22">
        <f>B28*C28</f>
        <v>0</v>
      </c>
      <c r="E28" s="73">
        <f t="shared" si="4"/>
        <v>21.840000000000003</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2.8856440447982259E-2</v>
      </c>
    </row>
    <row r="30" spans="1:10" s="1" customFormat="1" x14ac:dyDescent="0.2">
      <c r="A30" s="110" t="s">
        <v>45</v>
      </c>
      <c r="B30" s="74"/>
      <c r="C30" s="35"/>
      <c r="D30" s="35">
        <f>SUM(D26:D29)</f>
        <v>0.37448800000000004</v>
      </c>
      <c r="E30" s="73"/>
      <c r="F30" s="35"/>
      <c r="G30" s="35">
        <f>SUM(G26:G29)</f>
        <v>0.37448800000000004</v>
      </c>
      <c r="H30" s="35">
        <f t="shared" si="3"/>
        <v>0</v>
      </c>
      <c r="I30" s="36">
        <f t="shared" si="7"/>
        <v>0</v>
      </c>
      <c r="J30" s="111">
        <f t="shared" si="9"/>
        <v>4.3225562681935926E-2</v>
      </c>
    </row>
    <row r="31" spans="1:10" ht="13.5" thickBot="1" x14ac:dyDescent="0.25">
      <c r="A31" s="112" t="s">
        <v>46</v>
      </c>
      <c r="B31" s="113">
        <f>B4</f>
        <v>20</v>
      </c>
      <c r="C31" s="114">
        <v>7.0000000000000001E-3</v>
      </c>
      <c r="D31" s="115">
        <f>B31*C31</f>
        <v>0.14000000000000001</v>
      </c>
      <c r="E31" s="116">
        <f t="shared" si="4"/>
        <v>20</v>
      </c>
      <c r="F31" s="114">
        <f>C31</f>
        <v>7.0000000000000001E-3</v>
      </c>
      <c r="G31" s="115">
        <f>E31*F31</f>
        <v>0.14000000000000001</v>
      </c>
      <c r="H31" s="115">
        <f t="shared" si="3"/>
        <v>0</v>
      </c>
      <c r="I31" s="117">
        <f t="shared" si="7"/>
        <v>0</v>
      </c>
      <c r="J31" s="118">
        <f t="shared" si="9"/>
        <v>1.6159606650870066E-2</v>
      </c>
    </row>
    <row r="32" spans="1:10" x14ac:dyDescent="0.2">
      <c r="A32" s="37" t="s">
        <v>115</v>
      </c>
      <c r="B32" s="38"/>
      <c r="C32" s="39"/>
      <c r="D32" s="39">
        <f>SUM(D14,D21,D24,D30,D31)</f>
        <v>7.7931759999999999</v>
      </c>
      <c r="E32" s="38"/>
      <c r="F32" s="39"/>
      <c r="G32" s="39">
        <f>SUM(G14,G21,G24,G30,G31)</f>
        <v>8.2510259200000018</v>
      </c>
      <c r="H32" s="39">
        <f t="shared" si="3"/>
        <v>0.45784992000000191</v>
      </c>
      <c r="I32" s="40">
        <f t="shared" si="7"/>
        <v>5.8750106503433507E-2</v>
      </c>
      <c r="J32" s="41">
        <f t="shared" si="9"/>
        <v>0.95238095238095233</v>
      </c>
    </row>
    <row r="33" spans="1:10" x14ac:dyDescent="0.2">
      <c r="A33" s="46" t="s">
        <v>106</v>
      </c>
      <c r="B33" s="43"/>
      <c r="C33" s="26">
        <v>0.13</v>
      </c>
      <c r="D33" s="26">
        <f>D32*C33</f>
        <v>1.01311288</v>
      </c>
      <c r="E33" s="26"/>
      <c r="F33" s="26">
        <f>C33</f>
        <v>0.13</v>
      </c>
      <c r="G33" s="26">
        <f>G32*F33</f>
        <v>1.0726333696000003</v>
      </c>
      <c r="H33" s="26">
        <f t="shared" si="3"/>
        <v>5.9520489600000337E-2</v>
      </c>
      <c r="I33" s="44">
        <f t="shared" si="7"/>
        <v>5.875010650343359E-2</v>
      </c>
      <c r="J33" s="45">
        <f t="shared" si="9"/>
        <v>0.12380952380952381</v>
      </c>
    </row>
    <row r="34" spans="1:10" x14ac:dyDescent="0.2">
      <c r="A34" s="46" t="s">
        <v>107</v>
      </c>
      <c r="B34" s="24"/>
      <c r="C34" s="25"/>
      <c r="D34" s="25">
        <f>SUM(D32:D33)</f>
        <v>8.8062888800000003</v>
      </c>
      <c r="E34" s="25"/>
      <c r="F34" s="25"/>
      <c r="G34" s="25">
        <f>SUM(G32:G33)</f>
        <v>9.3236592896000019</v>
      </c>
      <c r="H34" s="25">
        <f t="shared" si="3"/>
        <v>0.51737040960000158</v>
      </c>
      <c r="I34" s="27">
        <f t="shared" si="7"/>
        <v>5.8750106503433437E-2</v>
      </c>
      <c r="J34" s="47">
        <f t="shared" si="9"/>
        <v>1.0761904761904761</v>
      </c>
    </row>
    <row r="35" spans="1:10" x14ac:dyDescent="0.2">
      <c r="A35" s="46" t="s">
        <v>108</v>
      </c>
      <c r="B35" s="43"/>
      <c r="C35" s="26">
        <v>-0.08</v>
      </c>
      <c r="D35" s="26">
        <f>D32*C35</f>
        <v>-0.62345408000000002</v>
      </c>
      <c r="E35" s="26"/>
      <c r="F35" s="26">
        <f>C35</f>
        <v>-0.08</v>
      </c>
      <c r="G35" s="26">
        <f>G32*F35</f>
        <v>-0.66008207360000015</v>
      </c>
      <c r="H35" s="26">
        <f t="shared" si="3"/>
        <v>-3.662799360000013E-2</v>
      </c>
      <c r="I35" s="44">
        <f t="shared" si="7"/>
        <v>-5.8750106503433465E-2</v>
      </c>
      <c r="J35" s="45">
        <f t="shared" si="9"/>
        <v>-7.6190476190476197E-2</v>
      </c>
    </row>
    <row r="36" spans="1:10" ht="13.5" thickBot="1" x14ac:dyDescent="0.25">
      <c r="A36" s="46" t="s">
        <v>109</v>
      </c>
      <c r="B36" s="49"/>
      <c r="C36" s="50"/>
      <c r="D36" s="50">
        <f>SUM(D34:D35)</f>
        <v>8.1828348000000002</v>
      </c>
      <c r="E36" s="50"/>
      <c r="F36" s="50"/>
      <c r="G36" s="50">
        <f>SUM(G34:G35)</f>
        <v>8.663577216000002</v>
      </c>
      <c r="H36" s="50">
        <f t="shared" si="3"/>
        <v>0.48074241600000178</v>
      </c>
      <c r="I36" s="51">
        <f t="shared" si="7"/>
        <v>5.8750106503433479E-2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47"/>
  <sheetViews>
    <sheetView tabSelected="1" view="pageLayout"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120</v>
      </c>
      <c r="B1" s="191"/>
      <c r="C1" s="191"/>
      <c r="D1" s="191"/>
      <c r="E1" s="191"/>
      <c r="F1" s="191"/>
      <c r="G1" s="191"/>
      <c r="H1" s="191"/>
      <c r="I1" s="191"/>
      <c r="J1" s="192"/>
    </row>
    <row r="3" spans="1:10" x14ac:dyDescent="0.2">
      <c r="A3" s="13" t="s">
        <v>13</v>
      </c>
      <c r="B3" s="13" t="s">
        <v>9</v>
      </c>
    </row>
    <row r="4" spans="1:10" x14ac:dyDescent="0.2">
      <c r="A4" s="15" t="s">
        <v>62</v>
      </c>
      <c r="B4" s="168">
        <f>VLOOKUP(B3,'Data for Bill Impacts'!A21:D34,3,FALSE)</f>
        <v>71</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68">
        <f>B4*B6</f>
        <v>77.532000000000011</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71</v>
      </c>
      <c r="C12" s="103">
        <v>9.0999999999999998E-2</v>
      </c>
      <c r="D12" s="104">
        <f>B12*C12</f>
        <v>6.4609999999999994</v>
      </c>
      <c r="E12" s="102">
        <f>B12</f>
        <v>71</v>
      </c>
      <c r="F12" s="103">
        <f>C12</f>
        <v>9.0999999999999998E-2</v>
      </c>
      <c r="G12" s="104">
        <f>E12*F12</f>
        <v>6.4609999999999994</v>
      </c>
      <c r="H12" s="104">
        <f>G12-D12</f>
        <v>0</v>
      </c>
      <c r="I12" s="105">
        <f t="shared" ref="I12:I18" si="0">IF(ISERROR(H12/ABS(D12)),"N/A",(H12/ABS(D12)))</f>
        <v>0</v>
      </c>
      <c r="J12" s="123">
        <f t="shared" ref="J12:J27" si="1">G12/$G$36</f>
        <v>0.29862081484248015</v>
      </c>
    </row>
    <row r="13" spans="1:10" x14ac:dyDescent="0.2">
      <c r="A13" s="107" t="s">
        <v>32</v>
      </c>
      <c r="B13" s="73">
        <f>IF(B4&gt;B7,(B4)-B7,0)</f>
        <v>0</v>
      </c>
      <c r="C13" s="21">
        <v>0.106</v>
      </c>
      <c r="D13" s="22">
        <f>B13*C13</f>
        <v>0</v>
      </c>
      <c r="E13" s="73">
        <f t="shared" ref="E13" si="2">B13</f>
        <v>0</v>
      </c>
      <c r="F13" s="21">
        <f>C13</f>
        <v>0.106</v>
      </c>
      <c r="G13" s="22">
        <f>E13*F13</f>
        <v>0</v>
      </c>
      <c r="H13" s="22">
        <f t="shared" ref="H13:H36" si="3">G13-D13</f>
        <v>0</v>
      </c>
      <c r="I13" s="23" t="str">
        <f t="shared" si="0"/>
        <v>N/A</v>
      </c>
      <c r="J13" s="124">
        <f t="shared" si="1"/>
        <v>0</v>
      </c>
    </row>
    <row r="14" spans="1:10" s="1" customFormat="1" x14ac:dyDescent="0.2">
      <c r="A14" s="46" t="s">
        <v>33</v>
      </c>
      <c r="B14" s="24"/>
      <c r="C14" s="25"/>
      <c r="D14" s="25">
        <f>SUM(D12:D13)</f>
        <v>6.4609999999999994</v>
      </c>
      <c r="E14" s="76"/>
      <c r="F14" s="25"/>
      <c r="G14" s="25">
        <f>SUM(G12:G13)</f>
        <v>6.4609999999999994</v>
      </c>
      <c r="H14" s="25">
        <f t="shared" si="3"/>
        <v>0</v>
      </c>
      <c r="I14" s="27">
        <f t="shared" si="0"/>
        <v>0</v>
      </c>
      <c r="J14" s="47">
        <f t="shared" si="1"/>
        <v>0.29862081484248015</v>
      </c>
    </row>
    <row r="15" spans="1:10" x14ac:dyDescent="0.2">
      <c r="A15" s="107" t="s">
        <v>38</v>
      </c>
      <c r="B15" s="73">
        <v>1</v>
      </c>
      <c r="C15" s="78">
        <f>VLOOKUP($B$3,'Data for Bill Impacts'!$A$6:$Y$18,7,0)</f>
        <v>2.71</v>
      </c>
      <c r="D15" s="22">
        <f>B15*C15</f>
        <v>2.71</v>
      </c>
      <c r="E15" s="73">
        <f t="shared" ref="E15:E31" si="4">B15</f>
        <v>1</v>
      </c>
      <c r="F15" s="78">
        <f>VLOOKUP($B$3,'Data for Bill Impacts'!$A$6:$Y$18,17,0)</f>
        <v>3.15</v>
      </c>
      <c r="G15" s="22">
        <f>E15*F15</f>
        <v>3.15</v>
      </c>
      <c r="H15" s="22">
        <f t="shared" si="3"/>
        <v>0.43999999999999995</v>
      </c>
      <c r="I15" s="23">
        <f t="shared" si="0"/>
        <v>0.16236162361623616</v>
      </c>
      <c r="J15" s="124">
        <f t="shared" si="1"/>
        <v>0.14558977971735221</v>
      </c>
    </row>
    <row r="16" spans="1:10" x14ac:dyDescent="0.2">
      <c r="A16" s="107" t="s">
        <v>85</v>
      </c>
      <c r="B16" s="73">
        <v>1</v>
      </c>
      <c r="C16" s="78">
        <f>VLOOKUP($B$3,'Data for Bill Impacts'!$A$6:$Y$18,13,0)</f>
        <v>0.05</v>
      </c>
      <c r="D16" s="22">
        <f t="shared" ref="D16" si="5">B16*C16</f>
        <v>0.05</v>
      </c>
      <c r="E16" s="73">
        <f t="shared" si="4"/>
        <v>1</v>
      </c>
      <c r="F16" s="121">
        <f>VLOOKUP($B$3,'Data for Bill Impacts'!$A$6:$Y$18,22,0)</f>
        <v>6.0000000000000001E-3</v>
      </c>
      <c r="G16" s="22">
        <f t="shared" ref="G16" si="6">E16*F16</f>
        <v>6.0000000000000001E-3</v>
      </c>
      <c r="H16" s="22">
        <f t="shared" si="3"/>
        <v>-4.4000000000000004E-2</v>
      </c>
      <c r="I16" s="23">
        <f t="shared" si="0"/>
        <v>-0.88</v>
      </c>
      <c r="J16" s="124">
        <f t="shared" si="1"/>
        <v>2.7731386612828992E-4</v>
      </c>
    </row>
    <row r="17" spans="1:10" x14ac:dyDescent="0.2">
      <c r="A17" s="107" t="s">
        <v>39</v>
      </c>
      <c r="B17" s="73">
        <f>IF($B$9="kWh",$B$4,$B$5)</f>
        <v>71</v>
      </c>
      <c r="C17" s="78">
        <f>VLOOKUP($B$3,'Data for Bill Impacts'!$A$6:$Y$18,10,0)</f>
        <v>0.1178</v>
      </c>
      <c r="D17" s="22">
        <f>B17*C17</f>
        <v>8.3637999999999995</v>
      </c>
      <c r="E17" s="73">
        <f t="shared" si="4"/>
        <v>71</v>
      </c>
      <c r="F17" s="125">
        <f>VLOOKUP($B$3,'Data for Bill Impacts'!$A$6:$Y$18,19,0)</f>
        <v>0.11990000000000001</v>
      </c>
      <c r="G17" s="22">
        <f>E17*F17</f>
        <v>8.5129000000000001</v>
      </c>
      <c r="H17" s="22">
        <f t="shared" si="3"/>
        <v>0.14910000000000068</v>
      </c>
      <c r="I17" s="23">
        <f t="shared" si="0"/>
        <v>1.7826825127334547E-2</v>
      </c>
      <c r="J17" s="124">
        <f t="shared" si="1"/>
        <v>0.39345753516058657</v>
      </c>
    </row>
    <row r="18" spans="1:10" s="1" customFormat="1" x14ac:dyDescent="0.2">
      <c r="A18" s="107" t="s">
        <v>124</v>
      </c>
      <c r="B18" s="73">
        <f>IF($B$9="kWh",$B$4,$B$5)</f>
        <v>71</v>
      </c>
      <c r="C18" s="78">
        <f>VLOOKUP($B$3,'Data for Bill Impacts'!$A$6:$Y$18,14,0)</f>
        <v>8.9999999999999998E-4</v>
      </c>
      <c r="D18" s="22">
        <f>B18*C18</f>
        <v>6.3899999999999998E-2</v>
      </c>
      <c r="E18" s="73">
        <f>B18</f>
        <v>71</v>
      </c>
      <c r="F18" s="125">
        <f>VLOOKUP($B$3,'Data for Bill Impacts'!$A$6:$Y$18,23,0)</f>
        <v>-6.0000000000000002E-5</v>
      </c>
      <c r="G18" s="22">
        <f>E18*F18</f>
        <v>-4.2599999999999999E-3</v>
      </c>
      <c r="H18" s="22">
        <f>G18-D18</f>
        <v>-6.8159999999999998E-2</v>
      </c>
      <c r="I18" s="23">
        <f t="shared" si="0"/>
        <v>-1.0666666666666667</v>
      </c>
      <c r="J18" s="124">
        <f t="shared" si="1"/>
        <v>-1.9689284495108585E-4</v>
      </c>
    </row>
    <row r="19" spans="1:10" x14ac:dyDescent="0.2">
      <c r="A19" s="110" t="s">
        <v>72</v>
      </c>
      <c r="B19" s="74"/>
      <c r="C19" s="35"/>
      <c r="D19" s="35">
        <f>SUM(D15:D18)</f>
        <v>11.1877</v>
      </c>
      <c r="E19" s="73"/>
      <c r="F19" s="35"/>
      <c r="G19" s="35">
        <f>SUM(G15:G18)</f>
        <v>11.66464</v>
      </c>
      <c r="H19" s="35">
        <f t="shared" si="3"/>
        <v>0.47694000000000081</v>
      </c>
      <c r="I19" s="36">
        <f>IF(ISERROR(H19/ABS(D19)),"N/A",(H19/ABS(D19)))</f>
        <v>4.2630746265988617E-2</v>
      </c>
      <c r="J19" s="111">
        <f t="shared" si="1"/>
        <v>0.539127735899116</v>
      </c>
    </row>
    <row r="20" spans="1:10" s="1" customFormat="1" x14ac:dyDescent="0.2">
      <c r="A20" s="119" t="s">
        <v>81</v>
      </c>
      <c r="B20" s="120">
        <f>B8-B4</f>
        <v>6.5320000000000107</v>
      </c>
      <c r="C20" s="176">
        <f>IF(B4&gt;B7,C13,C12)</f>
        <v>9.0999999999999998E-2</v>
      </c>
      <c r="D20" s="22">
        <f>B20*C20</f>
        <v>0.59441200000000094</v>
      </c>
      <c r="E20" s="73">
        <f>B20</f>
        <v>6.5320000000000107</v>
      </c>
      <c r="F20" s="176">
        <f>C20</f>
        <v>9.0999999999999998E-2</v>
      </c>
      <c r="G20" s="22">
        <f>E20*F20</f>
        <v>0.59441200000000094</v>
      </c>
      <c r="H20" s="22">
        <f t="shared" si="3"/>
        <v>0</v>
      </c>
      <c r="I20" s="23">
        <f t="shared" ref="I20:I36" si="7">IF(ISERROR(H20/ABS(D20)),"N/A",(H20/ABS(D20)))</f>
        <v>0</v>
      </c>
      <c r="J20" s="124">
        <f t="shared" si="1"/>
        <v>2.7473114965508222E-2</v>
      </c>
    </row>
    <row r="21" spans="1:10" x14ac:dyDescent="0.2">
      <c r="A21" s="110" t="s">
        <v>79</v>
      </c>
      <c r="B21" s="74"/>
      <c r="C21" s="35"/>
      <c r="D21" s="35">
        <f>SUM(D19,D20:D20)</f>
        <v>11.782112</v>
      </c>
      <c r="E21" s="73"/>
      <c r="F21" s="35"/>
      <c r="G21" s="35">
        <f>SUM(G19,G20:G20)</f>
        <v>12.259052000000001</v>
      </c>
      <c r="H21" s="35">
        <f t="shared" si="3"/>
        <v>0.47694000000000081</v>
      </c>
      <c r="I21" s="36">
        <f t="shared" si="7"/>
        <v>4.048000901705915E-2</v>
      </c>
      <c r="J21" s="111">
        <f t="shared" si="1"/>
        <v>0.56660085086462419</v>
      </c>
    </row>
    <row r="22" spans="1:10" x14ac:dyDescent="0.2">
      <c r="A22" s="107" t="s">
        <v>40</v>
      </c>
      <c r="B22" s="73">
        <f>B8</f>
        <v>77.532000000000011</v>
      </c>
      <c r="C22" s="78">
        <f>VLOOKUP($B$3,'Data for Bill Impacts'!$A$6:$Y$18,15,0)</f>
        <v>4.4999999999999997E-3</v>
      </c>
      <c r="D22" s="22">
        <f>B22*C22</f>
        <v>0.34889400000000004</v>
      </c>
      <c r="E22" s="73">
        <f t="shared" si="4"/>
        <v>77.532000000000011</v>
      </c>
      <c r="F22" s="125">
        <f>VLOOKUP($B$3,'Data for Bill Impacts'!$A$6:$Y$18,24,0)</f>
        <v>4.6979999999999999E-3</v>
      </c>
      <c r="G22" s="22">
        <f>E22*F22</f>
        <v>0.36424533600000003</v>
      </c>
      <c r="H22" s="22">
        <f t="shared" si="3"/>
        <v>1.5351335999999993E-2</v>
      </c>
      <c r="I22" s="23">
        <f t="shared" si="7"/>
        <v>4.3999999999999977E-2</v>
      </c>
      <c r="J22" s="124">
        <f t="shared" si="1"/>
        <v>1.6835047057559664E-2</v>
      </c>
    </row>
    <row r="23" spans="1:10" s="1" customFormat="1" x14ac:dyDescent="0.2">
      <c r="A23" s="107" t="s">
        <v>41</v>
      </c>
      <c r="B23" s="73">
        <f>B8</f>
        <v>77.532000000000011</v>
      </c>
      <c r="C23" s="78">
        <f>VLOOKUP($B$3,'Data for Bill Impacts'!$A$6:$Y$18,16,0)</f>
        <v>2.7000000000000001E-3</v>
      </c>
      <c r="D23" s="22">
        <f>B23*C23</f>
        <v>0.20933640000000003</v>
      </c>
      <c r="E23" s="73">
        <f t="shared" si="4"/>
        <v>77.532000000000011</v>
      </c>
      <c r="F23" s="125">
        <f>VLOOKUP($B$3,'Data for Bill Impacts'!$A$6:$Y$18,25,0)</f>
        <v>4.2899999999999995E-3</v>
      </c>
      <c r="G23" s="22">
        <f>E23*F23</f>
        <v>0.33261228000000004</v>
      </c>
      <c r="H23" s="22">
        <f t="shared" si="3"/>
        <v>0.12327588</v>
      </c>
      <c r="I23" s="23">
        <f t="shared" si="7"/>
        <v>0.5888888888888888</v>
      </c>
      <c r="J23" s="124">
        <f t="shared" si="1"/>
        <v>1.5372999548090883E-2</v>
      </c>
    </row>
    <row r="24" spans="1:10" s="1" customFormat="1" x14ac:dyDescent="0.2">
      <c r="A24" s="110" t="s">
        <v>76</v>
      </c>
      <c r="B24" s="74"/>
      <c r="C24" s="35"/>
      <c r="D24" s="35">
        <f>SUM(D22:D23)</f>
        <v>0.55823040000000002</v>
      </c>
      <c r="E24" s="73"/>
      <c r="F24" s="35"/>
      <c r="G24" s="35">
        <f>SUM(G22:G23)</f>
        <v>0.69685761600000007</v>
      </c>
      <c r="H24" s="35">
        <f t="shared" si="3"/>
        <v>0.13862721600000005</v>
      </c>
      <c r="I24" s="36">
        <f t="shared" si="7"/>
        <v>0.24833333333333343</v>
      </c>
      <c r="J24" s="111">
        <f t="shared" si="1"/>
        <v>3.2208046605650548E-2</v>
      </c>
    </row>
    <row r="25" spans="1:10" s="1" customFormat="1" x14ac:dyDescent="0.2">
      <c r="A25" s="110" t="s">
        <v>80</v>
      </c>
      <c r="B25" s="74"/>
      <c r="C25" s="35"/>
      <c r="D25" s="35">
        <f>D21+D24</f>
        <v>12.340342399999999</v>
      </c>
      <c r="E25" s="73"/>
      <c r="F25" s="35"/>
      <c r="G25" s="35">
        <f>G21+G24</f>
        <v>12.955909616000001</v>
      </c>
      <c r="H25" s="35">
        <f t="shared" si="3"/>
        <v>0.6155672160000023</v>
      </c>
      <c r="I25" s="36">
        <f t="shared" si="7"/>
        <v>4.9882506987812783E-2</v>
      </c>
      <c r="J25" s="111">
        <f t="shared" si="1"/>
        <v>0.59880889747027477</v>
      </c>
    </row>
    <row r="26" spans="1:10" x14ac:dyDescent="0.2">
      <c r="A26" s="107" t="s">
        <v>42</v>
      </c>
      <c r="B26" s="73">
        <f>B8</f>
        <v>77.532000000000011</v>
      </c>
      <c r="C26" s="34">
        <v>3.5999999999999999E-3</v>
      </c>
      <c r="D26" s="22">
        <f>B26*C26</f>
        <v>0.27911520000000001</v>
      </c>
      <c r="E26" s="73">
        <f t="shared" si="4"/>
        <v>77.532000000000011</v>
      </c>
      <c r="F26" s="34">
        <v>3.5999999999999999E-3</v>
      </c>
      <c r="G26" s="22">
        <f>E26*F26</f>
        <v>0.27911520000000001</v>
      </c>
      <c r="H26" s="22">
        <f t="shared" si="3"/>
        <v>0</v>
      </c>
      <c r="I26" s="23">
        <f t="shared" si="7"/>
        <v>0</v>
      </c>
      <c r="J26" s="124">
        <f t="shared" si="1"/>
        <v>1.2900419201195145E-2</v>
      </c>
    </row>
    <row r="27" spans="1:10" s="1" customFormat="1" x14ac:dyDescent="0.2">
      <c r="A27" s="107" t="s">
        <v>43</v>
      </c>
      <c r="B27" s="73">
        <f>B8</f>
        <v>77.532000000000011</v>
      </c>
      <c r="C27" s="34">
        <v>2.0999999999999999E-3</v>
      </c>
      <c r="D27" s="22">
        <f>B27*C27</f>
        <v>0.16281720000000002</v>
      </c>
      <c r="E27" s="73">
        <f t="shared" si="4"/>
        <v>77.532000000000011</v>
      </c>
      <c r="F27" s="34">
        <v>2.0999999999999999E-3</v>
      </c>
      <c r="G27" s="22">
        <f>E27*F27</f>
        <v>0.16281720000000002</v>
      </c>
      <c r="H27" s="22">
        <f>G27-D27</f>
        <v>0</v>
      </c>
      <c r="I27" s="23">
        <f t="shared" si="7"/>
        <v>0</v>
      </c>
      <c r="J27" s="124">
        <f t="shared" si="1"/>
        <v>7.5252445340305025E-3</v>
      </c>
    </row>
    <row r="28" spans="1:10" s="1" customFormat="1" x14ac:dyDescent="0.2">
      <c r="A28" s="107" t="s">
        <v>96</v>
      </c>
      <c r="B28" s="73">
        <f>B8</f>
        <v>77.532000000000011</v>
      </c>
      <c r="C28" s="34">
        <v>0</v>
      </c>
      <c r="D28" s="22">
        <f>B28*C28</f>
        <v>0</v>
      </c>
      <c r="E28" s="73">
        <f t="shared" si="4"/>
        <v>77.532000000000011</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1.155474442201208E-2</v>
      </c>
    </row>
    <row r="30" spans="1:10" s="1" customFormat="1" x14ac:dyDescent="0.2">
      <c r="A30" s="110" t="s">
        <v>45</v>
      </c>
      <c r="B30" s="74"/>
      <c r="C30" s="35"/>
      <c r="D30" s="35">
        <f>SUM(D26:D29)</f>
        <v>0.6919324</v>
      </c>
      <c r="E30" s="73"/>
      <c r="F30" s="35"/>
      <c r="G30" s="35">
        <f>SUM(G26:G29)</f>
        <v>0.6919324</v>
      </c>
      <c r="H30" s="35">
        <f t="shared" si="3"/>
        <v>0</v>
      </c>
      <c r="I30" s="36">
        <f t="shared" si="7"/>
        <v>0</v>
      </c>
      <c r="J30" s="111">
        <f t="shared" si="9"/>
        <v>3.1980408157237725E-2</v>
      </c>
    </row>
    <row r="31" spans="1:10" ht="13.5" thickBot="1" x14ac:dyDescent="0.25">
      <c r="A31" s="112" t="s">
        <v>46</v>
      </c>
      <c r="B31" s="113">
        <f>B4</f>
        <v>71</v>
      </c>
      <c r="C31" s="114">
        <v>7.0000000000000001E-3</v>
      </c>
      <c r="D31" s="115">
        <f>B31*C31</f>
        <v>0.497</v>
      </c>
      <c r="E31" s="116">
        <f t="shared" si="4"/>
        <v>71</v>
      </c>
      <c r="F31" s="114">
        <f>C31</f>
        <v>7.0000000000000001E-3</v>
      </c>
      <c r="G31" s="115">
        <f>E31*F31</f>
        <v>0.497</v>
      </c>
      <c r="H31" s="115">
        <f t="shared" si="3"/>
        <v>0</v>
      </c>
      <c r="I31" s="117">
        <f t="shared" si="7"/>
        <v>0</v>
      </c>
      <c r="J31" s="118">
        <f t="shared" si="9"/>
        <v>2.2970831910960016E-2</v>
      </c>
    </row>
    <row r="32" spans="1:10" x14ac:dyDescent="0.2">
      <c r="A32" s="37" t="s">
        <v>115</v>
      </c>
      <c r="B32" s="38"/>
      <c r="C32" s="39"/>
      <c r="D32" s="39">
        <f>SUM(D14,D21,D24,D30,D31)</f>
        <v>19.990274799999998</v>
      </c>
      <c r="E32" s="38"/>
      <c r="F32" s="39"/>
      <c r="G32" s="39">
        <f>SUM(G14,G21,G24,G30,G31)</f>
        <v>20.605842015999997</v>
      </c>
      <c r="H32" s="39">
        <f t="shared" si="3"/>
        <v>0.61556721599999875</v>
      </c>
      <c r="I32" s="40">
        <f t="shared" si="7"/>
        <v>3.0793334366769124E-2</v>
      </c>
      <c r="J32" s="41">
        <f t="shared" si="9"/>
        <v>0.95238095238095255</v>
      </c>
    </row>
    <row r="33" spans="1:10" x14ac:dyDescent="0.2">
      <c r="A33" s="46" t="s">
        <v>106</v>
      </c>
      <c r="B33" s="43"/>
      <c r="C33" s="26">
        <v>0.13</v>
      </c>
      <c r="D33" s="26">
        <f>D32*C33</f>
        <v>2.598735724</v>
      </c>
      <c r="E33" s="26"/>
      <c r="F33" s="26">
        <f>C33</f>
        <v>0.13</v>
      </c>
      <c r="G33" s="26">
        <f>G32*F33</f>
        <v>2.6787594620799995</v>
      </c>
      <c r="H33" s="26">
        <f t="shared" si="3"/>
        <v>8.0023738079999518E-2</v>
      </c>
      <c r="I33" s="44">
        <f t="shared" si="7"/>
        <v>3.0793334366768999E-2</v>
      </c>
      <c r="J33" s="45">
        <f t="shared" si="9"/>
        <v>0.12380952380952383</v>
      </c>
    </row>
    <row r="34" spans="1:10" x14ac:dyDescent="0.2">
      <c r="A34" s="46" t="s">
        <v>107</v>
      </c>
      <c r="B34" s="24"/>
      <c r="C34" s="25"/>
      <c r="D34" s="25">
        <f>SUM(D32:D33)</f>
        <v>22.589010523999999</v>
      </c>
      <c r="E34" s="25"/>
      <c r="F34" s="25"/>
      <c r="G34" s="25">
        <f>SUM(G32:G33)</f>
        <v>23.284601478079995</v>
      </c>
      <c r="H34" s="25">
        <f t="shared" si="3"/>
        <v>0.69559095407999649</v>
      </c>
      <c r="I34" s="27">
        <f t="shared" si="7"/>
        <v>3.079333436676903E-2</v>
      </c>
      <c r="J34" s="47">
        <f t="shared" si="9"/>
        <v>1.0761904761904764</v>
      </c>
    </row>
    <row r="35" spans="1:10" x14ac:dyDescent="0.2">
      <c r="A35" s="46" t="s">
        <v>108</v>
      </c>
      <c r="B35" s="43"/>
      <c r="C35" s="26">
        <v>-0.08</v>
      </c>
      <c r="D35" s="26">
        <f>D32*C35</f>
        <v>-1.5992219839999999</v>
      </c>
      <c r="E35" s="26"/>
      <c r="F35" s="26">
        <f>C35</f>
        <v>-0.08</v>
      </c>
      <c r="G35" s="26">
        <f>G32*F35</f>
        <v>-1.6484673612799998</v>
      </c>
      <c r="H35" s="26">
        <f t="shared" si="3"/>
        <v>-4.9245377279999891E-2</v>
      </c>
      <c r="I35" s="44">
        <f t="shared" si="7"/>
        <v>-3.0793334366769117E-2</v>
      </c>
      <c r="J35" s="45">
        <f t="shared" si="9"/>
        <v>-7.6190476190476197E-2</v>
      </c>
    </row>
    <row r="36" spans="1:10" ht="13.5" thickBot="1" x14ac:dyDescent="0.25">
      <c r="A36" s="46" t="s">
        <v>109</v>
      </c>
      <c r="B36" s="49"/>
      <c r="C36" s="50"/>
      <c r="D36" s="50">
        <f>SUM(D34:D35)</f>
        <v>20.989788539999999</v>
      </c>
      <c r="E36" s="50"/>
      <c r="F36" s="50"/>
      <c r="G36" s="50">
        <f>SUM(G34:G35)</f>
        <v>21.636134116799994</v>
      </c>
      <c r="H36" s="50">
        <f t="shared" si="3"/>
        <v>0.6463455767999946</v>
      </c>
      <c r="I36" s="51">
        <f t="shared" si="7"/>
        <v>3.079333436676893E-2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1" tint="0.499984740745262"/>
    <pageSetUpPr fitToPage="1"/>
  </sheetPr>
  <dimension ref="A1:J47"/>
  <sheetViews>
    <sheetView tabSelected="1" view="pageLayout" topLeftCell="A4"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101</v>
      </c>
      <c r="B1" s="191"/>
      <c r="C1" s="191"/>
      <c r="D1" s="191"/>
      <c r="E1" s="191"/>
      <c r="F1" s="191"/>
      <c r="G1" s="191"/>
      <c r="H1" s="191"/>
      <c r="I1" s="191"/>
      <c r="J1" s="192"/>
    </row>
    <row r="3" spans="1:10" x14ac:dyDescent="0.2">
      <c r="A3" s="13" t="s">
        <v>13</v>
      </c>
      <c r="B3" s="13" t="s">
        <v>9</v>
      </c>
    </row>
    <row r="4" spans="1:10" x14ac:dyDescent="0.2">
      <c r="A4" s="15" t="s">
        <v>62</v>
      </c>
      <c r="B4" s="15">
        <v>200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218.4</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200</v>
      </c>
      <c r="C12" s="103">
        <v>9.0999999999999998E-2</v>
      </c>
      <c r="D12" s="104">
        <f>B12*C12</f>
        <v>18.2</v>
      </c>
      <c r="E12" s="102">
        <f>B12</f>
        <v>200</v>
      </c>
      <c r="F12" s="103">
        <f>C12</f>
        <v>9.0999999999999998E-2</v>
      </c>
      <c r="G12" s="104">
        <f>E12*F12</f>
        <v>18.2</v>
      </c>
      <c r="H12" s="104">
        <f>G12-D12</f>
        <v>0</v>
      </c>
      <c r="I12" s="105">
        <f t="shared" ref="I12:I18" si="0">IF(ISERROR(H12/ABS(D12)),"N/A",(H12/ABS(D12)))</f>
        <v>0</v>
      </c>
      <c r="J12" s="123">
        <f t="shared" ref="J12:J27" si="1">G12/$G$36</f>
        <v>0.3342573027969849</v>
      </c>
    </row>
    <row r="13" spans="1:10" x14ac:dyDescent="0.2">
      <c r="A13" s="107" t="s">
        <v>32</v>
      </c>
      <c r="B13" s="73">
        <f>IF(B4&gt;B7,(B4)-B7,0)</f>
        <v>0</v>
      </c>
      <c r="C13" s="21">
        <v>0.106</v>
      </c>
      <c r="D13" s="22">
        <f>B13*C13</f>
        <v>0</v>
      </c>
      <c r="E13" s="73">
        <f t="shared" ref="E13" si="2">B13</f>
        <v>0</v>
      </c>
      <c r="F13" s="21">
        <f>C13</f>
        <v>0.106</v>
      </c>
      <c r="G13" s="22">
        <f>E13*F13</f>
        <v>0</v>
      </c>
      <c r="H13" s="22">
        <f t="shared" ref="H13:H36" si="3">G13-D13</f>
        <v>0</v>
      </c>
      <c r="I13" s="23" t="str">
        <f t="shared" si="0"/>
        <v>N/A</v>
      </c>
      <c r="J13" s="124">
        <f t="shared" si="1"/>
        <v>0</v>
      </c>
    </row>
    <row r="14" spans="1:10" s="1" customFormat="1" x14ac:dyDescent="0.2">
      <c r="A14" s="46" t="s">
        <v>33</v>
      </c>
      <c r="B14" s="24"/>
      <c r="C14" s="25"/>
      <c r="D14" s="25">
        <f>SUM(D12:D13)</f>
        <v>18.2</v>
      </c>
      <c r="E14" s="76"/>
      <c r="F14" s="25"/>
      <c r="G14" s="25">
        <f>SUM(G12:G13)</f>
        <v>18.2</v>
      </c>
      <c r="H14" s="25">
        <f t="shared" si="3"/>
        <v>0</v>
      </c>
      <c r="I14" s="27">
        <f t="shared" si="0"/>
        <v>0</v>
      </c>
      <c r="J14" s="47">
        <f t="shared" si="1"/>
        <v>0.3342573027969849</v>
      </c>
    </row>
    <row r="15" spans="1:10" x14ac:dyDescent="0.2">
      <c r="A15" s="107" t="s">
        <v>38</v>
      </c>
      <c r="B15" s="73">
        <v>1</v>
      </c>
      <c r="C15" s="78">
        <f>VLOOKUP($B$3,'Data for Bill Impacts'!$A$6:$Y$18,7,0)</f>
        <v>2.71</v>
      </c>
      <c r="D15" s="22">
        <f>B15*C15</f>
        <v>2.71</v>
      </c>
      <c r="E15" s="73">
        <f t="shared" ref="E15:E31" si="4">B15</f>
        <v>1</v>
      </c>
      <c r="F15" s="78">
        <f>VLOOKUP($B$3,'Data for Bill Impacts'!$A$6:$Y$18,17,0)</f>
        <v>3.15</v>
      </c>
      <c r="G15" s="22">
        <f>E15*F15</f>
        <v>3.15</v>
      </c>
      <c r="H15" s="22">
        <f t="shared" si="3"/>
        <v>0.43999999999999995</v>
      </c>
      <c r="I15" s="23">
        <f t="shared" si="0"/>
        <v>0.16236162361623616</v>
      </c>
      <c r="J15" s="124">
        <f t="shared" si="1"/>
        <v>5.7852225484093536E-2</v>
      </c>
    </row>
    <row r="16" spans="1:10" x14ac:dyDescent="0.2">
      <c r="A16" s="107" t="s">
        <v>85</v>
      </c>
      <c r="B16" s="73">
        <v>1</v>
      </c>
      <c r="C16" s="78">
        <f>VLOOKUP($B$3,'Data for Bill Impacts'!$A$6:$Y$18,13,0)</f>
        <v>0.05</v>
      </c>
      <c r="D16" s="22">
        <f t="shared" ref="D16" si="5">B16*C16</f>
        <v>0.05</v>
      </c>
      <c r="E16" s="73">
        <f t="shared" si="4"/>
        <v>1</v>
      </c>
      <c r="F16" s="121">
        <f>VLOOKUP($B$3,'Data for Bill Impacts'!$A$6:$Y$18,22,0)</f>
        <v>6.0000000000000001E-3</v>
      </c>
      <c r="G16" s="22">
        <f t="shared" ref="G16" si="6">E16*F16</f>
        <v>6.0000000000000001E-3</v>
      </c>
      <c r="H16" s="22">
        <f t="shared" si="3"/>
        <v>-4.4000000000000004E-2</v>
      </c>
      <c r="I16" s="23">
        <f t="shared" si="0"/>
        <v>-0.88</v>
      </c>
      <c r="J16" s="124">
        <f t="shared" si="1"/>
        <v>1.1019471520779722E-4</v>
      </c>
    </row>
    <row r="17" spans="1:10" x14ac:dyDescent="0.2">
      <c r="A17" s="107" t="s">
        <v>39</v>
      </c>
      <c r="B17" s="73">
        <f>IF($B$9="kWh",$B$4,$B$5)</f>
        <v>200</v>
      </c>
      <c r="C17" s="78">
        <f>VLOOKUP($B$3,'Data for Bill Impacts'!$A$6:$Y$18,10,0)</f>
        <v>0.1178</v>
      </c>
      <c r="D17" s="22">
        <f>B17*C17</f>
        <v>23.56</v>
      </c>
      <c r="E17" s="73">
        <f t="shared" si="4"/>
        <v>200</v>
      </c>
      <c r="F17" s="125">
        <f>VLOOKUP($B$3,'Data for Bill Impacts'!$A$6:$Y$18,19,0)</f>
        <v>0.11990000000000001</v>
      </c>
      <c r="G17" s="22">
        <f>E17*F17</f>
        <v>23.98</v>
      </c>
      <c r="H17" s="22">
        <f t="shared" si="3"/>
        <v>0.42000000000000171</v>
      </c>
      <c r="I17" s="23">
        <f t="shared" si="0"/>
        <v>1.782682512733454E-2</v>
      </c>
      <c r="J17" s="124">
        <f t="shared" si="1"/>
        <v>0.44041154511382957</v>
      </c>
    </row>
    <row r="18" spans="1:10" s="1" customFormat="1" x14ac:dyDescent="0.2">
      <c r="A18" s="107" t="s">
        <v>124</v>
      </c>
      <c r="B18" s="73">
        <f>IF($B$9="kWh",$B$4,$B$5)</f>
        <v>200</v>
      </c>
      <c r="C18" s="78">
        <f>VLOOKUP($B$3,'Data for Bill Impacts'!$A$6:$Y$18,14,0)</f>
        <v>8.9999999999999998E-4</v>
      </c>
      <c r="D18" s="22">
        <f>B18*C18</f>
        <v>0.18</v>
      </c>
      <c r="E18" s="73">
        <f>B18</f>
        <v>200</v>
      </c>
      <c r="F18" s="125">
        <f>VLOOKUP($B$3,'Data for Bill Impacts'!$A$6:$Y$18,23,0)</f>
        <v>-6.0000000000000002E-5</v>
      </c>
      <c r="G18" s="22">
        <f>E18*F18</f>
        <v>-1.2E-2</v>
      </c>
      <c r="H18" s="22">
        <f>G18-D18</f>
        <v>-0.192</v>
      </c>
      <c r="I18" s="23">
        <f t="shared" si="0"/>
        <v>-1.0666666666666667</v>
      </c>
      <c r="J18" s="124">
        <f t="shared" si="1"/>
        <v>-2.2038943041559445E-4</v>
      </c>
    </row>
    <row r="19" spans="1:10" x14ac:dyDescent="0.2">
      <c r="A19" s="110" t="s">
        <v>72</v>
      </c>
      <c r="B19" s="74"/>
      <c r="C19" s="35"/>
      <c r="D19" s="35">
        <f>SUM(D15:D18)</f>
        <v>26.5</v>
      </c>
      <c r="E19" s="73"/>
      <c r="F19" s="35"/>
      <c r="G19" s="35">
        <f>SUM(G15:G18)</f>
        <v>27.123999999999999</v>
      </c>
      <c r="H19" s="35">
        <f t="shared" si="3"/>
        <v>0.62399999999999878</v>
      </c>
      <c r="I19" s="36">
        <f>IF(ISERROR(H19/ABS(D19)),"N/A",(H19/ABS(D19)))</f>
        <v>2.3547169811320708E-2</v>
      </c>
      <c r="J19" s="111">
        <f t="shared" si="1"/>
        <v>0.49815357588271525</v>
      </c>
    </row>
    <row r="20" spans="1:10" s="1" customFormat="1" x14ac:dyDescent="0.2">
      <c r="A20" s="119" t="s">
        <v>81</v>
      </c>
      <c r="B20" s="120">
        <f>B8-B4</f>
        <v>18.400000000000006</v>
      </c>
      <c r="C20" s="176">
        <f>IF(B4&gt;B7,C13,C12)</f>
        <v>9.0999999999999998E-2</v>
      </c>
      <c r="D20" s="22">
        <f>B20*C20</f>
        <v>1.6744000000000006</v>
      </c>
      <c r="E20" s="73">
        <f>B20</f>
        <v>18.400000000000006</v>
      </c>
      <c r="F20" s="176">
        <f>C20</f>
        <v>9.0999999999999998E-2</v>
      </c>
      <c r="G20" s="22">
        <f>E20*F20</f>
        <v>1.6744000000000006</v>
      </c>
      <c r="H20" s="22">
        <f t="shared" si="3"/>
        <v>0</v>
      </c>
      <c r="I20" s="23">
        <f t="shared" ref="I20:I36" si="7">IF(ISERROR(H20/ABS(D20)),"N/A",(H20/ABS(D20)))</f>
        <v>0</v>
      </c>
      <c r="J20" s="124">
        <f t="shared" si="1"/>
        <v>3.075167185732262E-2</v>
      </c>
    </row>
    <row r="21" spans="1:10" x14ac:dyDescent="0.2">
      <c r="A21" s="110" t="s">
        <v>79</v>
      </c>
      <c r="B21" s="74"/>
      <c r="C21" s="35"/>
      <c r="D21" s="35">
        <f>SUM(D19,D20:D20)</f>
        <v>28.174400000000002</v>
      </c>
      <c r="E21" s="73"/>
      <c r="F21" s="35"/>
      <c r="G21" s="35">
        <f>SUM(G19,G20:G20)</f>
        <v>28.798400000000001</v>
      </c>
      <c r="H21" s="35">
        <f t="shared" si="3"/>
        <v>0.62399999999999878</v>
      </c>
      <c r="I21" s="36">
        <f t="shared" si="7"/>
        <v>2.2147765347265556E-2</v>
      </c>
      <c r="J21" s="111">
        <f t="shared" si="1"/>
        <v>0.52890524774003789</v>
      </c>
    </row>
    <row r="22" spans="1:10" x14ac:dyDescent="0.2">
      <c r="A22" s="107" t="s">
        <v>40</v>
      </c>
      <c r="B22" s="73">
        <f>B8</f>
        <v>218.4</v>
      </c>
      <c r="C22" s="78">
        <f>VLOOKUP($B$3,'Data for Bill Impacts'!$A$6:$Y$18,15,0)</f>
        <v>4.4999999999999997E-3</v>
      </c>
      <c r="D22" s="22">
        <f>B22*C22</f>
        <v>0.9827999999999999</v>
      </c>
      <c r="E22" s="73">
        <f t="shared" si="4"/>
        <v>218.4</v>
      </c>
      <c r="F22" s="125">
        <f>VLOOKUP($B$3,'Data for Bill Impacts'!$A$6:$Y$18,24,0)</f>
        <v>4.6979999999999999E-3</v>
      </c>
      <c r="G22" s="22">
        <f>E22*F22</f>
        <v>1.0260431999999999</v>
      </c>
      <c r="H22" s="22">
        <f t="shared" si="3"/>
        <v>4.3243200000000037E-2</v>
      </c>
      <c r="I22" s="23">
        <f t="shared" si="7"/>
        <v>4.4000000000000039E-2</v>
      </c>
      <c r="J22" s="124">
        <f t="shared" si="1"/>
        <v>1.884408970248282E-2</v>
      </c>
    </row>
    <row r="23" spans="1:10" s="1" customFormat="1" x14ac:dyDescent="0.2">
      <c r="A23" s="107" t="s">
        <v>41</v>
      </c>
      <c r="B23" s="73">
        <f>B8</f>
        <v>218.4</v>
      </c>
      <c r="C23" s="78">
        <f>VLOOKUP($B$3,'Data for Bill Impacts'!$A$6:$Y$18,16,0)</f>
        <v>2.7000000000000001E-3</v>
      </c>
      <c r="D23" s="22">
        <f>B23*C23</f>
        <v>0.58968000000000009</v>
      </c>
      <c r="E23" s="73">
        <f t="shared" si="4"/>
        <v>218.4</v>
      </c>
      <c r="F23" s="125">
        <f>VLOOKUP($B$3,'Data for Bill Impacts'!$A$6:$Y$18,25,0)</f>
        <v>4.2899999999999995E-3</v>
      </c>
      <c r="G23" s="22">
        <f>E23*F23</f>
        <v>0.93693599999999988</v>
      </c>
      <c r="H23" s="22">
        <f t="shared" si="3"/>
        <v>0.34725599999999979</v>
      </c>
      <c r="I23" s="23">
        <f t="shared" si="7"/>
        <v>0.58888888888888846</v>
      </c>
      <c r="J23" s="124">
        <f t="shared" si="1"/>
        <v>1.7207565947988779E-2</v>
      </c>
    </row>
    <row r="24" spans="1:10" s="1" customFormat="1" x14ac:dyDescent="0.2">
      <c r="A24" s="110" t="s">
        <v>76</v>
      </c>
      <c r="B24" s="74"/>
      <c r="C24" s="35"/>
      <c r="D24" s="35">
        <f>SUM(D22:D23)</f>
        <v>1.5724800000000001</v>
      </c>
      <c r="E24" s="73"/>
      <c r="F24" s="35"/>
      <c r="G24" s="35">
        <f>SUM(G22:G23)</f>
        <v>1.9629791999999999</v>
      </c>
      <c r="H24" s="35">
        <f t="shared" si="3"/>
        <v>0.39049919999999982</v>
      </c>
      <c r="I24" s="36">
        <f t="shared" si="7"/>
        <v>0.24833333333333321</v>
      </c>
      <c r="J24" s="111">
        <f t="shared" si="1"/>
        <v>3.6051655650471602E-2</v>
      </c>
    </row>
    <row r="25" spans="1:10" s="1" customFormat="1" x14ac:dyDescent="0.2">
      <c r="A25" s="110" t="s">
        <v>80</v>
      </c>
      <c r="B25" s="74"/>
      <c r="C25" s="35"/>
      <c r="D25" s="35">
        <f>D21+D24</f>
        <v>29.746880000000001</v>
      </c>
      <c r="E25" s="73"/>
      <c r="F25" s="35"/>
      <c r="G25" s="35">
        <f>G21+G24</f>
        <v>30.7613792</v>
      </c>
      <c r="H25" s="35">
        <f t="shared" si="3"/>
        <v>1.0144991999999995</v>
      </c>
      <c r="I25" s="36">
        <f t="shared" si="7"/>
        <v>3.4104390107466714E-2</v>
      </c>
      <c r="J25" s="111">
        <f t="shared" si="1"/>
        <v>0.56495690339050952</v>
      </c>
    </row>
    <row r="26" spans="1:10" x14ac:dyDescent="0.2">
      <c r="A26" s="107" t="s">
        <v>42</v>
      </c>
      <c r="B26" s="73">
        <f>B8</f>
        <v>218.4</v>
      </c>
      <c r="C26" s="34">
        <v>3.5999999999999999E-3</v>
      </c>
      <c r="D26" s="22">
        <f>B26*C26</f>
        <v>0.78624000000000005</v>
      </c>
      <c r="E26" s="73">
        <f t="shared" si="4"/>
        <v>218.4</v>
      </c>
      <c r="F26" s="34">
        <v>3.5999999999999999E-3</v>
      </c>
      <c r="G26" s="22">
        <f>E26*F26</f>
        <v>0.78624000000000005</v>
      </c>
      <c r="H26" s="22">
        <f t="shared" si="3"/>
        <v>0</v>
      </c>
      <c r="I26" s="23">
        <f t="shared" si="7"/>
        <v>0</v>
      </c>
      <c r="J26" s="124">
        <f t="shared" si="1"/>
        <v>1.4439915480829749E-2</v>
      </c>
    </row>
    <row r="27" spans="1:10" s="1" customFormat="1" x14ac:dyDescent="0.2">
      <c r="A27" s="107" t="s">
        <v>43</v>
      </c>
      <c r="B27" s="73">
        <f>B8</f>
        <v>218.4</v>
      </c>
      <c r="C27" s="34">
        <v>2.0999999999999999E-3</v>
      </c>
      <c r="D27" s="22">
        <f>B27*C27</f>
        <v>0.45863999999999999</v>
      </c>
      <c r="E27" s="73">
        <f t="shared" si="4"/>
        <v>218.4</v>
      </c>
      <c r="F27" s="34">
        <v>2.0999999999999999E-3</v>
      </c>
      <c r="G27" s="22">
        <f>E27*F27</f>
        <v>0.45863999999999999</v>
      </c>
      <c r="H27" s="22">
        <f>G27-D27</f>
        <v>0</v>
      </c>
      <c r="I27" s="23">
        <f t="shared" si="7"/>
        <v>0</v>
      </c>
      <c r="J27" s="124">
        <f t="shared" si="1"/>
        <v>8.4232840304840195E-3</v>
      </c>
    </row>
    <row r="28" spans="1:10" s="1" customFormat="1" x14ac:dyDescent="0.2">
      <c r="A28" s="107" t="s">
        <v>96</v>
      </c>
      <c r="B28" s="73">
        <f>B8</f>
        <v>218.4</v>
      </c>
      <c r="C28" s="34">
        <v>0</v>
      </c>
      <c r="D28" s="22">
        <f>B28*C28</f>
        <v>0</v>
      </c>
      <c r="E28" s="73">
        <f t="shared" si="4"/>
        <v>218.4</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4.5914464669915504E-3</v>
      </c>
    </row>
    <row r="30" spans="1:10" s="1" customFormat="1" x14ac:dyDescent="0.2">
      <c r="A30" s="110" t="s">
        <v>45</v>
      </c>
      <c r="B30" s="74"/>
      <c r="C30" s="35"/>
      <c r="D30" s="35">
        <f>SUM(D26:D29)</f>
        <v>1.49488</v>
      </c>
      <c r="E30" s="73"/>
      <c r="F30" s="35"/>
      <c r="G30" s="35">
        <f>SUM(G26:G29)</f>
        <v>1.49488</v>
      </c>
      <c r="H30" s="35">
        <f t="shared" si="3"/>
        <v>0</v>
      </c>
      <c r="I30" s="36">
        <f t="shared" si="7"/>
        <v>0</v>
      </c>
      <c r="J30" s="111">
        <f t="shared" si="9"/>
        <v>2.7454645978305318E-2</v>
      </c>
    </row>
    <row r="31" spans="1:10" ht="13.5" thickBot="1" x14ac:dyDescent="0.25">
      <c r="A31" s="112" t="s">
        <v>46</v>
      </c>
      <c r="B31" s="113">
        <f>B4</f>
        <v>200</v>
      </c>
      <c r="C31" s="114">
        <v>7.0000000000000001E-3</v>
      </c>
      <c r="D31" s="115">
        <f>B31*C31</f>
        <v>1.4000000000000001</v>
      </c>
      <c r="E31" s="116">
        <f t="shared" si="4"/>
        <v>200</v>
      </c>
      <c r="F31" s="114">
        <f>C31</f>
        <v>7.0000000000000001E-3</v>
      </c>
      <c r="G31" s="115">
        <f>E31*F31</f>
        <v>1.4000000000000001</v>
      </c>
      <c r="H31" s="115">
        <f t="shared" si="3"/>
        <v>0</v>
      </c>
      <c r="I31" s="117">
        <f t="shared" si="7"/>
        <v>0</v>
      </c>
      <c r="J31" s="118">
        <f t="shared" si="9"/>
        <v>2.5712100215152685E-2</v>
      </c>
    </row>
    <row r="32" spans="1:10" x14ac:dyDescent="0.2">
      <c r="A32" s="37" t="s">
        <v>115</v>
      </c>
      <c r="B32" s="38"/>
      <c r="C32" s="39"/>
      <c r="D32" s="39">
        <f>SUM(D14,D21,D24,D30,D31)</f>
        <v>50.841760000000001</v>
      </c>
      <c r="E32" s="38"/>
      <c r="F32" s="39"/>
      <c r="G32" s="39">
        <f>SUM(G14,G21,G24,G30,G31)</f>
        <v>51.856259200000004</v>
      </c>
      <c r="H32" s="39">
        <f t="shared" si="3"/>
        <v>1.014499200000003</v>
      </c>
      <c r="I32" s="40">
        <f t="shared" si="7"/>
        <v>1.9954053518210287E-2</v>
      </c>
      <c r="J32" s="41">
        <f t="shared" si="9"/>
        <v>0.95238095238095244</v>
      </c>
    </row>
    <row r="33" spans="1:10" x14ac:dyDescent="0.2">
      <c r="A33" s="46" t="s">
        <v>106</v>
      </c>
      <c r="B33" s="43"/>
      <c r="C33" s="26">
        <v>0.13</v>
      </c>
      <c r="D33" s="26">
        <f>D32*C33</f>
        <v>6.6094287999999999</v>
      </c>
      <c r="E33" s="26"/>
      <c r="F33" s="26">
        <f>C33</f>
        <v>0.13</v>
      </c>
      <c r="G33" s="26">
        <f>G32*F33</f>
        <v>6.7413136960000006</v>
      </c>
      <c r="H33" s="26">
        <f t="shared" si="3"/>
        <v>0.13188489600000075</v>
      </c>
      <c r="I33" s="44">
        <f t="shared" si="7"/>
        <v>1.9954053518210342E-2</v>
      </c>
      <c r="J33" s="45">
        <f t="shared" si="9"/>
        <v>0.12380952380952383</v>
      </c>
    </row>
    <row r="34" spans="1:10" x14ac:dyDescent="0.2">
      <c r="A34" s="46" t="s">
        <v>107</v>
      </c>
      <c r="B34" s="24"/>
      <c r="C34" s="25"/>
      <c r="D34" s="25">
        <f>SUM(D32:D33)</f>
        <v>57.451188799999997</v>
      </c>
      <c r="E34" s="25"/>
      <c r="F34" s="25"/>
      <c r="G34" s="25">
        <f>SUM(G32:G33)</f>
        <v>58.597572896000003</v>
      </c>
      <c r="H34" s="25">
        <f t="shared" si="3"/>
        <v>1.1463840960000056</v>
      </c>
      <c r="I34" s="27">
        <f t="shared" si="7"/>
        <v>1.9954053518210325E-2</v>
      </c>
      <c r="J34" s="47">
        <f t="shared" si="9"/>
        <v>1.0761904761904761</v>
      </c>
    </row>
    <row r="35" spans="1:10" x14ac:dyDescent="0.2">
      <c r="A35" s="46" t="s">
        <v>108</v>
      </c>
      <c r="B35" s="43"/>
      <c r="C35" s="26">
        <v>-0.08</v>
      </c>
      <c r="D35" s="26">
        <f>D32*C35</f>
        <v>-4.0673408000000002</v>
      </c>
      <c r="E35" s="26"/>
      <c r="F35" s="26">
        <f>C35</f>
        <v>-0.08</v>
      </c>
      <c r="G35" s="26">
        <f>G32*F35</f>
        <v>-4.1485007360000008</v>
      </c>
      <c r="H35" s="26">
        <f t="shared" si="3"/>
        <v>-8.1159936000000599E-2</v>
      </c>
      <c r="I35" s="44">
        <f t="shared" si="7"/>
        <v>-1.9954053518210373E-2</v>
      </c>
      <c r="J35" s="45">
        <f t="shared" si="9"/>
        <v>-7.6190476190476211E-2</v>
      </c>
    </row>
    <row r="36" spans="1:10" ht="13.5" thickBot="1" x14ac:dyDescent="0.25">
      <c r="A36" s="46" t="s">
        <v>109</v>
      </c>
      <c r="B36" s="49"/>
      <c r="C36" s="50"/>
      <c r="D36" s="50">
        <f>SUM(D34:D35)</f>
        <v>53.383848</v>
      </c>
      <c r="E36" s="50"/>
      <c r="F36" s="50"/>
      <c r="G36" s="50">
        <f>SUM(G34:G35)</f>
        <v>54.44907216</v>
      </c>
      <c r="H36" s="50">
        <f t="shared" si="3"/>
        <v>1.0652241599999996</v>
      </c>
      <c r="I36" s="51">
        <f t="shared" si="7"/>
        <v>1.9954053518210221E-2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47"/>
  <sheetViews>
    <sheetView tabSelected="1" view="pageLayout" topLeftCell="A6"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190" t="s">
        <v>98</v>
      </c>
      <c r="B1" s="191"/>
      <c r="C1" s="191"/>
      <c r="D1" s="191"/>
      <c r="E1" s="191"/>
      <c r="F1" s="191"/>
      <c r="G1" s="191"/>
      <c r="H1" s="191"/>
      <c r="I1" s="191"/>
      <c r="J1" s="192"/>
      <c r="K1" s="127"/>
    </row>
    <row r="3" spans="1:11" x14ac:dyDescent="0.2">
      <c r="A3" s="13" t="s">
        <v>13</v>
      </c>
      <c r="B3" s="13" t="s">
        <v>8</v>
      </c>
    </row>
    <row r="4" spans="1:11" x14ac:dyDescent="0.2">
      <c r="A4" s="15" t="s">
        <v>62</v>
      </c>
      <c r="B4" s="15">
        <v>100</v>
      </c>
    </row>
    <row r="5" spans="1:11" x14ac:dyDescent="0.2">
      <c r="A5" s="15" t="s">
        <v>16</v>
      </c>
      <c r="B5" s="15">
        <f>VLOOKUP($B$3,'Data for Bill Impacts'!$A$6:$Y$18,5,0)</f>
        <v>0</v>
      </c>
    </row>
    <row r="6" spans="1:11" x14ac:dyDescent="0.2">
      <c r="A6" s="15" t="s">
        <v>20</v>
      </c>
      <c r="B6" s="15">
        <f>VLOOKUP($B$3,'Data for Bill Impacts'!$A$6:$Y$18,2,0)</f>
        <v>1.0920000000000001</v>
      </c>
    </row>
    <row r="7" spans="1:11" x14ac:dyDescent="0.2">
      <c r="A7" s="15" t="s">
        <v>15</v>
      </c>
      <c r="B7" s="15">
        <f>VLOOKUP($B$3,'Data for Bill Impacts'!$A$6:$Y$18,4,0)</f>
        <v>750</v>
      </c>
    </row>
    <row r="8" spans="1:11" x14ac:dyDescent="0.2">
      <c r="A8" s="15" t="s">
        <v>82</v>
      </c>
      <c r="B8" s="15">
        <f>B4*B6</f>
        <v>109.2</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2" t="s">
        <v>29</v>
      </c>
    </row>
    <row r="12" spans="1:11" x14ac:dyDescent="0.2">
      <c r="A12" s="101" t="s">
        <v>31</v>
      </c>
      <c r="B12" s="102">
        <f>IF(B4&gt;B7,B7,B4)</f>
        <v>100</v>
      </c>
      <c r="C12" s="103">
        <v>9.0999999999999998E-2</v>
      </c>
      <c r="D12" s="104">
        <f>B12*C12</f>
        <v>9.1</v>
      </c>
      <c r="E12" s="102">
        <f>B12</f>
        <v>100</v>
      </c>
      <c r="F12" s="103">
        <f>C12</f>
        <v>9.0999999999999998E-2</v>
      </c>
      <c r="G12" s="104">
        <f>E12*F12</f>
        <v>9.1</v>
      </c>
      <c r="H12" s="104">
        <f>G12-D12</f>
        <v>0</v>
      </c>
      <c r="I12" s="105">
        <f t="shared" ref="I12:I18" si="0">IF(ISERROR(H12/ABS(D12)),"N/A",(H12/ABS(D12)))</f>
        <v>0</v>
      </c>
      <c r="J12" s="123">
        <f t="shared" ref="J12:J27" si="1">G12/$G$36</f>
        <v>0.32919147656213404</v>
      </c>
    </row>
    <row r="13" spans="1:11" x14ac:dyDescent="0.2">
      <c r="A13" s="107" t="s">
        <v>32</v>
      </c>
      <c r="B13" s="73">
        <f>IF(B4&gt;B7,(B4)-B7,0)</f>
        <v>0</v>
      </c>
      <c r="C13" s="21">
        <v>0.106</v>
      </c>
      <c r="D13" s="22">
        <f>B13*C13</f>
        <v>0</v>
      </c>
      <c r="E13" s="73">
        <f t="shared" ref="E13:E31" si="2">B13</f>
        <v>0</v>
      </c>
      <c r="F13" s="21">
        <f>C13</f>
        <v>0.106</v>
      </c>
      <c r="G13" s="22">
        <f>E13*F13</f>
        <v>0</v>
      </c>
      <c r="H13" s="22">
        <f t="shared" ref="H13:H36" si="3">G13-D13</f>
        <v>0</v>
      </c>
      <c r="I13" s="23" t="str">
        <f t="shared" si="0"/>
        <v>N/A</v>
      </c>
      <c r="J13" s="124">
        <f t="shared" si="1"/>
        <v>0</v>
      </c>
    </row>
    <row r="14" spans="1:11" s="1" customFormat="1" x14ac:dyDescent="0.2">
      <c r="A14" s="46" t="s">
        <v>33</v>
      </c>
      <c r="B14" s="24"/>
      <c r="C14" s="25"/>
      <c r="D14" s="25">
        <f>SUM(D12:D13)</f>
        <v>9.1</v>
      </c>
      <c r="E14" s="76"/>
      <c r="F14" s="25"/>
      <c r="G14" s="25">
        <f>SUM(G12:G13)</f>
        <v>9.1</v>
      </c>
      <c r="H14" s="25">
        <f t="shared" si="3"/>
        <v>0</v>
      </c>
      <c r="I14" s="27">
        <f t="shared" si="0"/>
        <v>0</v>
      </c>
      <c r="J14" s="47">
        <f t="shared" si="1"/>
        <v>0.32919147656213404</v>
      </c>
    </row>
    <row r="15" spans="1:11" x14ac:dyDescent="0.2">
      <c r="A15" s="107" t="s">
        <v>38</v>
      </c>
      <c r="B15" s="73">
        <v>1</v>
      </c>
      <c r="C15" s="78">
        <f>VLOOKUP($B$3,'Data for Bill Impacts'!$A$6:$Y$18,7,0)</f>
        <v>4.25</v>
      </c>
      <c r="D15" s="22">
        <f>B15*C15</f>
        <v>4.25</v>
      </c>
      <c r="E15" s="73">
        <f t="shared" si="2"/>
        <v>1</v>
      </c>
      <c r="F15" s="78">
        <f>VLOOKUP($B$3,'Data for Bill Impacts'!$A$6:$Y$18,17,0)</f>
        <v>4.07</v>
      </c>
      <c r="G15" s="22">
        <f>E15*F15</f>
        <v>4.07</v>
      </c>
      <c r="H15" s="22">
        <f t="shared" si="3"/>
        <v>-0.17999999999999972</v>
      </c>
      <c r="I15" s="23">
        <f t="shared" si="0"/>
        <v>-4.2352941176470524E-2</v>
      </c>
      <c r="J15" s="124">
        <f t="shared" si="1"/>
        <v>0.14723179226460284</v>
      </c>
    </row>
    <row r="16" spans="1:11" x14ac:dyDescent="0.2">
      <c r="A16" s="107" t="s">
        <v>85</v>
      </c>
      <c r="B16" s="73">
        <v>1</v>
      </c>
      <c r="C16" s="78">
        <f>VLOOKUP($B$3,'Data for Bill Impacts'!$A$6:$Y$18,13,0)</f>
        <v>0.08</v>
      </c>
      <c r="D16" s="22">
        <f t="shared" ref="D16" si="4">B16*C16</f>
        <v>0.08</v>
      </c>
      <c r="E16" s="73">
        <f t="shared" si="2"/>
        <v>1</v>
      </c>
      <c r="F16" s="121">
        <f>VLOOKUP($B$3,'Data for Bill Impacts'!$A$6:$Y$18,22,0)</f>
        <v>7.0000000000000001E-3</v>
      </c>
      <c r="G16" s="22">
        <f t="shared" ref="G16" si="5">E16*F16</f>
        <v>7.0000000000000001E-3</v>
      </c>
      <c r="H16" s="22">
        <f t="shared" ref="H16" si="6">G16-D16</f>
        <v>-7.2999999999999995E-2</v>
      </c>
      <c r="I16" s="23">
        <f t="shared" si="0"/>
        <v>-0.91249999999999998</v>
      </c>
      <c r="J16" s="124">
        <f t="shared" si="1"/>
        <v>2.5322421274010312E-4</v>
      </c>
    </row>
    <row r="17" spans="1:10" x14ac:dyDescent="0.2">
      <c r="A17" s="107" t="s">
        <v>39</v>
      </c>
      <c r="B17" s="73">
        <f>IF($B$9="kWh",$B$4,$B$5)</f>
        <v>100</v>
      </c>
      <c r="C17" s="78">
        <f>VLOOKUP($B$3,'Data for Bill Impacts'!$A$6:$Y$18,10,0)</f>
        <v>9.2399999999999996E-2</v>
      </c>
      <c r="D17" s="22">
        <f>B17*C17</f>
        <v>9.24</v>
      </c>
      <c r="E17" s="73">
        <f t="shared" si="2"/>
        <v>100</v>
      </c>
      <c r="F17" s="125">
        <f>VLOOKUP($B$3,'Data for Bill Impacts'!$A$6:$Y$18,19,0)</f>
        <v>9.7600000000000006E-2</v>
      </c>
      <c r="G17" s="22">
        <f>E17*F17</f>
        <v>9.76</v>
      </c>
      <c r="H17" s="22">
        <f t="shared" si="3"/>
        <v>0.51999999999999957</v>
      </c>
      <c r="I17" s="23">
        <f t="shared" si="0"/>
        <v>5.6277056277056231E-2</v>
      </c>
      <c r="J17" s="124">
        <f t="shared" si="1"/>
        <v>0.35306690233477234</v>
      </c>
    </row>
    <row r="18" spans="1:10" s="1" customFormat="1" x14ac:dyDescent="0.2">
      <c r="A18" s="107" t="s">
        <v>124</v>
      </c>
      <c r="B18" s="73">
        <f>IF($B$9="kWh",$B$4,$B$5)</f>
        <v>100</v>
      </c>
      <c r="C18" s="78">
        <f>VLOOKUP($B$3,'Data for Bill Impacts'!$A$6:$Y$18,14,0)</f>
        <v>6.9999999999999999E-4</v>
      </c>
      <c r="D18" s="22">
        <f>B18*C18</f>
        <v>6.9999999999999993E-2</v>
      </c>
      <c r="E18" s="73">
        <f>B18</f>
        <v>100</v>
      </c>
      <c r="F18" s="125">
        <f>VLOOKUP($B$3,'Data for Bill Impacts'!$A$6:$Y$18,23,0)</f>
        <v>-9.9999999999999991E-6</v>
      </c>
      <c r="G18" s="22">
        <f>E18*F18</f>
        <v>-1E-3</v>
      </c>
      <c r="H18" s="22">
        <f>G18-D18</f>
        <v>-7.0999999999999994E-2</v>
      </c>
      <c r="I18" s="23">
        <f t="shared" si="0"/>
        <v>-1.0142857142857142</v>
      </c>
      <c r="J18" s="124">
        <f t="shared" si="1"/>
        <v>-3.6174887534300444E-5</v>
      </c>
    </row>
    <row r="19" spans="1:10" x14ac:dyDescent="0.2">
      <c r="A19" s="110" t="s">
        <v>72</v>
      </c>
      <c r="B19" s="74"/>
      <c r="C19" s="35"/>
      <c r="D19" s="35">
        <f>SUM(D15:D18)</f>
        <v>13.64</v>
      </c>
      <c r="E19" s="73"/>
      <c r="F19" s="35"/>
      <c r="G19" s="35">
        <f>SUM(G15:G18)</f>
        <v>13.836</v>
      </c>
      <c r="H19" s="35">
        <f t="shared" si="3"/>
        <v>0.19599999999999973</v>
      </c>
      <c r="I19" s="36">
        <f>IF(ISERROR(H19/ABS(D19)),"N/A",(H19/ABS(D19)))</f>
        <v>1.4369501466275639E-2</v>
      </c>
      <c r="J19" s="111">
        <f t="shared" si="1"/>
        <v>0.50051574392458098</v>
      </c>
    </row>
    <row r="20" spans="1:10" s="1" customFormat="1" x14ac:dyDescent="0.2">
      <c r="A20" s="119" t="s">
        <v>81</v>
      </c>
      <c r="B20" s="120">
        <f>B8-B4</f>
        <v>9.2000000000000028</v>
      </c>
      <c r="C20" s="176">
        <f>IF(B4&gt;B7,C13,C12)</f>
        <v>9.0999999999999998E-2</v>
      </c>
      <c r="D20" s="22">
        <f>B20*C20</f>
        <v>0.83720000000000028</v>
      </c>
      <c r="E20" s="73">
        <f>B20</f>
        <v>9.2000000000000028</v>
      </c>
      <c r="F20" s="176">
        <f>C20</f>
        <v>9.0999999999999998E-2</v>
      </c>
      <c r="G20" s="22">
        <f>E20*F20</f>
        <v>0.83720000000000028</v>
      </c>
      <c r="H20" s="22">
        <f t="shared" si="3"/>
        <v>0</v>
      </c>
      <c r="I20" s="23">
        <f t="shared" ref="I20:I36" si="7">IF(ISERROR(H20/ABS(D20)),"N/A",(H20/ABS(D20)))</f>
        <v>0</v>
      </c>
      <c r="J20" s="124">
        <f t="shared" si="1"/>
        <v>3.0285615843716345E-2</v>
      </c>
    </row>
    <row r="21" spans="1:10" x14ac:dyDescent="0.2">
      <c r="A21" s="110" t="s">
        <v>79</v>
      </c>
      <c r="B21" s="74"/>
      <c r="C21" s="35"/>
      <c r="D21" s="35">
        <f>SUM(D19,D20:D20)</f>
        <v>14.477200000000002</v>
      </c>
      <c r="E21" s="73"/>
      <c r="F21" s="35"/>
      <c r="G21" s="35">
        <f>SUM(G19,G20:G20)</f>
        <v>14.673200000000001</v>
      </c>
      <c r="H21" s="35">
        <f t="shared" si="3"/>
        <v>0.19599999999999973</v>
      </c>
      <c r="I21" s="36">
        <f t="shared" si="7"/>
        <v>1.3538529549912946E-2</v>
      </c>
      <c r="J21" s="111">
        <f t="shared" si="1"/>
        <v>0.53080135976829734</v>
      </c>
    </row>
    <row r="22" spans="1:10" x14ac:dyDescent="0.2">
      <c r="A22" s="107" t="s">
        <v>40</v>
      </c>
      <c r="B22" s="73">
        <f>B8</f>
        <v>109.2</v>
      </c>
      <c r="C22" s="78">
        <f>VLOOKUP($B$3,'Data for Bill Impacts'!$A$6:$Y$18,15,0)</f>
        <v>4.4999999999999997E-3</v>
      </c>
      <c r="D22" s="22">
        <f>B22*C22</f>
        <v>0.49139999999999995</v>
      </c>
      <c r="E22" s="73">
        <f t="shared" si="2"/>
        <v>109.2</v>
      </c>
      <c r="F22" s="125">
        <f>VLOOKUP($B$3,'Data for Bill Impacts'!$A$6:$Y$18,24,0)</f>
        <v>4.6979999999999999E-3</v>
      </c>
      <c r="G22" s="22">
        <f>E22*F22</f>
        <v>0.51302159999999997</v>
      </c>
      <c r="H22" s="22">
        <f t="shared" si="3"/>
        <v>2.1621600000000019E-2</v>
      </c>
      <c r="I22" s="23">
        <f t="shared" si="7"/>
        <v>4.4000000000000039E-2</v>
      </c>
      <c r="J22" s="124">
        <f t="shared" si="1"/>
        <v>1.8558498682666867E-2</v>
      </c>
    </row>
    <row r="23" spans="1:10" s="1" customFormat="1" x14ac:dyDescent="0.2">
      <c r="A23" s="107" t="s">
        <v>41</v>
      </c>
      <c r="B23" s="73">
        <f>B8</f>
        <v>109.2</v>
      </c>
      <c r="C23" s="78">
        <f>VLOOKUP($B$3,'Data for Bill Impacts'!$A$6:$Y$18,16,0)</f>
        <v>2.7000000000000001E-3</v>
      </c>
      <c r="D23" s="22">
        <f>B23*C23</f>
        <v>0.29484000000000005</v>
      </c>
      <c r="E23" s="73">
        <f t="shared" si="2"/>
        <v>109.2</v>
      </c>
      <c r="F23" s="125">
        <f>VLOOKUP($B$3,'Data for Bill Impacts'!$A$6:$Y$18,25,0)</f>
        <v>4.2899999999999995E-3</v>
      </c>
      <c r="G23" s="22">
        <f>E23*F23</f>
        <v>0.46846799999999994</v>
      </c>
      <c r="H23" s="22">
        <f t="shared" si="3"/>
        <v>0.17362799999999989</v>
      </c>
      <c r="I23" s="23">
        <f t="shared" si="7"/>
        <v>0.58888888888888846</v>
      </c>
      <c r="J23" s="124">
        <f t="shared" si="1"/>
        <v>1.6946777213418661E-2</v>
      </c>
    </row>
    <row r="24" spans="1:10" s="1" customFormat="1" x14ac:dyDescent="0.2">
      <c r="A24" s="110" t="s">
        <v>76</v>
      </c>
      <c r="B24" s="74"/>
      <c r="C24" s="35"/>
      <c r="D24" s="35">
        <f>SUM(D22:D23)</f>
        <v>0.78624000000000005</v>
      </c>
      <c r="E24" s="73"/>
      <c r="F24" s="35"/>
      <c r="G24" s="35">
        <f>SUM(G22:G23)</f>
        <v>0.98148959999999996</v>
      </c>
      <c r="H24" s="35">
        <f t="shared" si="3"/>
        <v>0.19524959999999991</v>
      </c>
      <c r="I24" s="36">
        <f t="shared" si="7"/>
        <v>0.24833333333333321</v>
      </c>
      <c r="J24" s="111">
        <f t="shared" si="1"/>
        <v>3.5505275896085528E-2</v>
      </c>
    </row>
    <row r="25" spans="1:10" s="1" customFormat="1" x14ac:dyDescent="0.2">
      <c r="A25" s="110" t="s">
        <v>80</v>
      </c>
      <c r="B25" s="74"/>
      <c r="C25" s="35"/>
      <c r="D25" s="35">
        <f>D21+D24</f>
        <v>15.263440000000001</v>
      </c>
      <c r="E25" s="73"/>
      <c r="F25" s="35"/>
      <c r="G25" s="35">
        <f>G21+G24</f>
        <v>15.654689600000001</v>
      </c>
      <c r="H25" s="35">
        <f t="shared" si="3"/>
        <v>0.39124960000000009</v>
      </c>
      <c r="I25" s="36">
        <f t="shared" si="7"/>
        <v>2.563312071197581E-2</v>
      </c>
      <c r="J25" s="111">
        <f t="shared" si="1"/>
        <v>0.56630663566438288</v>
      </c>
    </row>
    <row r="26" spans="1:10" x14ac:dyDescent="0.2">
      <c r="A26" s="107" t="s">
        <v>42</v>
      </c>
      <c r="B26" s="73">
        <f>B8</f>
        <v>109.2</v>
      </c>
      <c r="C26" s="34">
        <v>3.5999999999999999E-3</v>
      </c>
      <c r="D26" s="22">
        <f>B26*C26</f>
        <v>0.39312000000000002</v>
      </c>
      <c r="E26" s="73">
        <f t="shared" si="2"/>
        <v>109.2</v>
      </c>
      <c r="F26" s="34">
        <v>3.5999999999999999E-3</v>
      </c>
      <c r="G26" s="22">
        <f>E26*F26</f>
        <v>0.39312000000000002</v>
      </c>
      <c r="H26" s="22">
        <f t="shared" si="3"/>
        <v>0</v>
      </c>
      <c r="I26" s="23">
        <f t="shared" si="7"/>
        <v>0</v>
      </c>
      <c r="J26" s="124">
        <f t="shared" si="1"/>
        <v>1.4221071787484192E-2</v>
      </c>
    </row>
    <row r="27" spans="1:10" s="1" customFormat="1" x14ac:dyDescent="0.2">
      <c r="A27" s="107" t="s">
        <v>43</v>
      </c>
      <c r="B27" s="73">
        <f>B8</f>
        <v>109.2</v>
      </c>
      <c r="C27" s="34">
        <v>2.0999999999999999E-3</v>
      </c>
      <c r="D27" s="22">
        <f>B27*C27</f>
        <v>0.22932</v>
      </c>
      <c r="E27" s="73">
        <f t="shared" si="2"/>
        <v>109.2</v>
      </c>
      <c r="F27" s="34">
        <v>2.0999999999999999E-3</v>
      </c>
      <c r="G27" s="22">
        <f>E27*F27</f>
        <v>0.22932</v>
      </c>
      <c r="H27" s="22">
        <f>G27-D27</f>
        <v>0</v>
      </c>
      <c r="I27" s="23">
        <f t="shared" si="7"/>
        <v>0</v>
      </c>
      <c r="J27" s="124">
        <f t="shared" si="1"/>
        <v>8.2956252093657774E-3</v>
      </c>
    </row>
    <row r="28" spans="1:10" s="1" customFormat="1" x14ac:dyDescent="0.2">
      <c r="A28" s="107" t="s">
        <v>96</v>
      </c>
      <c r="B28" s="73">
        <f>B8</f>
        <v>109.2</v>
      </c>
      <c r="C28" s="34">
        <v>0</v>
      </c>
      <c r="D28" s="22">
        <f>B28*C28</f>
        <v>0</v>
      </c>
      <c r="E28" s="73">
        <f t="shared" si="2"/>
        <v>109.2</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2"/>
        <v>1</v>
      </c>
      <c r="F29" s="22">
        <f>C29</f>
        <v>0.25</v>
      </c>
      <c r="G29" s="22">
        <f>E29*F29</f>
        <v>0.25</v>
      </c>
      <c r="H29" s="22">
        <f t="shared" si="3"/>
        <v>0</v>
      </c>
      <c r="I29" s="23">
        <f t="shared" si="7"/>
        <v>0</v>
      </c>
      <c r="J29" s="124">
        <f t="shared" ref="J29:J36" si="9">G29/$G$36</f>
        <v>9.0437218835751117E-3</v>
      </c>
    </row>
    <row r="30" spans="1:10" s="1" customFormat="1" x14ac:dyDescent="0.2">
      <c r="A30" s="110" t="s">
        <v>45</v>
      </c>
      <c r="B30" s="74"/>
      <c r="C30" s="35"/>
      <c r="D30" s="35">
        <f>SUM(D26:D29)</f>
        <v>0.87243999999999999</v>
      </c>
      <c r="E30" s="73"/>
      <c r="F30" s="35"/>
      <c r="G30" s="35">
        <f>SUM(G26:G29)</f>
        <v>0.87243999999999999</v>
      </c>
      <c r="H30" s="35">
        <f t="shared" si="3"/>
        <v>0</v>
      </c>
      <c r="I30" s="36">
        <f t="shared" si="7"/>
        <v>0</v>
      </c>
      <c r="J30" s="111">
        <f t="shared" si="9"/>
        <v>3.156041888042508E-2</v>
      </c>
    </row>
    <row r="31" spans="1:10" ht="13.5" thickBot="1" x14ac:dyDescent="0.25">
      <c r="A31" s="112" t="s">
        <v>46</v>
      </c>
      <c r="B31" s="113">
        <f>B4</f>
        <v>100</v>
      </c>
      <c r="C31" s="114">
        <v>7.0000000000000001E-3</v>
      </c>
      <c r="D31" s="115">
        <f>B31*C31</f>
        <v>0.70000000000000007</v>
      </c>
      <c r="E31" s="116">
        <f t="shared" si="2"/>
        <v>100</v>
      </c>
      <c r="F31" s="114">
        <f>C31</f>
        <v>7.0000000000000001E-3</v>
      </c>
      <c r="G31" s="115">
        <f>E31*F31</f>
        <v>0.70000000000000007</v>
      </c>
      <c r="H31" s="115">
        <f t="shared" si="3"/>
        <v>0</v>
      </c>
      <c r="I31" s="117">
        <f t="shared" si="7"/>
        <v>0</v>
      </c>
      <c r="J31" s="118">
        <f t="shared" si="9"/>
        <v>2.5322421274010316E-2</v>
      </c>
    </row>
    <row r="32" spans="1:10" x14ac:dyDescent="0.2">
      <c r="A32" s="37" t="s">
        <v>115</v>
      </c>
      <c r="B32" s="38"/>
      <c r="C32" s="39"/>
      <c r="D32" s="39">
        <f>SUM(D14,D21,D24,D30,D31)</f>
        <v>25.935880000000001</v>
      </c>
      <c r="E32" s="38"/>
      <c r="F32" s="39"/>
      <c r="G32" s="39">
        <f>SUM(G14,G21,G24,G30,G31)</f>
        <v>26.327129600000003</v>
      </c>
      <c r="H32" s="39">
        <f t="shared" si="3"/>
        <v>0.39124960000000186</v>
      </c>
      <c r="I32" s="40">
        <f t="shared" si="7"/>
        <v>1.5085264120592856E-2</v>
      </c>
      <c r="J32" s="41">
        <f t="shared" si="9"/>
        <v>0.95238095238095244</v>
      </c>
    </row>
    <row r="33" spans="1:10" x14ac:dyDescent="0.2">
      <c r="A33" s="46" t="s">
        <v>106</v>
      </c>
      <c r="B33" s="43"/>
      <c r="C33" s="26">
        <v>0.13</v>
      </c>
      <c r="D33" s="26">
        <f>D32*C33</f>
        <v>3.3716644000000002</v>
      </c>
      <c r="E33" s="26"/>
      <c r="F33" s="26">
        <f>C33</f>
        <v>0.13</v>
      </c>
      <c r="G33" s="26">
        <f>G32*F33</f>
        <v>3.4225268480000004</v>
      </c>
      <c r="H33" s="26">
        <f t="shared" si="3"/>
        <v>5.0862448000000171E-2</v>
      </c>
      <c r="I33" s="44">
        <f t="shared" si="7"/>
        <v>1.5085264120592835E-2</v>
      </c>
      <c r="J33" s="45">
        <f t="shared" si="9"/>
        <v>0.12380952380952381</v>
      </c>
    </row>
    <row r="34" spans="1:10" x14ac:dyDescent="0.2">
      <c r="A34" s="46" t="s">
        <v>107</v>
      </c>
      <c r="B34" s="24"/>
      <c r="C34" s="25"/>
      <c r="D34" s="25">
        <f>SUM(D32:D33)</f>
        <v>29.307544400000001</v>
      </c>
      <c r="E34" s="25"/>
      <c r="F34" s="25"/>
      <c r="G34" s="25">
        <f>SUM(G32:G33)</f>
        <v>29.749656448000003</v>
      </c>
      <c r="H34" s="25">
        <f t="shared" si="3"/>
        <v>0.44211204800000203</v>
      </c>
      <c r="I34" s="27">
        <f t="shared" si="7"/>
        <v>1.5085264120592854E-2</v>
      </c>
      <c r="J34" s="47">
        <f t="shared" si="9"/>
        <v>1.0761904761904761</v>
      </c>
    </row>
    <row r="35" spans="1:10" x14ac:dyDescent="0.2">
      <c r="A35" s="46" t="s">
        <v>108</v>
      </c>
      <c r="B35" s="43"/>
      <c r="C35" s="26">
        <v>-0.08</v>
      </c>
      <c r="D35" s="26">
        <f>D32*C35</f>
        <v>-2.0748704</v>
      </c>
      <c r="E35" s="26"/>
      <c r="F35" s="26">
        <f>C35</f>
        <v>-0.08</v>
      </c>
      <c r="G35" s="26">
        <f>G32*F35</f>
        <v>-2.1061703680000003</v>
      </c>
      <c r="H35" s="26">
        <f t="shared" si="3"/>
        <v>-3.1299968000000344E-2</v>
      </c>
      <c r="I35" s="44">
        <f t="shared" si="7"/>
        <v>-1.5085264120592952E-2</v>
      </c>
      <c r="J35" s="45">
        <f t="shared" si="9"/>
        <v>-7.6190476190476197E-2</v>
      </c>
    </row>
    <row r="36" spans="1:10" ht="13.5" thickBot="1" x14ac:dyDescent="0.25">
      <c r="A36" s="46" t="s">
        <v>109</v>
      </c>
      <c r="B36" s="49"/>
      <c r="C36" s="50"/>
      <c r="D36" s="50">
        <f>SUM(D34:D35)</f>
        <v>27.232674000000003</v>
      </c>
      <c r="E36" s="50"/>
      <c r="F36" s="50"/>
      <c r="G36" s="50">
        <f>SUM(G34:G35)</f>
        <v>27.643486080000002</v>
      </c>
      <c r="H36" s="50">
        <f t="shared" si="3"/>
        <v>0.41081207999999947</v>
      </c>
      <c r="I36" s="51">
        <f t="shared" si="7"/>
        <v>1.5085264120592764E-2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1" tint="0.499984740745262"/>
    <pageSetUpPr fitToPage="1"/>
  </sheetPr>
  <dimension ref="A1:J47"/>
  <sheetViews>
    <sheetView tabSelected="1" view="pageLayout" topLeftCell="A7"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100</v>
      </c>
      <c r="B1" s="191"/>
      <c r="C1" s="191"/>
      <c r="D1" s="191"/>
      <c r="E1" s="191"/>
      <c r="F1" s="191"/>
      <c r="G1" s="191"/>
      <c r="H1" s="191"/>
      <c r="I1" s="191"/>
      <c r="J1" s="192"/>
    </row>
    <row r="3" spans="1:10" ht="15" customHeight="1" x14ac:dyDescent="0.2">
      <c r="A3" s="13" t="s">
        <v>13</v>
      </c>
      <c r="B3" s="13" t="s">
        <v>8</v>
      </c>
    </row>
    <row r="4" spans="1:10" x14ac:dyDescent="0.2">
      <c r="A4" s="15" t="s">
        <v>62</v>
      </c>
      <c r="B4" s="168">
        <f>VLOOKUP(B3,'Data for Bill Impacts'!A21:D34,3,FALSE)</f>
        <v>517</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68">
        <f>B4*B6</f>
        <v>564.56400000000008</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517</v>
      </c>
      <c r="C12" s="103">
        <v>9.0999999999999998E-2</v>
      </c>
      <c r="D12" s="104">
        <f>B12*C12</f>
        <v>47.046999999999997</v>
      </c>
      <c r="E12" s="102">
        <f>B12</f>
        <v>517</v>
      </c>
      <c r="F12" s="103">
        <f>C12</f>
        <v>9.0999999999999998E-2</v>
      </c>
      <c r="G12" s="104">
        <f>E12*F12</f>
        <v>47.046999999999997</v>
      </c>
      <c r="H12" s="104">
        <f>G12-D12</f>
        <v>0</v>
      </c>
      <c r="I12" s="105">
        <f t="shared" ref="I12:I18" si="0">IF(ISERROR(H12/ABS(D12)),"N/A",(H12/ABS(D12)))</f>
        <v>0</v>
      </c>
      <c r="J12" s="123">
        <f t="shared" ref="J12:J27" si="1">G12/$G$36</f>
        <v>0.37949988048822053</v>
      </c>
    </row>
    <row r="13" spans="1:10" x14ac:dyDescent="0.2">
      <c r="A13" s="107" t="s">
        <v>32</v>
      </c>
      <c r="B13" s="73">
        <f>IF(B4&gt;B7,(B4)-B7,0)</f>
        <v>0</v>
      </c>
      <c r="C13" s="21">
        <v>0.106</v>
      </c>
      <c r="D13" s="22">
        <f>B13*C13</f>
        <v>0</v>
      </c>
      <c r="E13" s="73">
        <f t="shared" ref="E13" si="2">B13</f>
        <v>0</v>
      </c>
      <c r="F13" s="21">
        <f>C13</f>
        <v>0.106</v>
      </c>
      <c r="G13" s="22">
        <f>E13*F13</f>
        <v>0</v>
      </c>
      <c r="H13" s="22">
        <f t="shared" ref="H13:H36" si="3">G13-D13</f>
        <v>0</v>
      </c>
      <c r="I13" s="23" t="str">
        <f t="shared" si="0"/>
        <v>N/A</v>
      </c>
      <c r="J13" s="124">
        <f t="shared" si="1"/>
        <v>0</v>
      </c>
    </row>
    <row r="14" spans="1:10" s="1" customFormat="1" x14ac:dyDescent="0.2">
      <c r="A14" s="46" t="s">
        <v>33</v>
      </c>
      <c r="B14" s="24"/>
      <c r="C14" s="25"/>
      <c r="D14" s="25">
        <f>SUM(D12:D13)</f>
        <v>47.046999999999997</v>
      </c>
      <c r="E14" s="76"/>
      <c r="F14" s="25"/>
      <c r="G14" s="25">
        <f>SUM(G12:G13)</f>
        <v>47.046999999999997</v>
      </c>
      <c r="H14" s="25">
        <f t="shared" si="3"/>
        <v>0</v>
      </c>
      <c r="I14" s="27">
        <f t="shared" si="0"/>
        <v>0</v>
      </c>
      <c r="J14" s="47">
        <f t="shared" si="1"/>
        <v>0.37949988048822053</v>
      </c>
    </row>
    <row r="15" spans="1:10" x14ac:dyDescent="0.2">
      <c r="A15" s="107" t="s">
        <v>38</v>
      </c>
      <c r="B15" s="73">
        <v>1</v>
      </c>
      <c r="C15" s="78">
        <f>VLOOKUP($B$3,'Data for Bill Impacts'!$A$6:$Y$18,7,0)</f>
        <v>4.25</v>
      </c>
      <c r="D15" s="22">
        <f>B15*C15</f>
        <v>4.25</v>
      </c>
      <c r="E15" s="73">
        <f t="shared" ref="E15:E31" si="4">B15</f>
        <v>1</v>
      </c>
      <c r="F15" s="78">
        <f>VLOOKUP($B$3,'Data for Bill Impacts'!$A$6:$Y$18,17,0)</f>
        <v>4.07</v>
      </c>
      <c r="G15" s="22">
        <f>E15*F15</f>
        <v>4.07</v>
      </c>
      <c r="H15" s="22">
        <f t="shared" si="3"/>
        <v>-0.17999999999999972</v>
      </c>
      <c r="I15" s="23">
        <f t="shared" si="0"/>
        <v>-4.2352941176470524E-2</v>
      </c>
      <c r="J15" s="124">
        <f t="shared" si="1"/>
        <v>3.2830244512658785E-2</v>
      </c>
    </row>
    <row r="16" spans="1:10" x14ac:dyDescent="0.2">
      <c r="A16" s="107" t="s">
        <v>85</v>
      </c>
      <c r="B16" s="73">
        <v>1</v>
      </c>
      <c r="C16" s="121">
        <f>VLOOKUP($B$3,'Data for Bill Impacts'!$A$6:$Y$18,13,0)</f>
        <v>0.08</v>
      </c>
      <c r="D16" s="22">
        <f t="shared" ref="D16" si="5">B16*C16</f>
        <v>0.08</v>
      </c>
      <c r="E16" s="73">
        <f t="shared" si="4"/>
        <v>1</v>
      </c>
      <c r="F16" s="121">
        <f>VLOOKUP($B$3,'Data for Bill Impacts'!$A$6:$Y$18,22,0)</f>
        <v>7.0000000000000001E-3</v>
      </c>
      <c r="G16" s="22">
        <f t="shared" ref="G16" si="6">E16*F16</f>
        <v>7.0000000000000001E-3</v>
      </c>
      <c r="H16" s="22">
        <f t="shared" si="3"/>
        <v>-7.2999999999999995E-2</v>
      </c>
      <c r="I16" s="23">
        <f t="shared" si="0"/>
        <v>-0.91249999999999998</v>
      </c>
      <c r="J16" s="124">
        <f t="shared" si="1"/>
        <v>5.6464794002115846E-5</v>
      </c>
    </row>
    <row r="17" spans="1:10" x14ac:dyDescent="0.2">
      <c r="A17" s="107" t="s">
        <v>39</v>
      </c>
      <c r="B17" s="73">
        <f>IF($B$9="kWh",$B$4,$B$5)</f>
        <v>517</v>
      </c>
      <c r="C17" s="78">
        <f>VLOOKUP($B$3,'Data for Bill Impacts'!$A$6:$Y$18,10,0)</f>
        <v>9.2399999999999996E-2</v>
      </c>
      <c r="D17" s="22">
        <f>B17*C17</f>
        <v>47.770800000000001</v>
      </c>
      <c r="E17" s="73">
        <f t="shared" si="4"/>
        <v>517</v>
      </c>
      <c r="F17" s="125">
        <f>VLOOKUP($B$3,'Data for Bill Impacts'!$A$6:$Y$18,19,0)</f>
        <v>9.7600000000000006E-2</v>
      </c>
      <c r="G17" s="22">
        <f>E17*F17</f>
        <v>50.459200000000003</v>
      </c>
      <c r="H17" s="22">
        <f t="shared" si="3"/>
        <v>2.6884000000000015</v>
      </c>
      <c r="I17" s="23">
        <f t="shared" si="0"/>
        <v>5.6277056277056307E-2</v>
      </c>
      <c r="J17" s="124">
        <f t="shared" si="1"/>
        <v>0.40702404764450911</v>
      </c>
    </row>
    <row r="18" spans="1:10" s="1" customFormat="1" x14ac:dyDescent="0.2">
      <c r="A18" s="107" t="s">
        <v>124</v>
      </c>
      <c r="B18" s="73">
        <f>IF($B$9="kWh",$B$4,$B$5)</f>
        <v>517</v>
      </c>
      <c r="C18" s="78">
        <f>VLOOKUP($B$3,'Data for Bill Impacts'!$A$6:$Y$18,14,0)</f>
        <v>6.9999999999999999E-4</v>
      </c>
      <c r="D18" s="22">
        <f>B18*C18</f>
        <v>0.3619</v>
      </c>
      <c r="E18" s="73">
        <f>B18</f>
        <v>517</v>
      </c>
      <c r="F18" s="125">
        <f>VLOOKUP($B$3,'Data for Bill Impacts'!$A$6:$Y$18,23,0)</f>
        <v>-9.9999999999999991E-6</v>
      </c>
      <c r="G18" s="22">
        <f>E18*F18</f>
        <v>-5.1699999999999992E-3</v>
      </c>
      <c r="H18" s="22">
        <f>G18-D18</f>
        <v>-0.36707000000000001</v>
      </c>
      <c r="I18" s="23">
        <f t="shared" si="0"/>
        <v>-1.0142857142857142</v>
      </c>
      <c r="J18" s="124">
        <f t="shared" si="1"/>
        <v>-4.1703283570134121E-5</v>
      </c>
    </row>
    <row r="19" spans="1:10" x14ac:dyDescent="0.2">
      <c r="A19" s="110" t="s">
        <v>72</v>
      </c>
      <c r="B19" s="74"/>
      <c r="C19" s="35"/>
      <c r="D19" s="35">
        <f>SUM(D15:D18)</f>
        <v>52.462699999999998</v>
      </c>
      <c r="E19" s="73"/>
      <c r="F19" s="35"/>
      <c r="G19" s="35">
        <f>SUM(G15:G18)</f>
        <v>54.531030000000001</v>
      </c>
      <c r="H19" s="35">
        <f t="shared" si="3"/>
        <v>2.0683300000000031</v>
      </c>
      <c r="I19" s="36">
        <f>IF(ISERROR(H19/ABS(D19)),"N/A",(H19/ABS(D19)))</f>
        <v>3.9424772266772455E-2</v>
      </c>
      <c r="J19" s="111">
        <f t="shared" si="1"/>
        <v>0.43986905366759987</v>
      </c>
    </row>
    <row r="20" spans="1:10" s="1" customFormat="1" x14ac:dyDescent="0.2">
      <c r="A20" s="119" t="s">
        <v>81</v>
      </c>
      <c r="B20" s="120">
        <f>B8-B4</f>
        <v>47.564000000000078</v>
      </c>
      <c r="C20" s="176">
        <f>IF(B4&gt;B7,C13,C12)</f>
        <v>9.0999999999999998E-2</v>
      </c>
      <c r="D20" s="22">
        <f>B20*C20</f>
        <v>4.3283240000000074</v>
      </c>
      <c r="E20" s="73">
        <f>B20</f>
        <v>47.564000000000078</v>
      </c>
      <c r="F20" s="176">
        <f>C20</f>
        <v>9.0999999999999998E-2</v>
      </c>
      <c r="G20" s="22">
        <f>E20*F20</f>
        <v>4.3283240000000074</v>
      </c>
      <c r="H20" s="22">
        <f t="shared" si="3"/>
        <v>0</v>
      </c>
      <c r="I20" s="23">
        <f t="shared" ref="I20:I36" si="7">IF(ISERROR(H20/ABS(D20)),"N/A",(H20/ABS(D20)))</f>
        <v>0</v>
      </c>
      <c r="J20" s="124">
        <f t="shared" si="1"/>
        <v>3.4913989004916351E-2</v>
      </c>
    </row>
    <row r="21" spans="1:10" x14ac:dyDescent="0.2">
      <c r="A21" s="110" t="s">
        <v>79</v>
      </c>
      <c r="B21" s="74"/>
      <c r="C21" s="35"/>
      <c r="D21" s="35">
        <f>SUM(D19,D20:D20)</f>
        <v>56.791024000000007</v>
      </c>
      <c r="E21" s="73"/>
      <c r="F21" s="35"/>
      <c r="G21" s="35">
        <f>SUM(G19,G20:G20)</f>
        <v>58.85935400000001</v>
      </c>
      <c r="H21" s="35">
        <f t="shared" si="3"/>
        <v>2.0683300000000031</v>
      </c>
      <c r="I21" s="36">
        <f t="shared" si="7"/>
        <v>3.642001595181666E-2</v>
      </c>
      <c r="J21" s="111">
        <f t="shared" si="1"/>
        <v>0.47478304267251625</v>
      </c>
    </row>
    <row r="22" spans="1:10" x14ac:dyDescent="0.2">
      <c r="A22" s="107" t="s">
        <v>40</v>
      </c>
      <c r="B22" s="73">
        <f>B8</f>
        <v>564.56400000000008</v>
      </c>
      <c r="C22" s="78">
        <f>VLOOKUP($B$3,'Data for Bill Impacts'!$A$6:$Y$18,15,0)</f>
        <v>4.4999999999999997E-3</v>
      </c>
      <c r="D22" s="22">
        <f>B22*C22</f>
        <v>2.5405380000000002</v>
      </c>
      <c r="E22" s="73">
        <f t="shared" si="4"/>
        <v>564.56400000000008</v>
      </c>
      <c r="F22" s="125">
        <f>VLOOKUP($B$3,'Data for Bill Impacts'!$A$6:$Y$18,24,0)</f>
        <v>4.6979999999999999E-3</v>
      </c>
      <c r="G22" s="22">
        <f>E22*F22</f>
        <v>2.6523216720000002</v>
      </c>
      <c r="H22" s="22">
        <f t="shared" si="3"/>
        <v>0.11178367200000006</v>
      </c>
      <c r="I22" s="23">
        <f t="shared" si="7"/>
        <v>4.4000000000000018E-2</v>
      </c>
      <c r="J22" s="124">
        <f t="shared" si="1"/>
        <v>2.1394685262403925E-2</v>
      </c>
    </row>
    <row r="23" spans="1:10" s="1" customFormat="1" x14ac:dyDescent="0.2">
      <c r="A23" s="107" t="s">
        <v>41</v>
      </c>
      <c r="B23" s="73">
        <f>B8</f>
        <v>564.56400000000008</v>
      </c>
      <c r="C23" s="78">
        <f>VLOOKUP($B$3,'Data for Bill Impacts'!$A$6:$Y$18,16,0)</f>
        <v>2.7000000000000001E-3</v>
      </c>
      <c r="D23" s="22">
        <f>B23*C23</f>
        <v>1.5243228000000002</v>
      </c>
      <c r="E23" s="73">
        <f t="shared" si="4"/>
        <v>564.56400000000008</v>
      </c>
      <c r="F23" s="125">
        <f>VLOOKUP($B$3,'Data for Bill Impacts'!$A$6:$Y$18,25,0)</f>
        <v>4.2899999999999995E-3</v>
      </c>
      <c r="G23" s="22">
        <f>E23*F23</f>
        <v>2.42197956</v>
      </c>
      <c r="H23" s="22">
        <f t="shared" si="3"/>
        <v>0.89765675999999983</v>
      </c>
      <c r="I23" s="23">
        <f t="shared" si="7"/>
        <v>0.58888888888888868</v>
      </c>
      <c r="J23" s="124">
        <f t="shared" si="1"/>
        <v>1.9536653847533596E-2</v>
      </c>
    </row>
    <row r="24" spans="1:10" s="1" customFormat="1" x14ac:dyDescent="0.2">
      <c r="A24" s="110" t="s">
        <v>76</v>
      </c>
      <c r="B24" s="74"/>
      <c r="C24" s="35"/>
      <c r="D24" s="35">
        <f>SUM(D22:D23)</f>
        <v>4.0648607999999999</v>
      </c>
      <c r="E24" s="73"/>
      <c r="F24" s="35"/>
      <c r="G24" s="35">
        <f>SUM(G22:G23)</f>
        <v>5.0743012319999998</v>
      </c>
      <c r="H24" s="35">
        <f t="shared" si="3"/>
        <v>1.0094404319999999</v>
      </c>
      <c r="I24" s="36">
        <f t="shared" si="7"/>
        <v>0.24833333333333332</v>
      </c>
      <c r="J24" s="111">
        <f t="shared" si="1"/>
        <v>4.0931339109937515E-2</v>
      </c>
    </row>
    <row r="25" spans="1:10" s="1" customFormat="1" x14ac:dyDescent="0.2">
      <c r="A25" s="110" t="s">
        <v>80</v>
      </c>
      <c r="B25" s="74"/>
      <c r="C25" s="35"/>
      <c r="D25" s="35">
        <f>D21+D24</f>
        <v>60.855884800000005</v>
      </c>
      <c r="E25" s="73"/>
      <c r="F25" s="35"/>
      <c r="G25" s="35">
        <f>G21+G24</f>
        <v>63.933655232000007</v>
      </c>
      <c r="H25" s="35">
        <f t="shared" si="3"/>
        <v>3.0777704320000012</v>
      </c>
      <c r="I25" s="36">
        <f t="shared" si="7"/>
        <v>5.05747380407819E-2</v>
      </c>
      <c r="J25" s="111">
        <f t="shared" si="1"/>
        <v>0.51571438178245377</v>
      </c>
    </row>
    <row r="26" spans="1:10" x14ac:dyDescent="0.2">
      <c r="A26" s="107" t="s">
        <v>42</v>
      </c>
      <c r="B26" s="73">
        <f>B8</f>
        <v>564.56400000000008</v>
      </c>
      <c r="C26" s="34">
        <v>3.5999999999999999E-3</v>
      </c>
      <c r="D26" s="22">
        <f>B26*C26</f>
        <v>2.0324304000000004</v>
      </c>
      <c r="E26" s="73">
        <f t="shared" si="4"/>
        <v>564.56400000000008</v>
      </c>
      <c r="F26" s="34">
        <v>3.5999999999999999E-3</v>
      </c>
      <c r="G26" s="22">
        <f>E26*F26</f>
        <v>2.0324304000000004</v>
      </c>
      <c r="H26" s="22">
        <f t="shared" si="3"/>
        <v>0</v>
      </c>
      <c r="I26" s="23">
        <f t="shared" si="7"/>
        <v>0</v>
      </c>
      <c r="J26" s="124">
        <f t="shared" si="1"/>
        <v>1.6394394837091132E-2</v>
      </c>
    </row>
    <row r="27" spans="1:10" s="1" customFormat="1" x14ac:dyDescent="0.2">
      <c r="A27" s="107" t="s">
        <v>43</v>
      </c>
      <c r="B27" s="73">
        <f>B8</f>
        <v>564.56400000000008</v>
      </c>
      <c r="C27" s="34">
        <v>2.0999999999999999E-3</v>
      </c>
      <c r="D27" s="22">
        <f>B27*C27</f>
        <v>1.1855844</v>
      </c>
      <c r="E27" s="73">
        <f t="shared" si="4"/>
        <v>564.56400000000008</v>
      </c>
      <c r="F27" s="34">
        <v>2.0999999999999999E-3</v>
      </c>
      <c r="G27" s="22">
        <f>E27*F27</f>
        <v>1.1855844</v>
      </c>
      <c r="H27" s="22">
        <f>G27-D27</f>
        <v>0</v>
      </c>
      <c r="I27" s="23">
        <f t="shared" si="7"/>
        <v>0</v>
      </c>
      <c r="J27" s="124">
        <f t="shared" si="1"/>
        <v>9.5633969883031581E-3</v>
      </c>
    </row>
    <row r="28" spans="1:10" s="1" customFormat="1" x14ac:dyDescent="0.2">
      <c r="A28" s="107" t="s">
        <v>96</v>
      </c>
      <c r="B28" s="73">
        <f>B8</f>
        <v>564.56400000000008</v>
      </c>
      <c r="C28" s="34">
        <v>0</v>
      </c>
      <c r="D28" s="22">
        <f>B28*C28</f>
        <v>0</v>
      </c>
      <c r="E28" s="73">
        <f t="shared" si="4"/>
        <v>564.56400000000008</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2.0165997857898516E-3</v>
      </c>
    </row>
    <row r="30" spans="1:10" s="1" customFormat="1" x14ac:dyDescent="0.2">
      <c r="A30" s="110" t="s">
        <v>45</v>
      </c>
      <c r="B30" s="74"/>
      <c r="C30" s="35"/>
      <c r="D30" s="35">
        <f>SUM(D26:D29)</f>
        <v>3.4680148000000006</v>
      </c>
      <c r="E30" s="73"/>
      <c r="F30" s="35"/>
      <c r="G30" s="35">
        <f>SUM(G26:G29)</f>
        <v>3.4680148000000006</v>
      </c>
      <c r="H30" s="35">
        <f t="shared" si="3"/>
        <v>0</v>
      </c>
      <c r="I30" s="36">
        <f t="shared" si="7"/>
        <v>0</v>
      </c>
      <c r="J30" s="111">
        <f t="shared" si="9"/>
        <v>2.7974391611184143E-2</v>
      </c>
    </row>
    <row r="31" spans="1:10" ht="13.5" thickBot="1" x14ac:dyDescent="0.25">
      <c r="A31" s="112" t="s">
        <v>46</v>
      </c>
      <c r="B31" s="113">
        <f>B4</f>
        <v>517</v>
      </c>
      <c r="C31" s="114">
        <v>7.0000000000000001E-3</v>
      </c>
      <c r="D31" s="115">
        <f>B31*C31</f>
        <v>3.6190000000000002</v>
      </c>
      <c r="E31" s="116">
        <f t="shared" si="4"/>
        <v>517</v>
      </c>
      <c r="F31" s="114">
        <f>C31</f>
        <v>7.0000000000000001E-3</v>
      </c>
      <c r="G31" s="115">
        <f>E31*F31</f>
        <v>3.6190000000000002</v>
      </c>
      <c r="H31" s="115">
        <f t="shared" si="3"/>
        <v>0</v>
      </c>
      <c r="I31" s="117">
        <f t="shared" si="7"/>
        <v>0</v>
      </c>
      <c r="J31" s="118">
        <f t="shared" si="9"/>
        <v>2.9192298499093893E-2</v>
      </c>
    </row>
    <row r="32" spans="1:10" x14ac:dyDescent="0.2">
      <c r="A32" s="37" t="s">
        <v>115</v>
      </c>
      <c r="B32" s="38"/>
      <c r="C32" s="39"/>
      <c r="D32" s="39">
        <f>SUM(D14,D21,D24,D30,D31)</f>
        <v>114.98989960000002</v>
      </c>
      <c r="E32" s="38"/>
      <c r="F32" s="39"/>
      <c r="G32" s="39">
        <f>SUM(G14,G21,G24,G30,G31)</f>
        <v>118.06767003200001</v>
      </c>
      <c r="H32" s="39">
        <f t="shared" si="3"/>
        <v>3.0777704319999941</v>
      </c>
      <c r="I32" s="40">
        <f t="shared" si="7"/>
        <v>2.6765571956373756E-2</v>
      </c>
      <c r="J32" s="41">
        <f t="shared" si="9"/>
        <v>0.95238095238095233</v>
      </c>
    </row>
    <row r="33" spans="1:10" x14ac:dyDescent="0.2">
      <c r="A33" s="46" t="s">
        <v>106</v>
      </c>
      <c r="B33" s="43"/>
      <c r="C33" s="26">
        <v>0.13</v>
      </c>
      <c r="D33" s="26">
        <f>D32*C33</f>
        <v>14.948686948000002</v>
      </c>
      <c r="E33" s="26"/>
      <c r="F33" s="26">
        <f>C33</f>
        <v>0.13</v>
      </c>
      <c r="G33" s="26">
        <f>G32*F33</f>
        <v>15.348797104160001</v>
      </c>
      <c r="H33" s="26">
        <f t="shared" si="3"/>
        <v>0.40011015615999845</v>
      </c>
      <c r="I33" s="44">
        <f t="shared" si="7"/>
        <v>2.6765571956373701E-2</v>
      </c>
      <c r="J33" s="45">
        <f t="shared" si="9"/>
        <v>0.1238095238095238</v>
      </c>
    </row>
    <row r="34" spans="1:10" x14ac:dyDescent="0.2">
      <c r="A34" s="46" t="s">
        <v>107</v>
      </c>
      <c r="B34" s="24"/>
      <c r="C34" s="25"/>
      <c r="D34" s="25">
        <f>SUM(D32:D33)</f>
        <v>129.93858654800002</v>
      </c>
      <c r="E34" s="25"/>
      <c r="F34" s="25"/>
      <c r="G34" s="25">
        <f>SUM(G32:G33)</f>
        <v>133.41646713616001</v>
      </c>
      <c r="H34" s="25">
        <f t="shared" si="3"/>
        <v>3.4778805881599908</v>
      </c>
      <c r="I34" s="27">
        <f t="shared" si="7"/>
        <v>2.6765571956373736E-2</v>
      </c>
      <c r="J34" s="47">
        <f t="shared" si="9"/>
        <v>1.0761904761904761</v>
      </c>
    </row>
    <row r="35" spans="1:10" x14ac:dyDescent="0.2">
      <c r="A35" s="46" t="s">
        <v>108</v>
      </c>
      <c r="B35" s="43"/>
      <c r="C35" s="26">
        <v>-0.08</v>
      </c>
      <c r="D35" s="26">
        <f>D32*C35</f>
        <v>-9.1991919680000009</v>
      </c>
      <c r="E35" s="26"/>
      <c r="F35" s="26">
        <f>C35</f>
        <v>-0.08</v>
      </c>
      <c r="G35" s="26">
        <f>G32*F35</f>
        <v>-9.4454136025600004</v>
      </c>
      <c r="H35" s="26">
        <f t="shared" si="3"/>
        <v>-0.24622163455999946</v>
      </c>
      <c r="I35" s="44">
        <f t="shared" si="7"/>
        <v>-2.6765571956373749E-2</v>
      </c>
      <c r="J35" s="45">
        <f t="shared" si="9"/>
        <v>-7.6190476190476183E-2</v>
      </c>
    </row>
    <row r="36" spans="1:10" ht="13.5" thickBot="1" x14ac:dyDescent="0.25">
      <c r="A36" s="46" t="s">
        <v>109</v>
      </c>
      <c r="B36" s="49"/>
      <c r="C36" s="50"/>
      <c r="D36" s="50">
        <f>SUM(D34:D35)</f>
        <v>120.73939458000001</v>
      </c>
      <c r="E36" s="50"/>
      <c r="F36" s="50"/>
      <c r="G36" s="50">
        <f>SUM(G34:G35)</f>
        <v>123.97105353360001</v>
      </c>
      <c r="H36" s="50">
        <f t="shared" si="3"/>
        <v>3.2316589536000038</v>
      </c>
      <c r="I36" s="51">
        <f t="shared" si="7"/>
        <v>2.676557195637384E-2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47"/>
  <sheetViews>
    <sheetView tabSelected="1" view="pageLayout" topLeftCell="D1" zoomScaleNormal="100" zoomScaleSheetLayoutView="100" workbookViewId="0">
      <selection sqref="A1:XFD1"/>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0" t="s">
        <v>101</v>
      </c>
      <c r="B1" s="191"/>
      <c r="C1" s="191"/>
      <c r="D1" s="191"/>
      <c r="E1" s="191"/>
      <c r="F1" s="191"/>
      <c r="G1" s="191"/>
      <c r="H1" s="191"/>
      <c r="I1" s="191"/>
      <c r="J1" s="192"/>
    </row>
    <row r="3" spans="1:10" x14ac:dyDescent="0.2">
      <c r="A3" s="13" t="s">
        <v>13</v>
      </c>
      <c r="B3" s="13" t="s">
        <v>8</v>
      </c>
    </row>
    <row r="4" spans="1:10" x14ac:dyDescent="0.2">
      <c r="A4" s="15" t="s">
        <v>62</v>
      </c>
      <c r="B4" s="15">
        <v>2000</v>
      </c>
    </row>
    <row r="5" spans="1:10" x14ac:dyDescent="0.2">
      <c r="A5" s="15" t="s">
        <v>16</v>
      </c>
      <c r="B5" s="15">
        <f>VLOOKUP($B$3,'Data for Bill Impacts'!$A$6:$Y$18,5,0)</f>
        <v>0</v>
      </c>
    </row>
    <row r="6" spans="1:10" x14ac:dyDescent="0.2">
      <c r="A6" s="15" t="s">
        <v>20</v>
      </c>
      <c r="B6" s="15">
        <f>VLOOKUP($B$3,'Data for Bill Impacts'!$A$6:$Y$18,2,0)</f>
        <v>1.0920000000000001</v>
      </c>
    </row>
    <row r="7" spans="1:10" x14ac:dyDescent="0.2">
      <c r="A7" s="15" t="s">
        <v>15</v>
      </c>
      <c r="B7" s="15">
        <f>VLOOKUP($B$3,'Data for Bill Impacts'!$A$6:$Y$18,4,0)</f>
        <v>750</v>
      </c>
    </row>
    <row r="8" spans="1:10" x14ac:dyDescent="0.2">
      <c r="A8" s="15" t="s">
        <v>82</v>
      </c>
      <c r="B8" s="15">
        <f>B4*B6</f>
        <v>2184</v>
      </c>
    </row>
    <row r="9" spans="1:10" x14ac:dyDescent="0.2">
      <c r="A9" s="15" t="s">
        <v>21</v>
      </c>
      <c r="B9" s="16" t="str">
        <f>VLOOKUP($B$3,'Data for Bill Impacts'!$A$6:$Y$18,6,0)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2" t="s">
        <v>29</v>
      </c>
    </row>
    <row r="12" spans="1:10" x14ac:dyDescent="0.2">
      <c r="A12" s="101" t="s">
        <v>31</v>
      </c>
      <c r="B12" s="102">
        <f>IF(B4&gt;B7,B7,B4)</f>
        <v>750</v>
      </c>
      <c r="C12" s="103">
        <v>9.0999999999999998E-2</v>
      </c>
      <c r="D12" s="104">
        <f>B12*C12</f>
        <v>68.25</v>
      </c>
      <c r="E12" s="102">
        <f>B12</f>
        <v>750</v>
      </c>
      <c r="F12" s="103">
        <f>C12</f>
        <v>9.0999999999999998E-2</v>
      </c>
      <c r="G12" s="104">
        <f>E12*F12</f>
        <v>68.25</v>
      </c>
      <c r="H12" s="104">
        <f>G12-D12</f>
        <v>0</v>
      </c>
      <c r="I12" s="105">
        <f t="shared" ref="I12:I18" si="0">IF(ISERROR(H12/ABS(D12)),"N/A",(H12/ABS(D12)))</f>
        <v>0</v>
      </c>
      <c r="J12" s="123">
        <f t="shared" ref="J12:J27" si="1">G12/$G$36</f>
        <v>0.13953300903629506</v>
      </c>
    </row>
    <row r="13" spans="1:10" x14ac:dyDescent="0.2">
      <c r="A13" s="107" t="s">
        <v>32</v>
      </c>
      <c r="B13" s="73">
        <f>IF(B4&gt;B7,(B4)-B7,0)</f>
        <v>1250</v>
      </c>
      <c r="C13" s="21">
        <v>0.106</v>
      </c>
      <c r="D13" s="22">
        <f>B13*C13</f>
        <v>132.5</v>
      </c>
      <c r="E13" s="73">
        <f t="shared" ref="E13" si="2">B13</f>
        <v>1250</v>
      </c>
      <c r="F13" s="21">
        <f>C13</f>
        <v>0.106</v>
      </c>
      <c r="G13" s="22">
        <f>E13*F13</f>
        <v>132.5</v>
      </c>
      <c r="H13" s="22">
        <f t="shared" ref="H13:H36" si="3">G13-D13</f>
        <v>0</v>
      </c>
      <c r="I13" s="23">
        <f t="shared" si="0"/>
        <v>0</v>
      </c>
      <c r="J13" s="124">
        <f t="shared" si="1"/>
        <v>0.27088825930123217</v>
      </c>
    </row>
    <row r="14" spans="1:10" s="1" customFormat="1" x14ac:dyDescent="0.2">
      <c r="A14" s="46" t="s">
        <v>33</v>
      </c>
      <c r="B14" s="24"/>
      <c r="C14" s="25"/>
      <c r="D14" s="25">
        <f>SUM(D12:D13)</f>
        <v>200.75</v>
      </c>
      <c r="E14" s="76"/>
      <c r="F14" s="25"/>
      <c r="G14" s="25">
        <f>SUM(G12:G13)</f>
        <v>200.75</v>
      </c>
      <c r="H14" s="25">
        <f t="shared" si="3"/>
        <v>0</v>
      </c>
      <c r="I14" s="27">
        <f t="shared" si="0"/>
        <v>0</v>
      </c>
      <c r="J14" s="47">
        <f t="shared" si="1"/>
        <v>0.41042126833752729</v>
      </c>
    </row>
    <row r="15" spans="1:10" x14ac:dyDescent="0.2">
      <c r="A15" s="107" t="s">
        <v>38</v>
      </c>
      <c r="B15" s="73">
        <v>1</v>
      </c>
      <c r="C15" s="78">
        <f>VLOOKUP($B$3,'Data for Bill Impacts'!$A$6:$Y$18,7,0)</f>
        <v>4.25</v>
      </c>
      <c r="D15" s="22">
        <f>B15*C15</f>
        <v>4.25</v>
      </c>
      <c r="E15" s="73">
        <f t="shared" ref="E15:E31" si="4">B15</f>
        <v>1</v>
      </c>
      <c r="F15" s="78">
        <f>VLOOKUP($B$3,'Data for Bill Impacts'!$A$6:$Y$18,17,0)</f>
        <v>4.07</v>
      </c>
      <c r="G15" s="22">
        <f>E15*F15</f>
        <v>4.07</v>
      </c>
      <c r="H15" s="22">
        <f t="shared" si="3"/>
        <v>-0.17999999999999972</v>
      </c>
      <c r="I15" s="23">
        <f t="shared" si="0"/>
        <v>-4.2352941176470524E-2</v>
      </c>
      <c r="J15" s="124">
        <f t="shared" si="1"/>
        <v>8.3208695498567173E-3</v>
      </c>
    </row>
    <row r="16" spans="1:10" x14ac:dyDescent="0.2">
      <c r="A16" s="107" t="s">
        <v>85</v>
      </c>
      <c r="B16" s="73">
        <v>1</v>
      </c>
      <c r="C16" s="121">
        <f>VLOOKUP($B$3,'Data for Bill Impacts'!$A$6:$Y$18,13,0)</f>
        <v>0.08</v>
      </c>
      <c r="D16" s="22">
        <f t="shared" ref="D16" si="5">B16*C16</f>
        <v>0.08</v>
      </c>
      <c r="E16" s="73">
        <f t="shared" si="4"/>
        <v>1</v>
      </c>
      <c r="F16" s="121">
        <f>VLOOKUP($B$3,'Data for Bill Impacts'!$A$6:$Y$18,22,0)</f>
        <v>7.0000000000000001E-3</v>
      </c>
      <c r="G16" s="22">
        <f t="shared" ref="G16" si="6">E16*F16</f>
        <v>7.0000000000000001E-3</v>
      </c>
      <c r="H16" s="22">
        <f t="shared" si="3"/>
        <v>-7.2999999999999995E-2</v>
      </c>
      <c r="I16" s="23">
        <f t="shared" si="0"/>
        <v>-0.91249999999999998</v>
      </c>
      <c r="J16" s="124">
        <f t="shared" si="1"/>
        <v>1.4311077849876418E-5</v>
      </c>
    </row>
    <row r="17" spans="1:10" x14ac:dyDescent="0.2">
      <c r="A17" s="107" t="s">
        <v>39</v>
      </c>
      <c r="B17" s="73">
        <f>IF($B$9="kWh",$B$4,$B$5)</f>
        <v>2000</v>
      </c>
      <c r="C17" s="78">
        <f>VLOOKUP($B$3,'Data for Bill Impacts'!$A$6:$Y$18,10,0)</f>
        <v>9.2399999999999996E-2</v>
      </c>
      <c r="D17" s="22">
        <f>B17*C17</f>
        <v>184.79999999999998</v>
      </c>
      <c r="E17" s="73">
        <f t="shared" si="4"/>
        <v>2000</v>
      </c>
      <c r="F17" s="125">
        <f>VLOOKUP($B$3,'Data for Bill Impacts'!$A$6:$Y$18,19,0)</f>
        <v>9.7600000000000006E-2</v>
      </c>
      <c r="G17" s="22">
        <f>E17*F17</f>
        <v>195.20000000000002</v>
      </c>
      <c r="H17" s="22">
        <f t="shared" si="3"/>
        <v>10.400000000000034</v>
      </c>
      <c r="I17" s="23">
        <f t="shared" si="0"/>
        <v>5.6277056277056467E-2</v>
      </c>
      <c r="J17" s="124">
        <f t="shared" si="1"/>
        <v>0.39907462804226818</v>
      </c>
    </row>
    <row r="18" spans="1:10" s="1" customFormat="1" x14ac:dyDescent="0.2">
      <c r="A18" s="107" t="s">
        <v>124</v>
      </c>
      <c r="B18" s="73">
        <f>IF($B$9="kWh",$B$4,$B$5)</f>
        <v>2000</v>
      </c>
      <c r="C18" s="78">
        <f>VLOOKUP($B$3,'Data for Bill Impacts'!$A$6:$Y$18,14,0)</f>
        <v>6.9999999999999999E-4</v>
      </c>
      <c r="D18" s="22">
        <f>B18*C18</f>
        <v>1.4</v>
      </c>
      <c r="E18" s="73">
        <f>B18</f>
        <v>2000</v>
      </c>
      <c r="F18" s="125">
        <f>VLOOKUP($B$3,'Data for Bill Impacts'!$A$6:$Y$18,23,0)</f>
        <v>-9.9999999999999991E-6</v>
      </c>
      <c r="G18" s="22">
        <f>E18*F18</f>
        <v>-1.9999999999999997E-2</v>
      </c>
      <c r="H18" s="22">
        <f>G18-D18</f>
        <v>-1.42</v>
      </c>
      <c r="I18" s="23">
        <f t="shared" si="0"/>
        <v>-1.0142857142857142</v>
      </c>
      <c r="J18" s="124">
        <f t="shared" si="1"/>
        <v>-4.0888793856789759E-5</v>
      </c>
    </row>
    <row r="19" spans="1:10" x14ac:dyDescent="0.2">
      <c r="A19" s="110" t="s">
        <v>72</v>
      </c>
      <c r="B19" s="74"/>
      <c r="C19" s="35"/>
      <c r="D19" s="35">
        <f>SUM(D15:D18)</f>
        <v>190.53</v>
      </c>
      <c r="E19" s="73"/>
      <c r="F19" s="35"/>
      <c r="G19" s="35">
        <f>SUM(G15:G18)</f>
        <v>199.25700000000001</v>
      </c>
      <c r="H19" s="35">
        <f t="shared" si="3"/>
        <v>8.7270000000000039</v>
      </c>
      <c r="I19" s="36">
        <f>IF(ISERROR(H19/ABS(D19)),"N/A",(H19/ABS(D19)))</f>
        <v>4.5803810423555365E-2</v>
      </c>
      <c r="J19" s="111">
        <f t="shared" si="1"/>
        <v>0.40736891987611795</v>
      </c>
    </row>
    <row r="20" spans="1:10" s="1" customFormat="1" x14ac:dyDescent="0.2">
      <c r="A20" s="119" t="s">
        <v>81</v>
      </c>
      <c r="B20" s="120">
        <f>B8-B4</f>
        <v>184</v>
      </c>
      <c r="C20" s="176">
        <f>IF(B4&gt;B7,C13,C12)</f>
        <v>0.106</v>
      </c>
      <c r="D20" s="22">
        <f>B20*C20</f>
        <v>19.503999999999998</v>
      </c>
      <c r="E20" s="73">
        <f>B20</f>
        <v>184</v>
      </c>
      <c r="F20" s="176">
        <f>C20</f>
        <v>0.106</v>
      </c>
      <c r="G20" s="22">
        <f>E20*F20</f>
        <v>19.503999999999998</v>
      </c>
      <c r="H20" s="22">
        <f t="shared" si="3"/>
        <v>0</v>
      </c>
      <c r="I20" s="23">
        <f t="shared" ref="I20:I36" si="7">IF(ISERROR(H20/ABS(D20)),"N/A",(H20/ABS(D20)))</f>
        <v>0</v>
      </c>
      <c r="J20" s="124">
        <f t="shared" si="1"/>
        <v>3.9874751769141376E-2</v>
      </c>
    </row>
    <row r="21" spans="1:10" x14ac:dyDescent="0.2">
      <c r="A21" s="110" t="s">
        <v>79</v>
      </c>
      <c r="B21" s="74"/>
      <c r="C21" s="35"/>
      <c r="D21" s="35">
        <f>SUM(D19,D20:D20)</f>
        <v>210.03399999999999</v>
      </c>
      <c r="E21" s="73"/>
      <c r="F21" s="35"/>
      <c r="G21" s="35">
        <f>SUM(G19,G20:G20)</f>
        <v>218.761</v>
      </c>
      <c r="H21" s="35">
        <f t="shared" si="3"/>
        <v>8.7270000000000039</v>
      </c>
      <c r="I21" s="36">
        <f t="shared" si="7"/>
        <v>4.155041564699051E-2</v>
      </c>
      <c r="J21" s="111">
        <f t="shared" si="1"/>
        <v>0.4472436716452593</v>
      </c>
    </row>
    <row r="22" spans="1:10" x14ac:dyDescent="0.2">
      <c r="A22" s="107" t="s">
        <v>40</v>
      </c>
      <c r="B22" s="73">
        <f>B8</f>
        <v>2184</v>
      </c>
      <c r="C22" s="78">
        <f>VLOOKUP($B$3,'Data for Bill Impacts'!$A$6:$Y$18,15,0)</f>
        <v>4.4999999999999997E-3</v>
      </c>
      <c r="D22" s="22">
        <f>B22*C22</f>
        <v>9.8279999999999994</v>
      </c>
      <c r="E22" s="73">
        <f t="shared" si="4"/>
        <v>2184</v>
      </c>
      <c r="F22" s="125">
        <f>VLOOKUP($B$3,'Data for Bill Impacts'!$A$6:$Y$18,24,0)</f>
        <v>4.6979999999999999E-3</v>
      </c>
      <c r="G22" s="22">
        <f>E22*F22</f>
        <v>10.260432</v>
      </c>
      <c r="H22" s="22">
        <f t="shared" si="3"/>
        <v>0.43243200000000037</v>
      </c>
      <c r="I22" s="23">
        <f t="shared" si="7"/>
        <v>4.4000000000000039E-2</v>
      </c>
      <c r="J22" s="124">
        <f t="shared" si="1"/>
        <v>2.0976834446480457E-2</v>
      </c>
    </row>
    <row r="23" spans="1:10" s="1" customFormat="1" x14ac:dyDescent="0.2">
      <c r="A23" s="107" t="s">
        <v>41</v>
      </c>
      <c r="B23" s="73">
        <f>B8</f>
        <v>2184</v>
      </c>
      <c r="C23" s="78">
        <f>VLOOKUP($B$3,'Data for Bill Impacts'!$A$6:$Y$18,16,0)</f>
        <v>2.7000000000000001E-3</v>
      </c>
      <c r="D23" s="22">
        <f>B23*C23</f>
        <v>5.8968000000000007</v>
      </c>
      <c r="E23" s="73">
        <f t="shared" si="4"/>
        <v>2184</v>
      </c>
      <c r="F23" s="125">
        <f>VLOOKUP($B$3,'Data for Bill Impacts'!$A$6:$Y$18,25,0)</f>
        <v>4.2899999999999995E-3</v>
      </c>
      <c r="G23" s="22">
        <f>E23*F23</f>
        <v>9.3693599999999986</v>
      </c>
      <c r="H23" s="22">
        <f t="shared" si="3"/>
        <v>3.4725599999999979</v>
      </c>
      <c r="I23" s="23">
        <f t="shared" si="7"/>
        <v>0.58888888888888846</v>
      </c>
      <c r="J23" s="124">
        <f t="shared" si="1"/>
        <v>1.9155091480502585E-2</v>
      </c>
    </row>
    <row r="24" spans="1:10" s="1" customFormat="1" x14ac:dyDescent="0.2">
      <c r="A24" s="110" t="s">
        <v>76</v>
      </c>
      <c r="B24" s="74"/>
      <c r="C24" s="35"/>
      <c r="D24" s="35">
        <f>SUM(D22:D23)</f>
        <v>15.7248</v>
      </c>
      <c r="E24" s="73"/>
      <c r="F24" s="35"/>
      <c r="G24" s="35">
        <f>SUM(G22:G23)</f>
        <v>19.629791999999998</v>
      </c>
      <c r="H24" s="35">
        <f t="shared" si="3"/>
        <v>3.9049919999999982</v>
      </c>
      <c r="I24" s="36">
        <f t="shared" si="7"/>
        <v>0.24833333333333321</v>
      </c>
      <c r="J24" s="111">
        <f t="shared" si="1"/>
        <v>4.0131925926983038E-2</v>
      </c>
    </row>
    <row r="25" spans="1:10" s="1" customFormat="1" x14ac:dyDescent="0.2">
      <c r="A25" s="110" t="s">
        <v>80</v>
      </c>
      <c r="B25" s="74"/>
      <c r="C25" s="35"/>
      <c r="D25" s="35">
        <f>D21+D24</f>
        <v>225.75879999999998</v>
      </c>
      <c r="E25" s="73"/>
      <c r="F25" s="35"/>
      <c r="G25" s="35">
        <f>G21+G24</f>
        <v>238.390792</v>
      </c>
      <c r="H25" s="35">
        <f t="shared" si="3"/>
        <v>12.631992000000025</v>
      </c>
      <c r="I25" s="36">
        <f t="shared" si="7"/>
        <v>5.5953486641495374E-2</v>
      </c>
      <c r="J25" s="111">
        <f t="shared" si="1"/>
        <v>0.48737559757224236</v>
      </c>
    </row>
    <row r="26" spans="1:10" x14ac:dyDescent="0.2">
      <c r="A26" s="107" t="s">
        <v>42</v>
      </c>
      <c r="B26" s="73">
        <f>B8</f>
        <v>2184</v>
      </c>
      <c r="C26" s="34">
        <v>3.5999999999999999E-3</v>
      </c>
      <c r="D26" s="22">
        <f>B26*C26</f>
        <v>7.8624000000000001</v>
      </c>
      <c r="E26" s="73">
        <f t="shared" si="4"/>
        <v>2184</v>
      </c>
      <c r="F26" s="34">
        <v>3.5999999999999999E-3</v>
      </c>
      <c r="G26" s="22">
        <f>E26*F26</f>
        <v>7.8624000000000001</v>
      </c>
      <c r="H26" s="22">
        <f t="shared" si="3"/>
        <v>0</v>
      </c>
      <c r="I26" s="23">
        <f t="shared" si="7"/>
        <v>0</v>
      </c>
      <c r="J26" s="124">
        <f t="shared" si="1"/>
        <v>1.6074202640981194E-2</v>
      </c>
    </row>
    <row r="27" spans="1:10" s="1" customFormat="1" x14ac:dyDescent="0.2">
      <c r="A27" s="107" t="s">
        <v>43</v>
      </c>
      <c r="B27" s="73">
        <f>B8</f>
        <v>2184</v>
      </c>
      <c r="C27" s="34">
        <v>2.0999999999999999E-3</v>
      </c>
      <c r="D27" s="22">
        <f>B27*C27</f>
        <v>4.5863999999999994</v>
      </c>
      <c r="E27" s="73">
        <f t="shared" si="4"/>
        <v>2184</v>
      </c>
      <c r="F27" s="34">
        <v>2.0999999999999999E-3</v>
      </c>
      <c r="G27" s="22">
        <f>E27*F27</f>
        <v>4.5863999999999994</v>
      </c>
      <c r="H27" s="22">
        <f>G27-D27</f>
        <v>0</v>
      </c>
      <c r="I27" s="23">
        <f t="shared" si="7"/>
        <v>0</v>
      </c>
      <c r="J27" s="124">
        <f t="shared" si="1"/>
        <v>9.3766182072390278E-3</v>
      </c>
    </row>
    <row r="28" spans="1:10" s="1" customFormat="1" x14ac:dyDescent="0.2">
      <c r="A28" s="107" t="s">
        <v>96</v>
      </c>
      <c r="B28" s="73">
        <f>B8</f>
        <v>2184</v>
      </c>
      <c r="C28" s="34">
        <v>0</v>
      </c>
      <c r="D28" s="22">
        <f>B28*C28</f>
        <v>0</v>
      </c>
      <c r="E28" s="73">
        <f t="shared" si="4"/>
        <v>2184</v>
      </c>
      <c r="F28" s="34">
        <v>0</v>
      </c>
      <c r="G28" s="22">
        <f>E28*F28</f>
        <v>0</v>
      </c>
      <c r="H28" s="22">
        <f>G28-D28</f>
        <v>0</v>
      </c>
      <c r="I28" s="23" t="str">
        <f t="shared" si="7"/>
        <v>N/A</v>
      </c>
      <c r="J28" s="124">
        <f t="shared" ref="J28" si="8">G28/$G$36</f>
        <v>0</v>
      </c>
    </row>
    <row r="29" spans="1:10" x14ac:dyDescent="0.2">
      <c r="A29" s="107" t="s">
        <v>44</v>
      </c>
      <c r="B29" s="73">
        <v>1</v>
      </c>
      <c r="C29" s="22">
        <v>0.25</v>
      </c>
      <c r="D29" s="22">
        <f>B29*C29</f>
        <v>0.25</v>
      </c>
      <c r="E29" s="73">
        <f t="shared" si="4"/>
        <v>1</v>
      </c>
      <c r="F29" s="22">
        <f>C29</f>
        <v>0.25</v>
      </c>
      <c r="G29" s="22">
        <f>E29*F29</f>
        <v>0.25</v>
      </c>
      <c r="H29" s="22">
        <f t="shared" si="3"/>
        <v>0</v>
      </c>
      <c r="I29" s="23">
        <f t="shared" si="7"/>
        <v>0</v>
      </c>
      <c r="J29" s="124">
        <f t="shared" ref="J29:J36" si="9">G29/$G$36</f>
        <v>5.1110992320987209E-4</v>
      </c>
    </row>
    <row r="30" spans="1:10" s="1" customFormat="1" x14ac:dyDescent="0.2">
      <c r="A30" s="110" t="s">
        <v>45</v>
      </c>
      <c r="B30" s="74"/>
      <c r="C30" s="35"/>
      <c r="D30" s="35">
        <f>SUM(D26:D29)</f>
        <v>12.698799999999999</v>
      </c>
      <c r="E30" s="73"/>
      <c r="F30" s="35"/>
      <c r="G30" s="35">
        <f>SUM(G26:G29)</f>
        <v>12.698799999999999</v>
      </c>
      <c r="H30" s="35">
        <f t="shared" si="3"/>
        <v>0</v>
      </c>
      <c r="I30" s="36">
        <f t="shared" si="7"/>
        <v>0</v>
      </c>
      <c r="J30" s="111">
        <f t="shared" si="9"/>
        <v>2.5961930771430091E-2</v>
      </c>
    </row>
    <row r="31" spans="1:10" ht="13.5" thickBot="1" x14ac:dyDescent="0.25">
      <c r="A31" s="112" t="s">
        <v>46</v>
      </c>
      <c r="B31" s="113">
        <f>B4</f>
        <v>2000</v>
      </c>
      <c r="C31" s="114">
        <v>7.0000000000000001E-3</v>
      </c>
      <c r="D31" s="115">
        <f>B31*C31</f>
        <v>14</v>
      </c>
      <c r="E31" s="116">
        <f t="shared" si="4"/>
        <v>2000</v>
      </c>
      <c r="F31" s="114">
        <f>C31</f>
        <v>7.0000000000000001E-3</v>
      </c>
      <c r="G31" s="115">
        <f>E31*F31</f>
        <v>14</v>
      </c>
      <c r="H31" s="115">
        <f t="shared" si="3"/>
        <v>0</v>
      </c>
      <c r="I31" s="117">
        <f t="shared" si="7"/>
        <v>0</v>
      </c>
      <c r="J31" s="118">
        <f t="shared" si="9"/>
        <v>2.8622155699752835E-2</v>
      </c>
    </row>
    <row r="32" spans="1:10" x14ac:dyDescent="0.2">
      <c r="A32" s="37" t="s">
        <v>115</v>
      </c>
      <c r="B32" s="38"/>
      <c r="C32" s="39"/>
      <c r="D32" s="39">
        <f>SUM(D14,D21,D24,D30,D31)</f>
        <v>453.20760000000001</v>
      </c>
      <c r="E32" s="38"/>
      <c r="F32" s="39"/>
      <c r="G32" s="39">
        <f>SUM(G14,G21,G24,G30,G31)</f>
        <v>465.83959199999998</v>
      </c>
      <c r="H32" s="39">
        <f t="shared" si="3"/>
        <v>12.631991999999968</v>
      </c>
      <c r="I32" s="40">
        <f t="shared" si="7"/>
        <v>2.7872418732607238E-2</v>
      </c>
      <c r="J32" s="41">
        <f t="shared" si="9"/>
        <v>0.95238095238095255</v>
      </c>
    </row>
    <row r="33" spans="1:10" x14ac:dyDescent="0.2">
      <c r="A33" s="46" t="s">
        <v>106</v>
      </c>
      <c r="B33" s="43"/>
      <c r="C33" s="26">
        <v>0.13</v>
      </c>
      <c r="D33" s="26">
        <f>D32*C33</f>
        <v>58.916988000000003</v>
      </c>
      <c r="E33" s="26"/>
      <c r="F33" s="26">
        <f>C33</f>
        <v>0.13</v>
      </c>
      <c r="G33" s="26">
        <f>G32*F33</f>
        <v>60.55914696</v>
      </c>
      <c r="H33" s="26">
        <f t="shared" si="3"/>
        <v>1.6421589599999962</v>
      </c>
      <c r="I33" s="44">
        <f t="shared" si="7"/>
        <v>2.7872418732607242E-2</v>
      </c>
      <c r="J33" s="45">
        <f t="shared" si="9"/>
        <v>0.12380952380952383</v>
      </c>
    </row>
    <row r="34" spans="1:10" x14ac:dyDescent="0.2">
      <c r="A34" s="46" t="s">
        <v>107</v>
      </c>
      <c r="B34" s="24"/>
      <c r="C34" s="25"/>
      <c r="D34" s="25">
        <f>SUM(D32:D33)</f>
        <v>512.12458800000002</v>
      </c>
      <c r="E34" s="25"/>
      <c r="F34" s="25"/>
      <c r="G34" s="25">
        <f>SUM(G32:G33)</f>
        <v>526.39873895999995</v>
      </c>
      <c r="H34" s="25">
        <f t="shared" si="3"/>
        <v>14.274150959999929</v>
      </c>
      <c r="I34" s="27">
        <f t="shared" si="7"/>
        <v>2.7872418732607169E-2</v>
      </c>
      <c r="J34" s="47">
        <f t="shared" si="9"/>
        <v>1.0761904761904764</v>
      </c>
    </row>
    <row r="35" spans="1:10" x14ac:dyDescent="0.2">
      <c r="A35" s="46" t="s">
        <v>108</v>
      </c>
      <c r="B35" s="43"/>
      <c r="C35" s="26">
        <v>-0.08</v>
      </c>
      <c r="D35" s="26">
        <f>D32*C35</f>
        <v>-36.256608</v>
      </c>
      <c r="E35" s="26"/>
      <c r="F35" s="26">
        <f>C35</f>
        <v>-0.08</v>
      </c>
      <c r="G35" s="26">
        <f>G32*F35</f>
        <v>-37.267167360000002</v>
      </c>
      <c r="H35" s="26">
        <f t="shared" si="3"/>
        <v>-1.010559360000002</v>
      </c>
      <c r="I35" s="44">
        <f t="shared" si="7"/>
        <v>-2.7872418732607363E-2</v>
      </c>
      <c r="J35" s="45">
        <f t="shared" si="9"/>
        <v>-7.6190476190476211E-2</v>
      </c>
    </row>
    <row r="36" spans="1:10" ht="13.5" thickBot="1" x14ac:dyDescent="0.25">
      <c r="A36" s="46" t="s">
        <v>109</v>
      </c>
      <c r="B36" s="49"/>
      <c r="C36" s="50"/>
      <c r="D36" s="50">
        <f>SUM(D34:D35)</f>
        <v>475.86797999999999</v>
      </c>
      <c r="E36" s="50"/>
      <c r="F36" s="50"/>
      <c r="G36" s="50">
        <f>SUM(G34:G35)</f>
        <v>489.13157159999992</v>
      </c>
      <c r="H36" s="50">
        <f t="shared" si="3"/>
        <v>13.263591599999927</v>
      </c>
      <c r="I36" s="51">
        <f t="shared" si="7"/>
        <v>2.7872418732607155E-2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6947916666666705" bottom="0.75" header="1.05" footer="0.3"/>
  <pageSetup paperSize="32767" scale="79"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Impacts'!$A$6:$A$14</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120</v>
      </c>
      <c r="B1" s="191"/>
      <c r="C1" s="191"/>
      <c r="D1" s="191"/>
      <c r="E1" s="191"/>
      <c r="F1" s="191"/>
      <c r="G1" s="191"/>
      <c r="H1" s="191"/>
      <c r="I1" s="191"/>
      <c r="J1" s="191"/>
      <c r="K1" s="192"/>
    </row>
    <row r="3" spans="1:11" x14ac:dyDescent="0.2">
      <c r="A3" s="13" t="s">
        <v>13</v>
      </c>
      <c r="B3" s="13" t="s">
        <v>0</v>
      </c>
    </row>
    <row r="4" spans="1:11" x14ac:dyDescent="0.2">
      <c r="A4" s="15" t="s">
        <v>62</v>
      </c>
      <c r="B4" s="15">
        <f>VLOOKUP(B3,'Data for Bill Impacts'!$A$22:$D$34,3,FALSE)</f>
        <v>755</v>
      </c>
    </row>
    <row r="5" spans="1:11" x14ac:dyDescent="0.2">
      <c r="A5" s="15" t="s">
        <v>16</v>
      </c>
      <c r="B5" s="15">
        <f>VLOOKUP($B$3,'Data for Bill Impacts'!$A$6:$Y$18,5,0)</f>
        <v>0</v>
      </c>
    </row>
    <row r="6" spans="1:11" x14ac:dyDescent="0.2">
      <c r="A6" s="15" t="s">
        <v>20</v>
      </c>
      <c r="B6" s="15">
        <f>VLOOKUP($B$3,'Data for Bill Impacts'!$A$6:$Y$18,2,0)</f>
        <v>1.0569999999999999</v>
      </c>
    </row>
    <row r="7" spans="1:11" x14ac:dyDescent="0.2">
      <c r="A7" s="15" t="s">
        <v>15</v>
      </c>
      <c r="B7" s="15">
        <f>VLOOKUP($B$3,'Data for Bill Impacts'!$A$6:$Y$18,4,0)</f>
        <v>600</v>
      </c>
    </row>
    <row r="8" spans="1:11" x14ac:dyDescent="0.2">
      <c r="A8" s="15" t="s">
        <v>82</v>
      </c>
      <c r="B8" s="168">
        <f>B4*B6</f>
        <v>798.03499999999997</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0.41206420399527</v>
      </c>
      <c r="K12" s="106"/>
    </row>
    <row r="13" spans="1:11" x14ac:dyDescent="0.2">
      <c r="A13" s="107" t="s">
        <v>32</v>
      </c>
      <c r="B13" s="73">
        <f>IF(B4&gt;B7,(B4)-B7,0)</f>
        <v>155</v>
      </c>
      <c r="C13" s="21">
        <v>0.106</v>
      </c>
      <c r="D13" s="22">
        <f>B13*C13</f>
        <v>16.43</v>
      </c>
      <c r="E13" s="73">
        <f t="shared" ref="E13:F17" si="1">B13</f>
        <v>155</v>
      </c>
      <c r="F13" s="21">
        <f t="shared" si="1"/>
        <v>0.106</v>
      </c>
      <c r="G13" s="22">
        <f>E13*F13</f>
        <v>16.43</v>
      </c>
      <c r="H13" s="22">
        <f t="shared" ref="H13:H46" si="2">G13-D13</f>
        <v>0</v>
      </c>
      <c r="I13" s="23">
        <f t="shared" si="0"/>
        <v>0</v>
      </c>
      <c r="J13" s="23">
        <f>G13/$G$46</f>
        <v>0.12399660937073784</v>
      </c>
      <c r="K13" s="108"/>
    </row>
    <row r="14" spans="1:11" s="1" customFormat="1" x14ac:dyDescent="0.2">
      <c r="A14" s="46" t="s">
        <v>33</v>
      </c>
      <c r="B14" s="24"/>
      <c r="C14" s="25"/>
      <c r="D14" s="25">
        <f>SUM(D12:D13)</f>
        <v>71.03</v>
      </c>
      <c r="E14" s="76"/>
      <c r="F14" s="76"/>
      <c r="G14" s="25">
        <f>SUM(G12:G13)</f>
        <v>71.03</v>
      </c>
      <c r="H14" s="25">
        <f t="shared" si="2"/>
        <v>0</v>
      </c>
      <c r="I14" s="27">
        <f t="shared" si="0"/>
        <v>0</v>
      </c>
      <c r="J14" s="27">
        <f>G14/$G$46</f>
        <v>0.53606081336600786</v>
      </c>
      <c r="K14" s="108"/>
    </row>
    <row r="15" spans="1:11" s="1" customFormat="1" x14ac:dyDescent="0.2">
      <c r="A15" s="109" t="s">
        <v>34</v>
      </c>
      <c r="B15" s="75">
        <f>B4*0.65</f>
        <v>490.75</v>
      </c>
      <c r="C15" s="28">
        <v>7.6999999999999999E-2</v>
      </c>
      <c r="D15" s="22">
        <f>B15*C15</f>
        <v>37.787750000000003</v>
      </c>
      <c r="E15" s="73">
        <f t="shared" ref="E15:E17" si="3">B15</f>
        <v>490.75</v>
      </c>
      <c r="F15" s="28">
        <f t="shared" si="1"/>
        <v>7.6999999999999999E-2</v>
      </c>
      <c r="G15" s="22">
        <f>E15*F15</f>
        <v>37.787750000000003</v>
      </c>
      <c r="H15" s="22">
        <f t="shared" si="2"/>
        <v>0</v>
      </c>
      <c r="I15" s="23">
        <f t="shared" si="0"/>
        <v>0</v>
      </c>
      <c r="J15" s="23"/>
      <c r="K15" s="108">
        <f t="shared" ref="K15:K26" si="4">G15/$G$51</f>
        <v>0.28022493885830879</v>
      </c>
    </row>
    <row r="16" spans="1:11" s="1" customFormat="1" x14ac:dyDescent="0.2">
      <c r="A16" s="109" t="s">
        <v>35</v>
      </c>
      <c r="B16" s="75">
        <f>B4*0.17</f>
        <v>128.35000000000002</v>
      </c>
      <c r="C16" s="28">
        <v>0.113</v>
      </c>
      <c r="D16" s="22">
        <f>B16*C16</f>
        <v>14.503550000000002</v>
      </c>
      <c r="E16" s="73">
        <f t="shared" si="3"/>
        <v>128.35000000000002</v>
      </c>
      <c r="F16" s="28">
        <f t="shared" si="1"/>
        <v>0.113</v>
      </c>
      <c r="G16" s="22">
        <f>E16*F16</f>
        <v>14.503550000000002</v>
      </c>
      <c r="H16" s="22">
        <f t="shared" si="2"/>
        <v>0</v>
      </c>
      <c r="I16" s="23">
        <f t="shared" si="0"/>
        <v>0</v>
      </c>
      <c r="J16" s="23"/>
      <c r="K16" s="108">
        <f t="shared" si="4"/>
        <v>0.10755486664271952</v>
      </c>
    </row>
    <row r="17" spans="1:11" s="1" customFormat="1" x14ac:dyDescent="0.2">
      <c r="A17" s="109" t="s">
        <v>36</v>
      </c>
      <c r="B17" s="75">
        <f>B4*0.18</f>
        <v>135.9</v>
      </c>
      <c r="C17" s="28">
        <v>0.157</v>
      </c>
      <c r="D17" s="22">
        <f>B17*C17</f>
        <v>21.336300000000001</v>
      </c>
      <c r="E17" s="73">
        <f t="shared" si="3"/>
        <v>135.9</v>
      </c>
      <c r="F17" s="28">
        <f t="shared" si="1"/>
        <v>0.157</v>
      </c>
      <c r="G17" s="22">
        <f>E17*F17</f>
        <v>21.336300000000001</v>
      </c>
      <c r="H17" s="22">
        <f t="shared" si="2"/>
        <v>0</v>
      </c>
      <c r="I17" s="23">
        <f t="shared" si="0"/>
        <v>0</v>
      </c>
      <c r="J17" s="23"/>
      <c r="K17" s="108">
        <f t="shared" si="4"/>
        <v>0.15822491053218393</v>
      </c>
    </row>
    <row r="18" spans="1:11" s="1" customFormat="1" x14ac:dyDescent="0.2">
      <c r="A18" s="61" t="s">
        <v>37</v>
      </c>
      <c r="B18" s="29"/>
      <c r="C18" s="30"/>
      <c r="D18" s="30">
        <f>SUM(D15:D17)</f>
        <v>73.627600000000001</v>
      </c>
      <c r="E18" s="77"/>
      <c r="F18" s="30"/>
      <c r="G18" s="30">
        <f>SUM(G15:G17)</f>
        <v>73.627600000000001</v>
      </c>
      <c r="H18" s="31">
        <f t="shared" si="2"/>
        <v>0</v>
      </c>
      <c r="I18" s="32">
        <f t="shared" si="0"/>
        <v>0</v>
      </c>
      <c r="J18" s="33">
        <f t="shared" ref="J18:J26" si="5">G18/$G$46</f>
        <v>0.55566480560590004</v>
      </c>
      <c r="K18" s="62">
        <f t="shared" si="4"/>
        <v>0.54600471603321221</v>
      </c>
    </row>
    <row r="19" spans="1:11" x14ac:dyDescent="0.2">
      <c r="A19" s="107" t="s">
        <v>38</v>
      </c>
      <c r="B19" s="73">
        <v>1</v>
      </c>
      <c r="C19" s="78">
        <f>VLOOKUP($B$3,'Data for Bill Impacts'!$A$6:$Y$18,7,0)</f>
        <v>24.78</v>
      </c>
      <c r="D19" s="22">
        <f>B19*C19</f>
        <v>24.78</v>
      </c>
      <c r="E19" s="73">
        <f t="shared" ref="E19:E41" si="6">B19</f>
        <v>1</v>
      </c>
      <c r="F19" s="78">
        <f>VLOOKUP($B$3,'Data for Bill Impacts'!$A$6:$Y$18,17,0)</f>
        <v>27.71</v>
      </c>
      <c r="G19" s="22">
        <f>E19*F19</f>
        <v>27.71</v>
      </c>
      <c r="H19" s="22">
        <f t="shared" si="2"/>
        <v>2.9299999999999997</v>
      </c>
      <c r="I19" s="23">
        <f>IF(ISERROR(H19/ABS(D19)),"N/A",(H19/ABS(D19)))</f>
        <v>0.11824051654560128</v>
      </c>
      <c r="J19" s="23">
        <f t="shared" si="5"/>
        <v>0.20912635700932108</v>
      </c>
      <c r="K19" s="108">
        <f t="shared" si="4"/>
        <v>0.20549074913864243</v>
      </c>
    </row>
    <row r="20" spans="1:11" hidden="1" x14ac:dyDescent="0.2">
      <c r="A20" s="107" t="s">
        <v>113</v>
      </c>
      <c r="B20" s="73">
        <v>1</v>
      </c>
      <c r="C20" s="78">
        <v>0</v>
      </c>
      <c r="D20" s="22">
        <f t="shared" ref="D20:D21" si="7">B20*C20</f>
        <v>0</v>
      </c>
      <c r="E20" s="73">
        <f t="shared" si="6"/>
        <v>1</v>
      </c>
      <c r="F20" s="121">
        <f>VLOOKUP($B$3,'Data for Bill Impacts'!$A$6:$Y$18,12,0)</f>
        <v>0</v>
      </c>
      <c r="G20" s="22">
        <v>0</v>
      </c>
      <c r="H20" s="22">
        <f t="shared" si="2"/>
        <v>0</v>
      </c>
      <c r="I20" s="23" t="str">
        <f t="shared" ref="I20:I51" si="8">IF(ISERROR(H20/ABS(D20)),"N/A",(H20/ABS(D20)))</f>
        <v>N/A</v>
      </c>
      <c r="J20" s="23">
        <f t="shared" si="5"/>
        <v>0</v>
      </c>
      <c r="K20" s="108">
        <f t="shared" si="4"/>
        <v>0</v>
      </c>
    </row>
    <row r="21" spans="1:11" x14ac:dyDescent="0.2">
      <c r="A21" s="107" t="s">
        <v>85</v>
      </c>
      <c r="B21" s="73">
        <v>1</v>
      </c>
      <c r="C21" s="78">
        <f>VLOOKUP($B$3,'Data for Bill Impacts'!$A$6:$Y$18,13,0)</f>
        <v>0.72</v>
      </c>
      <c r="D21" s="22">
        <f t="shared" si="7"/>
        <v>0.72</v>
      </c>
      <c r="E21" s="73">
        <f t="shared" si="6"/>
        <v>1</v>
      </c>
      <c r="F21" s="121">
        <f>VLOOKUP($B$3,'Data for Bill Impacts'!$A$6:$Y$18,22,0)</f>
        <v>7.0000000000000001E-3</v>
      </c>
      <c r="G21" s="22">
        <f t="shared" ref="G21" si="9">E21*F21</f>
        <v>7.0000000000000001E-3</v>
      </c>
      <c r="H21" s="22">
        <f t="shared" si="2"/>
        <v>-0.71299999999999997</v>
      </c>
      <c r="I21" s="23">
        <f t="shared" si="8"/>
        <v>-0.99027777777777781</v>
      </c>
      <c r="J21" s="23">
        <f t="shared" si="5"/>
        <v>5.2828744101957693E-5</v>
      </c>
      <c r="K21" s="108">
        <f t="shared" si="4"/>
        <v>5.1910329988108883E-5</v>
      </c>
    </row>
    <row r="22" spans="1:11" hidden="1" x14ac:dyDescent="0.2">
      <c r="A22" s="107" t="s">
        <v>123</v>
      </c>
      <c r="B22" s="73">
        <f>B4</f>
        <v>755</v>
      </c>
      <c r="C22" s="78">
        <v>0</v>
      </c>
      <c r="D22" s="22">
        <f>B22*C22</f>
        <v>0</v>
      </c>
      <c r="E22" s="73">
        <f>B22</f>
        <v>755</v>
      </c>
      <c r="F22" s="78">
        <f>C22</f>
        <v>0</v>
      </c>
      <c r="G22" s="22">
        <f>E22*F22</f>
        <v>0</v>
      </c>
      <c r="H22" s="22">
        <f>G22-D22</f>
        <v>0</v>
      </c>
      <c r="I22" s="23" t="str">
        <f t="shared" si="8"/>
        <v>N/A</v>
      </c>
      <c r="J22" s="23">
        <f t="shared" si="5"/>
        <v>0</v>
      </c>
      <c r="K22" s="108">
        <f t="shared" si="4"/>
        <v>0</v>
      </c>
    </row>
    <row r="23" spans="1:11" x14ac:dyDescent="0.2">
      <c r="A23" s="107" t="s">
        <v>39</v>
      </c>
      <c r="B23" s="73">
        <f>IF($B$9="kWh",$B$4,$B$5)</f>
        <v>755</v>
      </c>
      <c r="C23" s="78">
        <f>VLOOKUP($B$3,'Data for Bill Impacts'!$A$6:$Y$18,10,0)</f>
        <v>9.4000000000000004E-3</v>
      </c>
      <c r="D23" s="22">
        <f>B23*C23</f>
        <v>7.0970000000000004</v>
      </c>
      <c r="E23" s="73">
        <f t="shared" si="6"/>
        <v>755</v>
      </c>
      <c r="F23" s="78">
        <f>VLOOKUP($B$3,'Data for Bill Impacts'!$A$6:$Y$18,19,0)</f>
        <v>7.7999999999999996E-3</v>
      </c>
      <c r="G23" s="22">
        <f>E23*F23</f>
        <v>5.8889999999999993</v>
      </c>
      <c r="H23" s="22">
        <f t="shared" si="2"/>
        <v>-1.2080000000000011</v>
      </c>
      <c r="I23" s="23">
        <f t="shared" si="8"/>
        <v>-0.17021276595744694</v>
      </c>
      <c r="J23" s="23">
        <f t="shared" si="5"/>
        <v>4.4444067716632688E-2</v>
      </c>
      <c r="K23" s="108">
        <f t="shared" si="4"/>
        <v>4.3671419042853307E-2</v>
      </c>
    </row>
    <row r="24" spans="1:11" x14ac:dyDescent="0.2">
      <c r="A24" s="107" t="s">
        <v>124</v>
      </c>
      <c r="B24" s="73">
        <f>IF($B$9="kWh",$B$4,$B$5)</f>
        <v>755</v>
      </c>
      <c r="C24" s="78">
        <f>VLOOKUP($B$3,'Data for Bill Impacts'!$A$6:$Y$18,14,0)</f>
        <v>-2.9999999999999997E-4</v>
      </c>
      <c r="D24" s="22">
        <f>B24*C24</f>
        <v>-0.22649999999999998</v>
      </c>
      <c r="E24" s="73">
        <f>B24</f>
        <v>755</v>
      </c>
      <c r="F24" s="125">
        <f>VLOOKUP($B$3,'Data for Bill Impacts'!$A$6:$Y$18,23,0)</f>
        <v>3.0000000000000004E-5</v>
      </c>
      <c r="G24" s="22">
        <f>E24*F24</f>
        <v>2.2650000000000003E-2</v>
      </c>
      <c r="H24" s="22">
        <f>G24-D24</f>
        <v>0.24914999999999998</v>
      </c>
      <c r="I24" s="23">
        <f t="shared" si="8"/>
        <v>1.1000000000000001</v>
      </c>
      <c r="J24" s="23">
        <f t="shared" si="5"/>
        <v>1.7093872198704882E-4</v>
      </c>
      <c r="K24" s="108">
        <f t="shared" si="4"/>
        <v>1.6796699631866662E-4</v>
      </c>
    </row>
    <row r="25" spans="1:11" s="1" customFormat="1" x14ac:dyDescent="0.2">
      <c r="A25" s="110" t="s">
        <v>72</v>
      </c>
      <c r="B25" s="74"/>
      <c r="C25" s="35"/>
      <c r="D25" s="35">
        <f>SUM(D19:D24)</f>
        <v>32.3705</v>
      </c>
      <c r="E25" s="73"/>
      <c r="F25" s="35"/>
      <c r="G25" s="35">
        <f>SUM(G19:G24)</f>
        <v>33.62865</v>
      </c>
      <c r="H25" s="35">
        <f t="shared" si="2"/>
        <v>1.2581500000000005</v>
      </c>
      <c r="I25" s="36">
        <f t="shared" si="8"/>
        <v>3.8867178449514234E-2</v>
      </c>
      <c r="J25" s="36">
        <f t="shared" si="5"/>
        <v>0.2537941921920428</v>
      </c>
      <c r="K25" s="111">
        <f t="shared" si="4"/>
        <v>0.24938204550780252</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8"/>
        <v>0</v>
      </c>
      <c r="J26" s="23">
        <f t="shared" si="5"/>
        <v>5.9621011200780821E-3</v>
      </c>
      <c r="K26" s="108">
        <f t="shared" si="4"/>
        <v>5.8584515272294309E-3</v>
      </c>
    </row>
    <row r="27" spans="1:11" s="1" customFormat="1" x14ac:dyDescent="0.2">
      <c r="A27" s="119" t="s">
        <v>75</v>
      </c>
      <c r="B27" s="120">
        <f>B8-B4</f>
        <v>43.034999999999968</v>
      </c>
      <c r="C27" s="176">
        <f>IF(B4&gt;B7,C13,C12)</f>
        <v>0.106</v>
      </c>
      <c r="D27" s="22">
        <f>B27*C27</f>
        <v>4.5617099999999962</v>
      </c>
      <c r="E27" s="73">
        <f>B27</f>
        <v>43.034999999999968</v>
      </c>
      <c r="F27" s="176">
        <f>C27</f>
        <v>0.106</v>
      </c>
      <c r="G27" s="22">
        <f>E27*F27</f>
        <v>4.5617099999999962</v>
      </c>
      <c r="H27" s="22">
        <f t="shared" si="2"/>
        <v>0</v>
      </c>
      <c r="I27" s="23">
        <f t="shared" si="8"/>
        <v>0</v>
      </c>
      <c r="J27" s="23">
        <f t="shared" ref="J27:J46" si="10">G27/$G$46</f>
        <v>3.4427058608191605E-2</v>
      </c>
      <c r="K27" s="108">
        <f t="shared" ref="K27:K41" si="11">G27/$G$51</f>
        <v>3.3828553058579423E-2</v>
      </c>
    </row>
    <row r="28" spans="1:11" s="1" customFormat="1" x14ac:dyDescent="0.2">
      <c r="A28" s="119" t="s">
        <v>74</v>
      </c>
      <c r="B28" s="120">
        <f>B8-B4</f>
        <v>43.034999999999968</v>
      </c>
      <c r="C28" s="176">
        <f>0.65*C15+0.17*C16+0.18*C17</f>
        <v>9.7519999999999996E-2</v>
      </c>
      <c r="D28" s="22">
        <f>B28*C28</f>
        <v>4.1967731999999964</v>
      </c>
      <c r="E28" s="73">
        <f>B28</f>
        <v>43.034999999999968</v>
      </c>
      <c r="F28" s="176">
        <f>C28</f>
        <v>9.7519999999999996E-2</v>
      </c>
      <c r="G28" s="22">
        <f>E28*F28</f>
        <v>4.1967731999999964</v>
      </c>
      <c r="H28" s="22">
        <f t="shared" si="2"/>
        <v>0</v>
      </c>
      <c r="I28" s="23">
        <f t="shared" si="8"/>
        <v>0</v>
      </c>
      <c r="J28" s="23">
        <f t="shared" si="10"/>
        <v>3.1672893919536274E-2</v>
      </c>
      <c r="K28" s="108">
        <f t="shared" si="11"/>
        <v>3.1122268813893069E-2</v>
      </c>
    </row>
    <row r="29" spans="1:11" s="1" customFormat="1" x14ac:dyDescent="0.2">
      <c r="A29" s="110" t="s">
        <v>78</v>
      </c>
      <c r="B29" s="74"/>
      <c r="C29" s="35"/>
      <c r="D29" s="35">
        <f>SUM(D25,D26:D27)</f>
        <v>37.722209999999997</v>
      </c>
      <c r="E29" s="73"/>
      <c r="F29" s="35"/>
      <c r="G29" s="35">
        <f>SUM(G25,G26:G27)</f>
        <v>38.980359999999997</v>
      </c>
      <c r="H29" s="35">
        <f t="shared" si="2"/>
        <v>1.2581500000000005</v>
      </c>
      <c r="I29" s="36">
        <f t="shared" si="8"/>
        <v>3.3353029952380854E-2</v>
      </c>
      <c r="J29" s="36">
        <f t="shared" si="10"/>
        <v>0.29418335192031247</v>
      </c>
      <c r="K29" s="111">
        <f t="shared" si="11"/>
        <v>0.28906905009361139</v>
      </c>
    </row>
    <row r="30" spans="1:11" s="1" customFormat="1" x14ac:dyDescent="0.2">
      <c r="A30" s="110" t="s">
        <v>77</v>
      </c>
      <c r="B30" s="74"/>
      <c r="C30" s="35"/>
      <c r="D30" s="35">
        <f>SUM(D25,D26,D28)</f>
        <v>37.357273199999995</v>
      </c>
      <c r="E30" s="73"/>
      <c r="F30" s="35"/>
      <c r="G30" s="35">
        <f>SUM(G25,G26,G28)</f>
        <v>38.615423199999995</v>
      </c>
      <c r="H30" s="35">
        <f t="shared" si="2"/>
        <v>1.2581500000000005</v>
      </c>
      <c r="I30" s="36">
        <f t="shared" si="8"/>
        <v>3.3678849986299338E-2</v>
      </c>
      <c r="J30" s="36">
        <f t="shared" si="10"/>
        <v>0.29142918723165712</v>
      </c>
      <c r="K30" s="111">
        <f t="shared" si="11"/>
        <v>0.286362765848925</v>
      </c>
    </row>
    <row r="31" spans="1:11" x14ac:dyDescent="0.2">
      <c r="A31" s="107" t="s">
        <v>40</v>
      </c>
      <c r="B31" s="73">
        <f>B8</f>
        <v>798.03499999999997</v>
      </c>
      <c r="C31" s="78">
        <f>VLOOKUP($B$3,'Data for Bill Impacts'!$A$6:$Y$18,15,0)</f>
        <v>6.7000000000000002E-3</v>
      </c>
      <c r="D31" s="22">
        <f>B31*C31</f>
        <v>5.3468344999999999</v>
      </c>
      <c r="E31" s="73">
        <f t="shared" si="6"/>
        <v>798.03499999999997</v>
      </c>
      <c r="F31" s="125">
        <f>VLOOKUP($B$3,'Data for Bill Impacts'!$A$6:$Y$18,24,0)</f>
        <v>7.8279999999999999E-3</v>
      </c>
      <c r="G31" s="22">
        <f>E31*F31</f>
        <v>6.2470179799999999</v>
      </c>
      <c r="H31" s="22">
        <f t="shared" si="2"/>
        <v>0.90018347999999992</v>
      </c>
      <c r="I31" s="23">
        <f t="shared" si="8"/>
        <v>0.16835820895522388</v>
      </c>
      <c r="J31" s="23">
        <f t="shared" si="10"/>
        <v>4.7146016323678375E-2</v>
      </c>
      <c r="K31" s="108">
        <f t="shared" si="11"/>
        <v>4.632639496906419E-2</v>
      </c>
    </row>
    <row r="32" spans="1:11" x14ac:dyDescent="0.2">
      <c r="A32" s="107" t="s">
        <v>41</v>
      </c>
      <c r="B32" s="73">
        <f>B8</f>
        <v>798.03499999999997</v>
      </c>
      <c r="C32" s="78">
        <f>VLOOKUP($B$3,'Data for Bill Impacts'!$A$6:$Y$18,16,0)</f>
        <v>4.7000000000000002E-3</v>
      </c>
      <c r="D32" s="22">
        <f>B32*C32</f>
        <v>3.7507644999999998</v>
      </c>
      <c r="E32" s="73">
        <f t="shared" si="6"/>
        <v>798.03499999999997</v>
      </c>
      <c r="F32" s="125">
        <f>VLOOKUP($B$3,'Data for Bill Impacts'!$A$6:$Y$18,25,0)</f>
        <v>6.4380000000000001E-3</v>
      </c>
      <c r="G32" s="22">
        <f>E32*F32</f>
        <v>5.1377493300000001</v>
      </c>
      <c r="H32" s="22">
        <f t="shared" si="2"/>
        <v>1.3869848300000003</v>
      </c>
      <c r="I32" s="23">
        <f t="shared" si="8"/>
        <v>0.36978723404255326</v>
      </c>
      <c r="J32" s="23">
        <f t="shared" si="10"/>
        <v>3.8774406373510657E-2</v>
      </c>
      <c r="K32" s="108">
        <f t="shared" si="11"/>
        <v>3.8100323302355042E-2</v>
      </c>
    </row>
    <row r="33" spans="1:11" s="1" customFormat="1" x14ac:dyDescent="0.2">
      <c r="A33" s="110" t="s">
        <v>76</v>
      </c>
      <c r="B33" s="74"/>
      <c r="C33" s="35"/>
      <c r="D33" s="35">
        <f>SUM(D31:D32)</f>
        <v>9.0975989999999989</v>
      </c>
      <c r="E33" s="73"/>
      <c r="F33" s="35"/>
      <c r="G33" s="35">
        <f>SUM(G31:G32)</f>
        <v>11.384767310000001</v>
      </c>
      <c r="H33" s="35">
        <f t="shared" si="2"/>
        <v>2.287168310000002</v>
      </c>
      <c r="I33" s="36">
        <f t="shared" si="8"/>
        <v>0.25140350877193007</v>
      </c>
      <c r="J33" s="36">
        <f t="shared" si="10"/>
        <v>8.5920422697189039E-2</v>
      </c>
      <c r="K33" s="111">
        <f t="shared" si="11"/>
        <v>8.4426718271419246E-2</v>
      </c>
    </row>
    <row r="34" spans="1:11" s="1" customFormat="1" x14ac:dyDescent="0.2">
      <c r="A34" s="110" t="s">
        <v>91</v>
      </c>
      <c r="B34" s="74"/>
      <c r="C34" s="35"/>
      <c r="D34" s="35">
        <f>D29+D33</f>
        <v>46.819808999999992</v>
      </c>
      <c r="E34" s="73"/>
      <c r="F34" s="35"/>
      <c r="G34" s="35">
        <f>G29+G33</f>
        <v>50.365127309999998</v>
      </c>
      <c r="H34" s="35">
        <f t="shared" si="2"/>
        <v>3.5453183100000061</v>
      </c>
      <c r="I34" s="36">
        <f t="shared" si="8"/>
        <v>7.5722613691141E-2</v>
      </c>
      <c r="J34" s="36">
        <f t="shared" si="10"/>
        <v>0.3801037746175015</v>
      </c>
      <c r="K34" s="111">
        <f t="shared" si="11"/>
        <v>0.37349576836503062</v>
      </c>
    </row>
    <row r="35" spans="1:11" s="1" customFormat="1" x14ac:dyDescent="0.2">
      <c r="A35" s="110" t="s">
        <v>92</v>
      </c>
      <c r="B35" s="74"/>
      <c r="C35" s="35"/>
      <c r="D35" s="35">
        <f>D30+D33</f>
        <v>46.454872199999997</v>
      </c>
      <c r="E35" s="73"/>
      <c r="F35" s="35"/>
      <c r="G35" s="35">
        <f>G30+G33</f>
        <v>50.000190509999996</v>
      </c>
      <c r="H35" s="35">
        <f t="shared" si="2"/>
        <v>3.545318309999999</v>
      </c>
      <c r="I35" s="36">
        <f t="shared" si="8"/>
        <v>7.6317469882093425E-2</v>
      </c>
      <c r="J35" s="36">
        <f t="shared" si="10"/>
        <v>0.37734960992884614</v>
      </c>
      <c r="K35" s="111">
        <f t="shared" si="11"/>
        <v>0.37078948412034424</v>
      </c>
    </row>
    <row r="36" spans="1:11" x14ac:dyDescent="0.2">
      <c r="A36" s="107" t="s">
        <v>42</v>
      </c>
      <c r="B36" s="73">
        <f>B8</f>
        <v>798.03499999999997</v>
      </c>
      <c r="C36" s="34">
        <v>3.5999999999999999E-3</v>
      </c>
      <c r="D36" s="22">
        <f>B36*C36</f>
        <v>2.8729259999999996</v>
      </c>
      <c r="E36" s="73">
        <f t="shared" si="6"/>
        <v>798.03499999999997</v>
      </c>
      <c r="F36" s="34">
        <v>3.5999999999999999E-3</v>
      </c>
      <c r="G36" s="22">
        <f>E36*F36</f>
        <v>2.8729259999999996</v>
      </c>
      <c r="H36" s="22">
        <f t="shared" si="2"/>
        <v>0</v>
      </c>
      <c r="I36" s="23">
        <f t="shared" si="8"/>
        <v>0</v>
      </c>
      <c r="J36" s="23">
        <f t="shared" si="10"/>
        <v>2.168186749683727E-2</v>
      </c>
      <c r="K36" s="108">
        <f t="shared" si="11"/>
        <v>2.1304933813059666E-2</v>
      </c>
    </row>
    <row r="37" spans="1:11" x14ac:dyDescent="0.2">
      <c r="A37" s="107" t="s">
        <v>43</v>
      </c>
      <c r="B37" s="73">
        <f>B8</f>
        <v>798.03499999999997</v>
      </c>
      <c r="C37" s="34">
        <v>2.0999999999999999E-3</v>
      </c>
      <c r="D37" s="22">
        <f>B37*C37</f>
        <v>1.6758734999999998</v>
      </c>
      <c r="E37" s="73">
        <f t="shared" si="6"/>
        <v>798.03499999999997</v>
      </c>
      <c r="F37" s="34">
        <v>2.0999999999999999E-3</v>
      </c>
      <c r="G37" s="22">
        <f>E37*F37</f>
        <v>1.6758734999999998</v>
      </c>
      <c r="H37" s="22">
        <f>G37-D37</f>
        <v>0</v>
      </c>
      <c r="I37" s="23">
        <f t="shared" si="8"/>
        <v>0</v>
      </c>
      <c r="J37" s="23">
        <f t="shared" si="10"/>
        <v>1.2647756039821739E-2</v>
      </c>
      <c r="K37" s="108">
        <f t="shared" si="11"/>
        <v>1.2427878057618139E-2</v>
      </c>
    </row>
    <row r="38" spans="1:11" x14ac:dyDescent="0.2">
      <c r="A38" s="107" t="s">
        <v>96</v>
      </c>
      <c r="B38" s="73">
        <f>B8</f>
        <v>798.03499999999997</v>
      </c>
      <c r="C38" s="34">
        <v>0</v>
      </c>
      <c r="D38" s="22">
        <f>B38*C38</f>
        <v>0</v>
      </c>
      <c r="E38" s="73">
        <f t="shared" si="6"/>
        <v>798.03499999999997</v>
      </c>
      <c r="F38" s="34">
        <v>0</v>
      </c>
      <c r="G38" s="22">
        <f>E38*F38</f>
        <v>0</v>
      </c>
      <c r="H38" s="22">
        <f>G38-D38</f>
        <v>0</v>
      </c>
      <c r="I38" s="23" t="str">
        <f t="shared" si="8"/>
        <v>N/A</v>
      </c>
      <c r="J38" s="23">
        <f t="shared" si="10"/>
        <v>0</v>
      </c>
      <c r="K38" s="108">
        <f t="shared" si="11"/>
        <v>0</v>
      </c>
    </row>
    <row r="39" spans="1:11" x14ac:dyDescent="0.2">
      <c r="A39" s="107" t="s">
        <v>44</v>
      </c>
      <c r="B39" s="73">
        <v>1</v>
      </c>
      <c r="C39" s="22">
        <v>0.25</v>
      </c>
      <c r="D39" s="22">
        <f>B39*C39</f>
        <v>0.25</v>
      </c>
      <c r="E39" s="73">
        <f t="shared" si="6"/>
        <v>1</v>
      </c>
      <c r="F39" s="22">
        <f>C39</f>
        <v>0.25</v>
      </c>
      <c r="G39" s="22">
        <f>E39*F39</f>
        <v>0.25</v>
      </c>
      <c r="H39" s="22">
        <f t="shared" si="2"/>
        <v>0</v>
      </c>
      <c r="I39" s="23">
        <f t="shared" si="8"/>
        <v>0</v>
      </c>
      <c r="J39" s="23">
        <f t="shared" si="10"/>
        <v>1.8867408607842033E-3</v>
      </c>
      <c r="K39" s="108">
        <f t="shared" si="11"/>
        <v>1.8539403567181742E-3</v>
      </c>
    </row>
    <row r="40" spans="1:11" s="1" customFormat="1" x14ac:dyDescent="0.2">
      <c r="A40" s="110" t="s">
        <v>45</v>
      </c>
      <c r="B40" s="74"/>
      <c r="C40" s="35"/>
      <c r="D40" s="35">
        <f>SUM(D36:D39)</f>
        <v>4.7987994999999994</v>
      </c>
      <c r="E40" s="73"/>
      <c r="F40" s="35"/>
      <c r="G40" s="35">
        <f>SUM(G36:G39)</f>
        <v>4.7987994999999994</v>
      </c>
      <c r="H40" s="35">
        <f t="shared" si="2"/>
        <v>0</v>
      </c>
      <c r="I40" s="36">
        <f t="shared" si="8"/>
        <v>0</v>
      </c>
      <c r="J40" s="36">
        <f t="shared" si="10"/>
        <v>3.6216364397443211E-2</v>
      </c>
      <c r="K40" s="111">
        <f t="shared" si="11"/>
        <v>3.5586752227395983E-2</v>
      </c>
    </row>
    <row r="41" spans="1:11" s="1" customFormat="1" ht="13.5" thickBot="1" x14ac:dyDescent="0.25">
      <c r="A41" s="112" t="s">
        <v>46</v>
      </c>
      <c r="B41" s="113">
        <f>B4</f>
        <v>755</v>
      </c>
      <c r="C41" s="114">
        <v>0</v>
      </c>
      <c r="D41" s="115">
        <f>B41*C41</f>
        <v>0</v>
      </c>
      <c r="E41" s="116">
        <f t="shared" si="6"/>
        <v>755</v>
      </c>
      <c r="F41" s="114">
        <f>C41</f>
        <v>0</v>
      </c>
      <c r="G41" s="115">
        <f>E41*F41</f>
        <v>0</v>
      </c>
      <c r="H41" s="115">
        <f t="shared" si="2"/>
        <v>0</v>
      </c>
      <c r="I41" s="117" t="str">
        <f t="shared" si="8"/>
        <v>N/A</v>
      </c>
      <c r="J41" s="117">
        <f t="shared" si="10"/>
        <v>0</v>
      </c>
      <c r="K41" s="118">
        <f t="shared" si="11"/>
        <v>0</v>
      </c>
    </row>
    <row r="42" spans="1:11" s="1" customFormat="1" x14ac:dyDescent="0.2">
      <c r="A42" s="37" t="s">
        <v>105</v>
      </c>
      <c r="B42" s="38"/>
      <c r="C42" s="39"/>
      <c r="D42" s="39">
        <f>SUM(D14,D25,D26,D27,D33,D40,D41)</f>
        <v>122.64860849999999</v>
      </c>
      <c r="E42" s="38"/>
      <c r="F42" s="39"/>
      <c r="G42" s="39">
        <f>SUM(G14,G25,G26,G27,G33,G40,G41)</f>
        <v>126.19392680999999</v>
      </c>
      <c r="H42" s="39">
        <f t="shared" si="2"/>
        <v>3.545318309999999</v>
      </c>
      <c r="I42" s="40">
        <f t="shared" si="8"/>
        <v>2.890630683347703E-2</v>
      </c>
      <c r="J42" s="40">
        <f t="shared" si="10"/>
        <v>0.95238095238095255</v>
      </c>
      <c r="K42" s="41"/>
    </row>
    <row r="43" spans="1:11" x14ac:dyDescent="0.2">
      <c r="A43" s="153" t="s">
        <v>106</v>
      </c>
      <c r="B43" s="43"/>
      <c r="C43" s="26">
        <v>0.13</v>
      </c>
      <c r="D43" s="26">
        <f>D42*C43</f>
        <v>15.944319105</v>
      </c>
      <c r="E43" s="26"/>
      <c r="F43" s="26">
        <f>C43</f>
        <v>0.13</v>
      </c>
      <c r="G43" s="26">
        <f>G42*F43</f>
        <v>16.4052104853</v>
      </c>
      <c r="H43" s="26">
        <f t="shared" si="2"/>
        <v>0.46089138029999965</v>
      </c>
      <c r="I43" s="44">
        <f t="shared" si="8"/>
        <v>2.8906306833477016E-2</v>
      </c>
      <c r="J43" s="44">
        <f t="shared" si="10"/>
        <v>0.12380952380952383</v>
      </c>
      <c r="K43" s="45"/>
    </row>
    <row r="44" spans="1:11" s="1" customFormat="1" x14ac:dyDescent="0.2">
      <c r="A44" s="46" t="s">
        <v>107</v>
      </c>
      <c r="B44" s="24"/>
      <c r="C44" s="25"/>
      <c r="D44" s="25">
        <f>SUM(D42:D43)</f>
        <v>138.592927605</v>
      </c>
      <c r="E44" s="25"/>
      <c r="F44" s="25"/>
      <c r="G44" s="25">
        <f>SUM(G42:G43)</f>
        <v>142.59913729529998</v>
      </c>
      <c r="H44" s="25">
        <f t="shared" si="2"/>
        <v>4.0062096902999826</v>
      </c>
      <c r="I44" s="27">
        <f t="shared" si="8"/>
        <v>2.8906306833476912E-2</v>
      </c>
      <c r="J44" s="27">
        <f t="shared" si="10"/>
        <v>1.0761904761904761</v>
      </c>
      <c r="K44" s="47"/>
    </row>
    <row r="45" spans="1:11" x14ac:dyDescent="0.2">
      <c r="A45" s="42" t="s">
        <v>108</v>
      </c>
      <c r="B45" s="43"/>
      <c r="C45" s="26">
        <v>-0.08</v>
      </c>
      <c r="D45" s="26">
        <f>D42*C45</f>
        <v>-9.8118886799999991</v>
      </c>
      <c r="E45" s="26"/>
      <c r="F45" s="26">
        <f>C45</f>
        <v>-0.08</v>
      </c>
      <c r="G45" s="26">
        <f>G42*F45</f>
        <v>-10.095514144799999</v>
      </c>
      <c r="H45" s="26">
        <f t="shared" si="2"/>
        <v>-0.28362546480000006</v>
      </c>
      <c r="I45" s="44">
        <f t="shared" si="8"/>
        <v>-2.8906306833477047E-2</v>
      </c>
      <c r="J45" s="44">
        <f t="shared" si="10"/>
        <v>-7.6190476190476197E-2</v>
      </c>
      <c r="K45" s="45"/>
    </row>
    <row r="46" spans="1:11" s="1" customFormat="1" ht="13.5" thickBot="1" x14ac:dyDescent="0.25">
      <c r="A46" s="48" t="s">
        <v>109</v>
      </c>
      <c r="B46" s="49"/>
      <c r="C46" s="50"/>
      <c r="D46" s="50">
        <f>SUM(D44:D45)</f>
        <v>128.78103892499999</v>
      </c>
      <c r="E46" s="50"/>
      <c r="F46" s="50"/>
      <c r="G46" s="50">
        <f>SUM(G44:G45)</f>
        <v>132.50362315049998</v>
      </c>
      <c r="H46" s="50">
        <f t="shared" si="2"/>
        <v>3.7225842254999861</v>
      </c>
      <c r="I46" s="51">
        <f t="shared" si="8"/>
        <v>2.8906306833476933E-2</v>
      </c>
      <c r="J46" s="51">
        <f t="shared" si="10"/>
        <v>1</v>
      </c>
      <c r="K46" s="52"/>
    </row>
    <row r="47" spans="1:11" x14ac:dyDescent="0.2">
      <c r="A47" s="53" t="s">
        <v>110</v>
      </c>
      <c r="B47" s="54"/>
      <c r="C47" s="55"/>
      <c r="D47" s="55">
        <f>SUM(D18,D25,D26,D28,D33,D40,D41)</f>
        <v>124.8812717</v>
      </c>
      <c r="E47" s="55"/>
      <c r="F47" s="55"/>
      <c r="G47" s="55">
        <f>SUM(G18,G25,G26,G28,G33,G40,G41)</f>
        <v>128.42659000999998</v>
      </c>
      <c r="H47" s="55">
        <f>G47-D47</f>
        <v>3.5453183099999848</v>
      </c>
      <c r="I47" s="56">
        <f t="shared" si="8"/>
        <v>2.8389511587588876E-2</v>
      </c>
      <c r="J47" s="56"/>
      <c r="K47" s="57">
        <f>G47/$G$51</f>
        <v>0.95238095238095233</v>
      </c>
    </row>
    <row r="48" spans="1:11" x14ac:dyDescent="0.2">
      <c r="A48" s="154" t="s">
        <v>106</v>
      </c>
      <c r="B48" s="59"/>
      <c r="C48" s="31">
        <v>0.13</v>
      </c>
      <c r="D48" s="31">
        <f>D47*C48</f>
        <v>16.234565321000002</v>
      </c>
      <c r="E48" s="31"/>
      <c r="F48" s="31">
        <f>C48</f>
        <v>0.13</v>
      </c>
      <c r="G48" s="31">
        <f>G47*F48</f>
        <v>16.695456701299999</v>
      </c>
      <c r="H48" s="31">
        <f>G48-D48</f>
        <v>0.46089138029999788</v>
      </c>
      <c r="I48" s="32">
        <f t="shared" si="8"/>
        <v>2.8389511587588866E-2</v>
      </c>
      <c r="J48" s="32"/>
      <c r="K48" s="60">
        <f>G48/$G$51</f>
        <v>0.12380952380952381</v>
      </c>
    </row>
    <row r="49" spans="1:11" x14ac:dyDescent="0.2">
      <c r="A49" s="61" t="s">
        <v>111</v>
      </c>
      <c r="B49" s="29"/>
      <c r="C49" s="30"/>
      <c r="D49" s="30">
        <f>SUM(D47:D48)</f>
        <v>141.115837021</v>
      </c>
      <c r="E49" s="30"/>
      <c r="F49" s="30"/>
      <c r="G49" s="30">
        <f>SUM(G47:G48)</f>
        <v>145.12204671129999</v>
      </c>
      <c r="H49" s="30">
        <f>G49-D49</f>
        <v>4.0062096902999826</v>
      </c>
      <c r="I49" s="33">
        <f t="shared" si="8"/>
        <v>2.8389511587588873E-2</v>
      </c>
      <c r="J49" s="33"/>
      <c r="K49" s="62">
        <f>G49/$G$51</f>
        <v>1.0761904761904761</v>
      </c>
    </row>
    <row r="50" spans="1:11" x14ac:dyDescent="0.2">
      <c r="A50" s="58" t="s">
        <v>108</v>
      </c>
      <c r="B50" s="59"/>
      <c r="C50" s="31">
        <v>-0.08</v>
      </c>
      <c r="D50" s="31">
        <f>D47*C50</f>
        <v>-9.9905017360000006</v>
      </c>
      <c r="E50" s="31"/>
      <c r="F50" s="31">
        <f>C50</f>
        <v>-0.08</v>
      </c>
      <c r="G50" s="31">
        <f>G47*F50</f>
        <v>-10.274127200799999</v>
      </c>
      <c r="H50" s="31">
        <f>G50-D50</f>
        <v>-0.28362546479999828</v>
      </c>
      <c r="I50" s="32">
        <f t="shared" si="8"/>
        <v>-2.8389511587588824E-2</v>
      </c>
      <c r="J50" s="32"/>
      <c r="K50" s="60">
        <f>G50/$G$51</f>
        <v>-7.6190476190476183E-2</v>
      </c>
    </row>
    <row r="51" spans="1:11" ht="13.5" thickBot="1" x14ac:dyDescent="0.25">
      <c r="A51" s="63" t="s">
        <v>121</v>
      </c>
      <c r="B51" s="64"/>
      <c r="C51" s="65"/>
      <c r="D51" s="65">
        <f>SUM(D49:D50)</f>
        <v>131.12533528500001</v>
      </c>
      <c r="E51" s="65"/>
      <c r="F51" s="65"/>
      <c r="G51" s="65">
        <f>SUM(G49:G50)</f>
        <v>134.84791951049999</v>
      </c>
      <c r="H51" s="65">
        <f>G51-D51</f>
        <v>3.7225842254999861</v>
      </c>
      <c r="I51" s="66">
        <f t="shared" si="8"/>
        <v>2.838951158758889E-2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101</v>
      </c>
      <c r="B1" s="191"/>
      <c r="C1" s="191"/>
      <c r="D1" s="191"/>
      <c r="E1" s="191"/>
      <c r="F1" s="191"/>
      <c r="G1" s="191"/>
      <c r="H1" s="191"/>
      <c r="I1" s="191"/>
      <c r="J1" s="191"/>
      <c r="K1" s="192"/>
    </row>
    <row r="3" spans="1:11" ht="12" customHeight="1" x14ac:dyDescent="0.2">
      <c r="A3" s="13" t="s">
        <v>13</v>
      </c>
      <c r="B3" s="13" t="s">
        <v>0</v>
      </c>
    </row>
    <row r="4" spans="1:11" x14ac:dyDescent="0.2">
      <c r="A4" s="15" t="s">
        <v>62</v>
      </c>
      <c r="B4" s="15">
        <v>1400</v>
      </c>
    </row>
    <row r="5" spans="1:11" x14ac:dyDescent="0.2">
      <c r="A5" s="15" t="s">
        <v>16</v>
      </c>
      <c r="B5" s="15">
        <f>VLOOKUP($B$3,'Data for Bill Impacts'!$A$6:$Y$18,5,0)</f>
        <v>0</v>
      </c>
    </row>
    <row r="6" spans="1:11" x14ac:dyDescent="0.2">
      <c r="A6" s="15" t="s">
        <v>20</v>
      </c>
      <c r="B6" s="15">
        <f>VLOOKUP($B$3,'Data for Bill Impacts'!$A$6:$Y$18,2,0)</f>
        <v>1.0569999999999999</v>
      </c>
    </row>
    <row r="7" spans="1:11" x14ac:dyDescent="0.2">
      <c r="A7" s="15" t="s">
        <v>15</v>
      </c>
      <c r="B7" s="15">
        <f>VLOOKUP($B$3,'Data for Bill Impacts'!$A$6:$Y$18,4,0)</f>
        <v>600</v>
      </c>
    </row>
    <row r="8" spans="1:11" x14ac:dyDescent="0.2">
      <c r="A8" s="15" t="s">
        <v>82</v>
      </c>
      <c r="B8" s="15">
        <f>B4*B6</f>
        <v>1479.8</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0.2394950484923771</v>
      </c>
      <c r="K12" s="106"/>
    </row>
    <row r="13" spans="1:11" x14ac:dyDescent="0.2">
      <c r="A13" s="107" t="s">
        <v>32</v>
      </c>
      <c r="B13" s="73">
        <f>IF(B4&gt;B7,(B4)-B7,0)</f>
        <v>800</v>
      </c>
      <c r="C13" s="21">
        <v>0.106</v>
      </c>
      <c r="D13" s="22">
        <f>B13*C13</f>
        <v>84.8</v>
      </c>
      <c r="E13" s="73">
        <f t="shared" ref="E13:F17" si="1">B13</f>
        <v>800</v>
      </c>
      <c r="F13" s="21">
        <f t="shared" si="1"/>
        <v>0.106</v>
      </c>
      <c r="G13" s="22">
        <f>E13*F13</f>
        <v>84.8</v>
      </c>
      <c r="H13" s="22">
        <f t="shared" ref="H13:H46" si="2">G13-D13</f>
        <v>0</v>
      </c>
      <c r="I13" s="23">
        <f t="shared" si="0"/>
        <v>0</v>
      </c>
      <c r="J13" s="23">
        <f>G13/$G$46</f>
        <v>0.37196300571709845</v>
      </c>
      <c r="K13" s="108"/>
    </row>
    <row r="14" spans="1:11" s="1" customFormat="1" x14ac:dyDescent="0.2">
      <c r="A14" s="46" t="s">
        <v>33</v>
      </c>
      <c r="B14" s="24"/>
      <c r="C14" s="25"/>
      <c r="D14" s="25">
        <f>SUM(D12:D13)</f>
        <v>139.4</v>
      </c>
      <c r="E14" s="76"/>
      <c r="F14" s="76"/>
      <c r="G14" s="25">
        <f>SUM(G12:G13)</f>
        <v>139.4</v>
      </c>
      <c r="H14" s="25">
        <f t="shared" si="2"/>
        <v>0</v>
      </c>
      <c r="I14" s="27">
        <f t="shared" si="0"/>
        <v>0</v>
      </c>
      <c r="J14" s="27">
        <f>G14/$G$46</f>
        <v>0.61145805420947563</v>
      </c>
      <c r="K14" s="108"/>
    </row>
    <row r="15" spans="1:11" s="1" customFormat="1" x14ac:dyDescent="0.2">
      <c r="A15" s="109" t="s">
        <v>34</v>
      </c>
      <c r="B15" s="75">
        <f>B4*0.65</f>
        <v>910</v>
      </c>
      <c r="C15" s="28">
        <v>7.6999999999999999E-2</v>
      </c>
      <c r="D15" s="22">
        <f>B15*C15</f>
        <v>70.069999999999993</v>
      </c>
      <c r="E15" s="73">
        <f t="shared" ref="E15:E17" si="3">B15</f>
        <v>910</v>
      </c>
      <c r="F15" s="28">
        <f t="shared" si="1"/>
        <v>7.6999999999999999E-2</v>
      </c>
      <c r="G15" s="22">
        <f>E15*F15</f>
        <v>70.069999999999993</v>
      </c>
      <c r="H15" s="22">
        <f t="shared" si="2"/>
        <v>0</v>
      </c>
      <c r="I15" s="23">
        <f t="shared" si="0"/>
        <v>0</v>
      </c>
      <c r="J15" s="23"/>
      <c r="K15" s="108">
        <f t="shared" ref="K15:K26" si="4">G15/$G$51</f>
        <v>0.31245886081890623</v>
      </c>
    </row>
    <row r="16" spans="1:11" s="1" customFormat="1" x14ac:dyDescent="0.2">
      <c r="A16" s="109" t="s">
        <v>35</v>
      </c>
      <c r="B16" s="75">
        <f>B4*0.17</f>
        <v>238.00000000000003</v>
      </c>
      <c r="C16" s="28">
        <v>0.113</v>
      </c>
      <c r="D16" s="22">
        <f>B16*C16</f>
        <v>26.894000000000005</v>
      </c>
      <c r="E16" s="73">
        <f t="shared" si="3"/>
        <v>238.00000000000003</v>
      </c>
      <c r="F16" s="28">
        <f t="shared" si="1"/>
        <v>0.113</v>
      </c>
      <c r="G16" s="22">
        <f>E16*F16</f>
        <v>26.894000000000005</v>
      </c>
      <c r="H16" s="22">
        <f t="shared" si="2"/>
        <v>0</v>
      </c>
      <c r="I16" s="23">
        <f t="shared" si="0"/>
        <v>0</v>
      </c>
      <c r="J16" s="23"/>
      <c r="K16" s="108">
        <f t="shared" si="4"/>
        <v>0.11992676755906476</v>
      </c>
    </row>
    <row r="17" spans="1:11" s="1" customFormat="1" x14ac:dyDescent="0.2">
      <c r="A17" s="109" t="s">
        <v>36</v>
      </c>
      <c r="B17" s="75">
        <f>B4*0.18</f>
        <v>252</v>
      </c>
      <c r="C17" s="28">
        <v>0.157</v>
      </c>
      <c r="D17" s="22">
        <f>B17*C17</f>
        <v>39.564</v>
      </c>
      <c r="E17" s="73">
        <f t="shared" si="3"/>
        <v>252</v>
      </c>
      <c r="F17" s="28">
        <f t="shared" si="1"/>
        <v>0.157</v>
      </c>
      <c r="G17" s="22">
        <f>E17*F17</f>
        <v>39.564</v>
      </c>
      <c r="H17" s="22">
        <f t="shared" si="2"/>
        <v>0</v>
      </c>
      <c r="I17" s="23">
        <f t="shared" si="0"/>
        <v>0</v>
      </c>
      <c r="J17" s="23"/>
      <c r="K17" s="108">
        <f t="shared" si="4"/>
        <v>0.1764253228120338</v>
      </c>
    </row>
    <row r="18" spans="1:11" s="1" customFormat="1" x14ac:dyDescent="0.2">
      <c r="A18" s="61" t="s">
        <v>37</v>
      </c>
      <c r="B18" s="29"/>
      <c r="C18" s="30"/>
      <c r="D18" s="30">
        <f>SUM(D15:D17)</f>
        <v>136.52799999999999</v>
      </c>
      <c r="E18" s="77"/>
      <c r="F18" s="30"/>
      <c r="G18" s="30">
        <f>SUM(G15:G17)</f>
        <v>136.52799999999999</v>
      </c>
      <c r="H18" s="31">
        <f t="shared" si="2"/>
        <v>0</v>
      </c>
      <c r="I18" s="32">
        <f t="shared" si="0"/>
        <v>0</v>
      </c>
      <c r="J18" s="33">
        <f t="shared" ref="J18:J26" si="5">G18/$G$46</f>
        <v>0.59886043920452847</v>
      </c>
      <c r="K18" s="62">
        <f t="shared" si="4"/>
        <v>0.60881095119000472</v>
      </c>
    </row>
    <row r="19" spans="1:11" x14ac:dyDescent="0.2">
      <c r="A19" s="107" t="s">
        <v>38</v>
      </c>
      <c r="B19" s="73">
        <v>1</v>
      </c>
      <c r="C19" s="78">
        <f>VLOOKUP($B$3,'Data for Bill Impacts'!$A$6:$Y$18,7,0)</f>
        <v>24.78</v>
      </c>
      <c r="D19" s="22">
        <f>B19*C19</f>
        <v>24.78</v>
      </c>
      <c r="E19" s="73">
        <f t="shared" ref="E19:E41" si="6">B19</f>
        <v>1</v>
      </c>
      <c r="F19" s="78">
        <f>VLOOKUP($B$3,'Data for Bill Impacts'!$A$6:$Y$18,17,0)</f>
        <v>27.71</v>
      </c>
      <c r="G19" s="22">
        <f>E19*F19</f>
        <v>27.71</v>
      </c>
      <c r="H19" s="22">
        <f t="shared" si="2"/>
        <v>2.9299999999999997</v>
      </c>
      <c r="I19" s="23">
        <f>IF(ISERROR(H19/ABS(D19)),"N/A",(H19/ABS(D19)))</f>
        <v>0.11824051654560128</v>
      </c>
      <c r="J19" s="23">
        <f t="shared" si="5"/>
        <v>0.12154593028798112</v>
      </c>
      <c r="K19" s="108">
        <f t="shared" si="4"/>
        <v>0.12356550639777213</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78">
        <f>VLOOKUP($B$3,'Data for Bill Impacts'!$A$6:$Y$18,13,0)</f>
        <v>0.72</v>
      </c>
      <c r="D21" s="22">
        <f t="shared" si="7"/>
        <v>0.72</v>
      </c>
      <c r="E21" s="73">
        <f t="shared" si="6"/>
        <v>1</v>
      </c>
      <c r="F21" s="121">
        <f>VLOOKUP($B$3,'Data for Bill Impacts'!$A$6:$Y$18,22,0)</f>
        <v>7.0000000000000001E-3</v>
      </c>
      <c r="G21" s="22">
        <f t="shared" si="8"/>
        <v>7.0000000000000001E-3</v>
      </c>
      <c r="H21" s="22">
        <f t="shared" si="2"/>
        <v>-0.71299999999999997</v>
      </c>
      <c r="I21" s="23">
        <f t="shared" si="9"/>
        <v>-0.99027777777777781</v>
      </c>
      <c r="J21" s="23">
        <f t="shared" si="5"/>
        <v>3.07044933964586E-5</v>
      </c>
      <c r="K21" s="108">
        <f t="shared" si="4"/>
        <v>3.1214671410480147E-5</v>
      </c>
    </row>
    <row r="22" spans="1:11" hidden="1" x14ac:dyDescent="0.2">
      <c r="A22" s="107" t="s">
        <v>123</v>
      </c>
      <c r="B22" s="73">
        <f>B4</f>
        <v>1400</v>
      </c>
      <c r="C22" s="78">
        <v>0</v>
      </c>
      <c r="D22" s="22">
        <f>B22*C22</f>
        <v>0</v>
      </c>
      <c r="E22" s="73">
        <f>B22</f>
        <v>1400</v>
      </c>
      <c r="F22" s="78">
        <f>C22</f>
        <v>0</v>
      </c>
      <c r="G22" s="22">
        <f>E22*F22</f>
        <v>0</v>
      </c>
      <c r="H22" s="22">
        <f>G22-D22</f>
        <v>0</v>
      </c>
      <c r="I22" s="23" t="str">
        <f t="shared" si="9"/>
        <v>N/A</v>
      </c>
      <c r="J22" s="23">
        <f t="shared" si="5"/>
        <v>0</v>
      </c>
      <c r="K22" s="108">
        <f t="shared" si="4"/>
        <v>0</v>
      </c>
    </row>
    <row r="23" spans="1:11" x14ac:dyDescent="0.2">
      <c r="A23" s="107" t="s">
        <v>39</v>
      </c>
      <c r="B23" s="73">
        <f>IF($B$9="kWh",$B$4,$B$5)</f>
        <v>1400</v>
      </c>
      <c r="C23" s="78">
        <f>VLOOKUP($B$3,'Data for Bill Impacts'!$A$6:$Y$18,10,0)</f>
        <v>9.4000000000000004E-3</v>
      </c>
      <c r="D23" s="22">
        <f>B23*C23</f>
        <v>13.16</v>
      </c>
      <c r="E23" s="73">
        <f t="shared" si="6"/>
        <v>1400</v>
      </c>
      <c r="F23" s="78">
        <f>VLOOKUP($B$3,'Data for Bill Impacts'!$A$6:$Y$18,19,0)</f>
        <v>7.7999999999999996E-3</v>
      </c>
      <c r="G23" s="22">
        <f>E23*F23</f>
        <v>10.92</v>
      </c>
      <c r="H23" s="22">
        <f t="shared" si="2"/>
        <v>-2.2400000000000002</v>
      </c>
      <c r="I23" s="23">
        <f t="shared" si="9"/>
        <v>-0.17021276595744683</v>
      </c>
      <c r="J23" s="23">
        <f t="shared" si="5"/>
        <v>4.7899009698475416E-2</v>
      </c>
      <c r="K23" s="108">
        <f t="shared" si="4"/>
        <v>4.8694887400349031E-2</v>
      </c>
    </row>
    <row r="24" spans="1:11" x14ac:dyDescent="0.2">
      <c r="A24" s="107" t="s">
        <v>124</v>
      </c>
      <c r="B24" s="73">
        <f>IF($B$9="kWh",$B$4,$B$5)</f>
        <v>1400</v>
      </c>
      <c r="C24" s="78">
        <f>VLOOKUP($B$3,'Data for Bill Impacts'!$A$6:$Y$18,14,0)</f>
        <v>-2.9999999999999997E-4</v>
      </c>
      <c r="D24" s="22">
        <f>B24*C24</f>
        <v>-0.42</v>
      </c>
      <c r="E24" s="73">
        <f>B24</f>
        <v>1400</v>
      </c>
      <c r="F24" s="125">
        <f>VLOOKUP($B$3,'Data for Bill Impacts'!$A$6:$Y$18,23,0)</f>
        <v>3.0000000000000004E-5</v>
      </c>
      <c r="G24" s="22">
        <f>E24*F24</f>
        <v>4.2000000000000003E-2</v>
      </c>
      <c r="H24" s="22">
        <f>G24-D24</f>
        <v>0.46199999999999997</v>
      </c>
      <c r="I24" s="23">
        <f t="shared" si="9"/>
        <v>1.0999999999999999</v>
      </c>
      <c r="J24" s="23">
        <f t="shared" si="5"/>
        <v>1.842269603787516E-4</v>
      </c>
      <c r="K24" s="108">
        <f t="shared" si="4"/>
        <v>1.872880284628809E-4</v>
      </c>
    </row>
    <row r="25" spans="1:11" s="1" customFormat="1" x14ac:dyDescent="0.2">
      <c r="A25" s="110" t="s">
        <v>72</v>
      </c>
      <c r="B25" s="74"/>
      <c r="C25" s="35"/>
      <c r="D25" s="35">
        <f>SUM(D19:D24)</f>
        <v>38.239999999999995</v>
      </c>
      <c r="E25" s="73"/>
      <c r="F25" s="35"/>
      <c r="G25" s="35">
        <f>SUM(G19:G24)</f>
        <v>38.679000000000002</v>
      </c>
      <c r="H25" s="35">
        <f t="shared" si="2"/>
        <v>0.43900000000000716</v>
      </c>
      <c r="I25" s="36">
        <f t="shared" si="9"/>
        <v>1.1480125523012742E-2</v>
      </c>
      <c r="J25" s="36">
        <f t="shared" si="5"/>
        <v>0.16965987144023176</v>
      </c>
      <c r="K25" s="111">
        <f t="shared" si="4"/>
        <v>0.17247889649799453</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3.4652213976003278E-3</v>
      </c>
      <c r="K26" s="108">
        <f t="shared" si="4"/>
        <v>3.5227986306113311E-3</v>
      </c>
    </row>
    <row r="27" spans="1:11" s="1" customFormat="1" x14ac:dyDescent="0.2">
      <c r="A27" s="119" t="s">
        <v>75</v>
      </c>
      <c r="B27" s="120">
        <f>B8-B4</f>
        <v>79.799999999999955</v>
      </c>
      <c r="C27" s="176">
        <f>IF(B4&gt;B7,C13,C12)</f>
        <v>0.106</v>
      </c>
      <c r="D27" s="22">
        <f>B27*C27</f>
        <v>8.4587999999999948</v>
      </c>
      <c r="E27" s="73">
        <f>B27</f>
        <v>79.799999999999955</v>
      </c>
      <c r="F27" s="176">
        <f>C27</f>
        <v>0.106</v>
      </c>
      <c r="G27" s="22">
        <f>E27*F27</f>
        <v>8.4587999999999948</v>
      </c>
      <c r="H27" s="22">
        <f t="shared" si="2"/>
        <v>0</v>
      </c>
      <c r="I27" s="23">
        <f t="shared" si="9"/>
        <v>0</v>
      </c>
      <c r="J27" s="23">
        <f t="shared" ref="J27:J46" si="10">G27/$G$46</f>
        <v>3.7103309820280553E-2</v>
      </c>
      <c r="K27" s="108">
        <f t="shared" ref="K27:K41" si="11">G27/$G$51</f>
        <v>3.7719808932424187E-2</v>
      </c>
    </row>
    <row r="28" spans="1:11" s="1" customFormat="1" x14ac:dyDescent="0.2">
      <c r="A28" s="119" t="s">
        <v>74</v>
      </c>
      <c r="B28" s="120">
        <f>B8-B4</f>
        <v>79.799999999999955</v>
      </c>
      <c r="C28" s="176">
        <f>0.65*C15+0.17*C16+0.18*C17</f>
        <v>9.7519999999999996E-2</v>
      </c>
      <c r="D28" s="22">
        <f>B28*C28</f>
        <v>7.7820959999999948</v>
      </c>
      <c r="E28" s="73">
        <f>B28</f>
        <v>79.799999999999955</v>
      </c>
      <c r="F28" s="176">
        <f>C28</f>
        <v>9.7519999999999996E-2</v>
      </c>
      <c r="G28" s="22">
        <f>E28*F28</f>
        <v>7.7820959999999948</v>
      </c>
      <c r="H28" s="22">
        <f t="shared" si="2"/>
        <v>0</v>
      </c>
      <c r="I28" s="23">
        <f t="shared" si="9"/>
        <v>0</v>
      </c>
      <c r="J28" s="23">
        <f t="shared" si="10"/>
        <v>3.4135045034658106E-2</v>
      </c>
      <c r="K28" s="108">
        <f t="shared" si="11"/>
        <v>3.4702224217830251E-2</v>
      </c>
    </row>
    <row r="29" spans="1:11" s="1" customFormat="1" x14ac:dyDescent="0.2">
      <c r="A29" s="110" t="s">
        <v>78</v>
      </c>
      <c r="B29" s="74"/>
      <c r="C29" s="35"/>
      <c r="D29" s="35">
        <f>SUM(D25,D26:D27)</f>
        <v>47.488799999999991</v>
      </c>
      <c r="E29" s="73"/>
      <c r="F29" s="35"/>
      <c r="G29" s="35">
        <f>SUM(G25,G26:G27)</f>
        <v>47.927799999999998</v>
      </c>
      <c r="H29" s="35">
        <f t="shared" si="2"/>
        <v>0.43900000000000716</v>
      </c>
      <c r="I29" s="36">
        <f t="shared" si="9"/>
        <v>9.2442849682452966E-3</v>
      </c>
      <c r="J29" s="36">
        <f t="shared" si="10"/>
        <v>0.21022840265811263</v>
      </c>
      <c r="K29" s="111">
        <f t="shared" si="11"/>
        <v>0.21372150406103005</v>
      </c>
    </row>
    <row r="30" spans="1:11" s="1" customFormat="1" x14ac:dyDescent="0.2">
      <c r="A30" s="110" t="s">
        <v>77</v>
      </c>
      <c r="B30" s="74"/>
      <c r="C30" s="35"/>
      <c r="D30" s="35">
        <f>SUM(D25,D26,D28)</f>
        <v>46.81209599999999</v>
      </c>
      <c r="E30" s="73"/>
      <c r="F30" s="35"/>
      <c r="G30" s="35">
        <f>SUM(G25,G26,G28)</f>
        <v>47.251095999999997</v>
      </c>
      <c r="H30" s="35">
        <f t="shared" si="2"/>
        <v>0.43900000000000716</v>
      </c>
      <c r="I30" s="36">
        <f t="shared" si="9"/>
        <v>9.3779180492154692E-3</v>
      </c>
      <c r="J30" s="36">
        <f t="shared" si="10"/>
        <v>0.20726013787249017</v>
      </c>
      <c r="K30" s="111">
        <f t="shared" si="11"/>
        <v>0.21070391934643612</v>
      </c>
    </row>
    <row r="31" spans="1:11" x14ac:dyDescent="0.2">
      <c r="A31" s="107" t="s">
        <v>40</v>
      </c>
      <c r="B31" s="73">
        <f>B8</f>
        <v>1479.8</v>
      </c>
      <c r="C31" s="78">
        <f>VLOOKUP($B$3,'Data for Bill Impacts'!$A$6:$Y$18,15,0)</f>
        <v>6.7000000000000002E-3</v>
      </c>
      <c r="D31" s="22">
        <f>B31*C31</f>
        <v>9.9146599999999996</v>
      </c>
      <c r="E31" s="73">
        <f t="shared" si="6"/>
        <v>1479.8</v>
      </c>
      <c r="F31" s="125">
        <f>VLOOKUP($B$3,'Data for Bill Impacts'!$A$6:$Y$18,24,0)</f>
        <v>7.8279999999999999E-3</v>
      </c>
      <c r="G31" s="22">
        <f>E31*F31</f>
        <v>11.583874399999999</v>
      </c>
      <c r="H31" s="22">
        <f t="shared" si="2"/>
        <v>1.6692143999999995</v>
      </c>
      <c r="I31" s="23">
        <f t="shared" si="9"/>
        <v>0.16835820895522385</v>
      </c>
      <c r="J31" s="23">
        <f t="shared" si="10"/>
        <v>5.0810999288600826E-2</v>
      </c>
      <c r="K31" s="108">
        <f t="shared" si="11"/>
        <v>5.1655261865181837E-2</v>
      </c>
    </row>
    <row r="32" spans="1:11" x14ac:dyDescent="0.2">
      <c r="A32" s="107" t="s">
        <v>41</v>
      </c>
      <c r="B32" s="73">
        <f>B8</f>
        <v>1479.8</v>
      </c>
      <c r="C32" s="78">
        <f>VLOOKUP($B$3,'Data for Bill Impacts'!$A$6:$Y$18,16,0)</f>
        <v>4.7000000000000002E-3</v>
      </c>
      <c r="D32" s="22">
        <f>B32*C32</f>
        <v>6.9550600000000005</v>
      </c>
      <c r="E32" s="73">
        <f t="shared" si="6"/>
        <v>1479.8</v>
      </c>
      <c r="F32" s="125">
        <f>VLOOKUP($B$3,'Data for Bill Impacts'!$A$6:$Y$18,25,0)</f>
        <v>6.4380000000000001E-3</v>
      </c>
      <c r="G32" s="22">
        <f>E32*F32</f>
        <v>9.5269524000000008</v>
      </c>
      <c r="H32" s="22">
        <f t="shared" si="2"/>
        <v>2.5718924000000003</v>
      </c>
      <c r="I32" s="23">
        <f t="shared" si="9"/>
        <v>0.3697872340425532</v>
      </c>
      <c r="J32" s="23">
        <f t="shared" si="10"/>
        <v>4.1788606722025064E-2</v>
      </c>
      <c r="K32" s="108">
        <f t="shared" si="11"/>
        <v>4.2482955529897892E-2</v>
      </c>
    </row>
    <row r="33" spans="1:11" s="1" customFormat="1" x14ac:dyDescent="0.2">
      <c r="A33" s="110" t="s">
        <v>76</v>
      </c>
      <c r="B33" s="74"/>
      <c r="C33" s="35"/>
      <c r="D33" s="35">
        <f>SUM(D31:D32)</f>
        <v>16.869720000000001</v>
      </c>
      <c r="E33" s="73"/>
      <c r="F33" s="35"/>
      <c r="G33" s="35">
        <f>SUM(G31:G32)</f>
        <v>21.110826799999998</v>
      </c>
      <c r="H33" s="35">
        <f t="shared" si="2"/>
        <v>4.2411067999999972</v>
      </c>
      <c r="I33" s="36">
        <f t="shared" si="9"/>
        <v>0.25140350877192963</v>
      </c>
      <c r="J33" s="36">
        <f t="shared" si="10"/>
        <v>9.259960601062589E-2</v>
      </c>
      <c r="K33" s="111">
        <f t="shared" si="11"/>
        <v>9.4138217395079715E-2</v>
      </c>
    </row>
    <row r="34" spans="1:11" s="1" customFormat="1" x14ac:dyDescent="0.2">
      <c r="A34" s="110" t="s">
        <v>91</v>
      </c>
      <c r="B34" s="74"/>
      <c r="C34" s="35"/>
      <c r="D34" s="35">
        <f>D29+D33</f>
        <v>64.358519999999999</v>
      </c>
      <c r="E34" s="73"/>
      <c r="F34" s="35"/>
      <c r="G34" s="35">
        <f>G29+G33</f>
        <v>69.038626800000003</v>
      </c>
      <c r="H34" s="35">
        <f t="shared" si="2"/>
        <v>4.6801068000000043</v>
      </c>
      <c r="I34" s="36">
        <f t="shared" si="9"/>
        <v>7.2719304297239967E-2</v>
      </c>
      <c r="J34" s="36">
        <f t="shared" si="10"/>
        <v>0.30282800866873855</v>
      </c>
      <c r="K34" s="111">
        <f t="shared" si="11"/>
        <v>0.30785972145610979</v>
      </c>
    </row>
    <row r="35" spans="1:11" s="1" customFormat="1" x14ac:dyDescent="0.2">
      <c r="A35" s="110" t="s">
        <v>92</v>
      </c>
      <c r="B35" s="74"/>
      <c r="C35" s="35"/>
      <c r="D35" s="35">
        <f>D30+D33</f>
        <v>63.681815999999991</v>
      </c>
      <c r="E35" s="73"/>
      <c r="F35" s="35"/>
      <c r="G35" s="35">
        <f>G30+G33</f>
        <v>68.361922800000002</v>
      </c>
      <c r="H35" s="35">
        <f t="shared" si="2"/>
        <v>4.6801068000000114</v>
      </c>
      <c r="I35" s="36">
        <f t="shared" si="9"/>
        <v>7.3492043631419243E-2</v>
      </c>
      <c r="J35" s="36">
        <f t="shared" si="10"/>
        <v>0.29985974388311609</v>
      </c>
      <c r="K35" s="111">
        <f t="shared" si="11"/>
        <v>0.30484213674151583</v>
      </c>
    </row>
    <row r="36" spans="1:11" x14ac:dyDescent="0.2">
      <c r="A36" s="107" t="s">
        <v>42</v>
      </c>
      <c r="B36" s="73">
        <f>B8</f>
        <v>1479.8</v>
      </c>
      <c r="C36" s="34">
        <v>3.5999999999999999E-3</v>
      </c>
      <c r="D36" s="22">
        <f>B36*C36</f>
        <v>5.32728</v>
      </c>
      <c r="E36" s="73">
        <f t="shared" si="6"/>
        <v>1479.8</v>
      </c>
      <c r="F36" s="34">
        <v>3.5999999999999999E-3</v>
      </c>
      <c r="G36" s="22">
        <f>E36*F36</f>
        <v>5.32728</v>
      </c>
      <c r="H36" s="22">
        <f t="shared" si="2"/>
        <v>0</v>
      </c>
      <c r="I36" s="23">
        <f t="shared" si="9"/>
        <v>0</v>
      </c>
      <c r="J36" s="23">
        <f t="shared" si="10"/>
        <v>2.3367347654440852E-2</v>
      </c>
      <c r="K36" s="108">
        <f t="shared" si="11"/>
        <v>2.3755613530231812E-2</v>
      </c>
    </row>
    <row r="37" spans="1:11" x14ac:dyDescent="0.2">
      <c r="A37" s="107" t="s">
        <v>43</v>
      </c>
      <c r="B37" s="73">
        <f>B8</f>
        <v>1479.8</v>
      </c>
      <c r="C37" s="34">
        <v>2.0999999999999999E-3</v>
      </c>
      <c r="D37" s="22">
        <f>B37*C37</f>
        <v>3.1075799999999996</v>
      </c>
      <c r="E37" s="73">
        <f t="shared" si="6"/>
        <v>1479.8</v>
      </c>
      <c r="F37" s="34">
        <v>2.0999999999999999E-3</v>
      </c>
      <c r="G37" s="22">
        <f>E37*F37</f>
        <v>3.1075799999999996</v>
      </c>
      <c r="H37" s="22">
        <f>G37-D37</f>
        <v>0</v>
      </c>
      <c r="I37" s="23">
        <f t="shared" si="9"/>
        <v>0</v>
      </c>
      <c r="J37" s="23">
        <f t="shared" si="10"/>
        <v>1.3630952798423829E-2</v>
      </c>
      <c r="K37" s="108">
        <f t="shared" si="11"/>
        <v>1.3857441225968554E-2</v>
      </c>
    </row>
    <row r="38" spans="1:11" x14ac:dyDescent="0.2">
      <c r="A38" s="107" t="s">
        <v>96</v>
      </c>
      <c r="B38" s="73">
        <f>B8</f>
        <v>1479.8</v>
      </c>
      <c r="C38" s="34">
        <v>0</v>
      </c>
      <c r="D38" s="22">
        <f>B38*C38</f>
        <v>0</v>
      </c>
      <c r="E38" s="73">
        <f t="shared" si="6"/>
        <v>1479.8</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1.0965890498735214E-3</v>
      </c>
      <c r="K39" s="108">
        <f t="shared" si="11"/>
        <v>1.1148096932314339E-3</v>
      </c>
    </row>
    <row r="40" spans="1:11" s="1" customFormat="1" x14ac:dyDescent="0.2">
      <c r="A40" s="110" t="s">
        <v>45</v>
      </c>
      <c r="B40" s="74"/>
      <c r="C40" s="35"/>
      <c r="D40" s="35">
        <f>SUM(D36:D39)</f>
        <v>8.6848600000000005</v>
      </c>
      <c r="E40" s="73"/>
      <c r="F40" s="35"/>
      <c r="G40" s="35">
        <f>SUM(G36:G39)</f>
        <v>8.6848600000000005</v>
      </c>
      <c r="H40" s="35">
        <f t="shared" si="2"/>
        <v>0</v>
      </c>
      <c r="I40" s="36">
        <f t="shared" si="9"/>
        <v>0</v>
      </c>
      <c r="J40" s="36">
        <f t="shared" si="10"/>
        <v>3.8094889502738205E-2</v>
      </c>
      <c r="K40" s="111">
        <f t="shared" si="11"/>
        <v>3.8727864449431805E-2</v>
      </c>
    </row>
    <row r="41" spans="1:11" s="1" customFormat="1" ht="13.5" thickBot="1" x14ac:dyDescent="0.25">
      <c r="A41" s="112" t="s">
        <v>46</v>
      </c>
      <c r="B41" s="113">
        <f>B4</f>
        <v>1400</v>
      </c>
      <c r="C41" s="114">
        <v>0</v>
      </c>
      <c r="D41" s="115">
        <f>B41*C41</f>
        <v>0</v>
      </c>
      <c r="E41" s="116">
        <f t="shared" si="6"/>
        <v>1400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212.44337999999999</v>
      </c>
      <c r="E42" s="38"/>
      <c r="F42" s="39"/>
      <c r="G42" s="39">
        <f>SUM(G14,G25,G26,G27,G33,G40,G41)</f>
        <v>217.12348680000002</v>
      </c>
      <c r="H42" s="39">
        <f t="shared" si="2"/>
        <v>4.6801068000000328</v>
      </c>
      <c r="I42" s="40">
        <f t="shared" si="9"/>
        <v>2.2029901802541614E-2</v>
      </c>
      <c r="J42" s="40">
        <f t="shared" si="10"/>
        <v>0.95238095238095244</v>
      </c>
      <c r="K42" s="41"/>
    </row>
    <row r="43" spans="1:11" x14ac:dyDescent="0.2">
      <c r="A43" s="153" t="s">
        <v>106</v>
      </c>
      <c r="B43" s="43"/>
      <c r="C43" s="26">
        <v>0.13</v>
      </c>
      <c r="D43" s="26">
        <f>D42*C43</f>
        <v>27.617639399999998</v>
      </c>
      <c r="E43" s="26"/>
      <c r="F43" s="26">
        <f>C43</f>
        <v>0.13</v>
      </c>
      <c r="G43" s="26">
        <f>G42*F43</f>
        <v>28.226053284000002</v>
      </c>
      <c r="H43" s="26">
        <f t="shared" si="2"/>
        <v>0.6084138840000044</v>
      </c>
      <c r="I43" s="44">
        <f t="shared" si="9"/>
        <v>2.2029901802541618E-2</v>
      </c>
      <c r="J43" s="44">
        <f t="shared" si="10"/>
        <v>0.12380952380952381</v>
      </c>
      <c r="K43" s="45"/>
    </row>
    <row r="44" spans="1:11" s="1" customFormat="1" x14ac:dyDescent="0.2">
      <c r="A44" s="46" t="s">
        <v>107</v>
      </c>
      <c r="B44" s="24"/>
      <c r="C44" s="25"/>
      <c r="D44" s="25">
        <f>SUM(D42:D43)</f>
        <v>240.06101939999999</v>
      </c>
      <c r="E44" s="25"/>
      <c r="F44" s="25"/>
      <c r="G44" s="25">
        <f>SUM(G42:G43)</f>
        <v>245.34954008400001</v>
      </c>
      <c r="H44" s="25">
        <f t="shared" si="2"/>
        <v>5.2885206840000194</v>
      </c>
      <c r="I44" s="27">
        <f t="shared" si="9"/>
        <v>2.2029901802541541E-2</v>
      </c>
      <c r="J44" s="27">
        <f t="shared" si="10"/>
        <v>1.0761904761904761</v>
      </c>
      <c r="K44" s="47"/>
    </row>
    <row r="45" spans="1:11" x14ac:dyDescent="0.2">
      <c r="A45" s="42" t="s">
        <v>108</v>
      </c>
      <c r="B45" s="43"/>
      <c r="C45" s="26">
        <v>-0.08</v>
      </c>
      <c r="D45" s="26">
        <f>D42*C45</f>
        <v>-16.995470399999999</v>
      </c>
      <c r="E45" s="26"/>
      <c r="F45" s="26">
        <f>C45</f>
        <v>-0.08</v>
      </c>
      <c r="G45" s="26">
        <f>G42*F45</f>
        <v>-17.369878944000003</v>
      </c>
      <c r="H45" s="26">
        <f t="shared" si="2"/>
        <v>-0.37440854400000489</v>
      </c>
      <c r="I45" s="44">
        <f t="shared" si="9"/>
        <v>-2.2029901802541749E-2</v>
      </c>
      <c r="J45" s="44">
        <f t="shared" si="10"/>
        <v>-7.6190476190476197E-2</v>
      </c>
      <c r="K45" s="45"/>
    </row>
    <row r="46" spans="1:11" s="1" customFormat="1" ht="13.5" thickBot="1" x14ac:dyDescent="0.25">
      <c r="A46" s="48" t="s">
        <v>109</v>
      </c>
      <c r="B46" s="49"/>
      <c r="C46" s="50"/>
      <c r="D46" s="50">
        <f>SUM(D44:D45)</f>
        <v>223.065549</v>
      </c>
      <c r="E46" s="50"/>
      <c r="F46" s="50"/>
      <c r="G46" s="50">
        <f>SUM(G44:G45)</f>
        <v>227.97966114000002</v>
      </c>
      <c r="H46" s="50">
        <f t="shared" si="2"/>
        <v>4.9141121400000145</v>
      </c>
      <c r="I46" s="51">
        <f t="shared" si="9"/>
        <v>2.2029901802541524E-2</v>
      </c>
      <c r="J46" s="51">
        <f t="shared" si="10"/>
        <v>1</v>
      </c>
      <c r="K46" s="52"/>
    </row>
    <row r="47" spans="1:11" x14ac:dyDescent="0.2">
      <c r="A47" s="53" t="s">
        <v>110</v>
      </c>
      <c r="B47" s="54"/>
      <c r="C47" s="55"/>
      <c r="D47" s="55">
        <f>SUM(D18,D25,D26,D28,D33,D40,D41)</f>
        <v>208.89467599999995</v>
      </c>
      <c r="E47" s="55"/>
      <c r="F47" s="55"/>
      <c r="G47" s="55">
        <f>SUM(G18,G25,G26,G28,G33,G40,G41)</f>
        <v>213.57478279999998</v>
      </c>
      <c r="H47" s="55">
        <f>G47-D47</f>
        <v>4.6801068000000328</v>
      </c>
      <c r="I47" s="56">
        <f t="shared" si="9"/>
        <v>2.2404145905566469E-2</v>
      </c>
      <c r="J47" s="56"/>
      <c r="K47" s="57">
        <f>G47/$G$51</f>
        <v>0.95238095238095233</v>
      </c>
    </row>
    <row r="48" spans="1:11" x14ac:dyDescent="0.2">
      <c r="A48" s="58" t="s">
        <v>106</v>
      </c>
      <c r="B48" s="59"/>
      <c r="C48" s="31">
        <v>0.13</v>
      </c>
      <c r="D48" s="31">
        <f>D47*C48</f>
        <v>27.156307879999993</v>
      </c>
      <c r="E48" s="31"/>
      <c r="F48" s="31">
        <f>C48</f>
        <v>0.13</v>
      </c>
      <c r="G48" s="31">
        <f>G47*F48</f>
        <v>27.764721763999997</v>
      </c>
      <c r="H48" s="31">
        <f>G48-D48</f>
        <v>0.6084138840000044</v>
      </c>
      <c r="I48" s="32">
        <f t="shared" si="9"/>
        <v>2.2404145905566473E-2</v>
      </c>
      <c r="J48" s="32"/>
      <c r="K48" s="60">
        <f>G48/$G$51</f>
        <v>0.1238095238095238</v>
      </c>
    </row>
    <row r="49" spans="1:11" x14ac:dyDescent="0.2">
      <c r="A49" s="61" t="s">
        <v>111</v>
      </c>
      <c r="B49" s="29"/>
      <c r="C49" s="30"/>
      <c r="D49" s="30">
        <f>SUM(D47:D48)</f>
        <v>236.05098387999993</v>
      </c>
      <c r="E49" s="30"/>
      <c r="F49" s="30"/>
      <c r="G49" s="30">
        <f>SUM(G47:G48)</f>
        <v>241.33950456399998</v>
      </c>
      <c r="H49" s="30">
        <f>G49-D49</f>
        <v>5.2885206840000478</v>
      </c>
      <c r="I49" s="33">
        <f t="shared" si="9"/>
        <v>2.2404145905566514E-2</v>
      </c>
      <c r="J49" s="33"/>
      <c r="K49" s="62">
        <f>G49/$G$51</f>
        <v>1.0761904761904761</v>
      </c>
    </row>
    <row r="50" spans="1:11" x14ac:dyDescent="0.2">
      <c r="A50" s="58" t="s">
        <v>108</v>
      </c>
      <c r="B50" s="59"/>
      <c r="C50" s="31">
        <v>-0.08</v>
      </c>
      <c r="D50" s="31">
        <f>D47*C50</f>
        <v>-16.711574079999995</v>
      </c>
      <c r="E50" s="31"/>
      <c r="F50" s="31">
        <f>C50</f>
        <v>-0.08</v>
      </c>
      <c r="G50" s="31">
        <f>G47*F50</f>
        <v>-17.085982624</v>
      </c>
      <c r="H50" s="31">
        <f>G50-D50</f>
        <v>-0.37440854400000489</v>
      </c>
      <c r="I50" s="32">
        <f t="shared" si="9"/>
        <v>-2.2404145905566605E-2</v>
      </c>
      <c r="J50" s="32"/>
      <c r="K50" s="60">
        <f>G50/$G$51</f>
        <v>-7.6190476190476197E-2</v>
      </c>
    </row>
    <row r="51" spans="1:11" ht="13.5" thickBot="1" x14ac:dyDescent="0.25">
      <c r="A51" s="63" t="s">
        <v>121</v>
      </c>
      <c r="B51" s="64"/>
      <c r="C51" s="65"/>
      <c r="D51" s="65">
        <f>SUM(D49:D50)</f>
        <v>219.33940979999994</v>
      </c>
      <c r="E51" s="65"/>
      <c r="F51" s="65"/>
      <c r="G51" s="65">
        <f>SUM(G49:G50)</f>
        <v>224.25352193999998</v>
      </c>
      <c r="H51" s="65">
        <f>G51-D51</f>
        <v>4.9141121400000429</v>
      </c>
      <c r="I51" s="66">
        <f t="shared" si="9"/>
        <v>2.2404145905566508E-2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tabSelected="1" view="pageLayout" topLeftCell="A10"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98</v>
      </c>
      <c r="B1" s="191"/>
      <c r="C1" s="191"/>
      <c r="D1" s="191"/>
      <c r="E1" s="191"/>
      <c r="F1" s="191"/>
      <c r="G1" s="191"/>
      <c r="H1" s="191"/>
      <c r="I1" s="191"/>
      <c r="J1" s="191"/>
      <c r="K1" s="192"/>
    </row>
    <row r="3" spans="1:11" x14ac:dyDescent="0.2">
      <c r="A3" s="13" t="s">
        <v>13</v>
      </c>
      <c r="B3" s="13" t="s">
        <v>1</v>
      </c>
    </row>
    <row r="4" spans="1:11" x14ac:dyDescent="0.2">
      <c r="A4" s="15" t="s">
        <v>62</v>
      </c>
      <c r="B4" s="15">
        <v>400</v>
      </c>
    </row>
    <row r="5" spans="1:11" x14ac:dyDescent="0.2">
      <c r="A5" s="15" t="s">
        <v>16</v>
      </c>
      <c r="B5" s="15">
        <f>VLOOKUP($B$3,'Data for Bill Impacts'!$A$6:$Y$18,5,0)</f>
        <v>0</v>
      </c>
    </row>
    <row r="6" spans="1:11" x14ac:dyDescent="0.2">
      <c r="A6" s="15" t="s">
        <v>20</v>
      </c>
      <c r="B6" s="15">
        <f>VLOOKUP($B$3,'Data for Bill Impacts'!$A$6:$Y$18,2,0)</f>
        <v>1.0760000000000001</v>
      </c>
    </row>
    <row r="7" spans="1:11" x14ac:dyDescent="0.2">
      <c r="A7" s="15" t="s">
        <v>15</v>
      </c>
      <c r="B7" s="15">
        <f>VLOOKUP($B$3,'Data for Bill Impacts'!$A$6:$Y$18,4,0)</f>
        <v>600</v>
      </c>
    </row>
    <row r="8" spans="1:11" x14ac:dyDescent="0.2">
      <c r="A8" s="15" t="s">
        <v>82</v>
      </c>
      <c r="B8" s="168">
        <f>B4*B6</f>
        <v>430.40000000000003</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9.0999999999999998E-2</v>
      </c>
      <c r="D12" s="104">
        <f>B12*C12</f>
        <v>36.4</v>
      </c>
      <c r="E12" s="102">
        <f>B12</f>
        <v>400</v>
      </c>
      <c r="F12" s="103">
        <f>C12</f>
        <v>9.0999999999999998E-2</v>
      </c>
      <c r="G12" s="104">
        <f>E12*F12</f>
        <v>36.4</v>
      </c>
      <c r="H12" s="104">
        <f>G12-D12</f>
        <v>0</v>
      </c>
      <c r="I12" s="105">
        <f t="shared" ref="I12:I18" si="0">IF(ISERROR(H12/ABS(D12)),"N/A",(H12/ABS(D12)))</f>
        <v>0</v>
      </c>
      <c r="J12" s="105">
        <f>G12/$G$46</f>
        <v>0.3653747851814082</v>
      </c>
      <c r="K12" s="106"/>
    </row>
    <row r="13" spans="1:11" x14ac:dyDescent="0.2">
      <c r="A13" s="107" t="s">
        <v>32</v>
      </c>
      <c r="B13" s="73">
        <f>IF(B4&gt;B7,(B4)-B7,0)</f>
        <v>0</v>
      </c>
      <c r="C13" s="21">
        <v>0.106</v>
      </c>
      <c r="D13" s="22">
        <f>B13*C13</f>
        <v>0</v>
      </c>
      <c r="E13" s="73">
        <f t="shared" ref="E13:F17" si="1">B13</f>
        <v>0</v>
      </c>
      <c r="F13" s="21">
        <f t="shared" si="1"/>
        <v>0.106</v>
      </c>
      <c r="G13" s="22">
        <f>E13*F13</f>
        <v>0</v>
      </c>
      <c r="H13" s="22">
        <f t="shared" ref="H13:H46" si="2">G13-D13</f>
        <v>0</v>
      </c>
      <c r="I13" s="23" t="str">
        <f t="shared" si="0"/>
        <v>N/A</v>
      </c>
      <c r="J13" s="23">
        <f>G13/$G$46</f>
        <v>0</v>
      </c>
      <c r="K13" s="108"/>
    </row>
    <row r="14" spans="1:11" s="1" customFormat="1" x14ac:dyDescent="0.2">
      <c r="A14" s="46" t="s">
        <v>33</v>
      </c>
      <c r="B14" s="24"/>
      <c r="C14" s="25"/>
      <c r="D14" s="25">
        <f>SUM(D12:D13)</f>
        <v>36.4</v>
      </c>
      <c r="E14" s="76"/>
      <c r="F14" s="25"/>
      <c r="G14" s="25">
        <f>SUM(G12:G13)</f>
        <v>36.4</v>
      </c>
      <c r="H14" s="25">
        <f t="shared" si="2"/>
        <v>0</v>
      </c>
      <c r="I14" s="27">
        <f t="shared" si="0"/>
        <v>0</v>
      </c>
      <c r="J14" s="27">
        <f>G14/$G$46</f>
        <v>0.3653747851814082</v>
      </c>
      <c r="K14" s="108"/>
    </row>
    <row r="15" spans="1:11" s="1" customFormat="1" x14ac:dyDescent="0.2">
      <c r="A15" s="109" t="s">
        <v>34</v>
      </c>
      <c r="B15" s="75">
        <f>B4*0.65</f>
        <v>260</v>
      </c>
      <c r="C15" s="28">
        <v>7.6999999999999999E-2</v>
      </c>
      <c r="D15" s="22">
        <f>B15*C15</f>
        <v>20.02</v>
      </c>
      <c r="E15" s="73">
        <f t="shared" ref="E15:E17" si="3">B15</f>
        <v>260</v>
      </c>
      <c r="F15" s="28">
        <f t="shared" si="1"/>
        <v>7.6999999999999999E-2</v>
      </c>
      <c r="G15" s="22">
        <f>E15*F15</f>
        <v>20.02</v>
      </c>
      <c r="H15" s="22">
        <f t="shared" si="2"/>
        <v>0</v>
      </c>
      <c r="I15" s="23">
        <f t="shared" si="0"/>
        <v>0</v>
      </c>
      <c r="J15" s="23"/>
      <c r="K15" s="108">
        <f t="shared" ref="K15:K26" si="4">G15/$G$51</f>
        <v>0.19518329876514268</v>
      </c>
    </row>
    <row r="16" spans="1:11" s="1" customFormat="1" x14ac:dyDescent="0.2">
      <c r="A16" s="109" t="s">
        <v>35</v>
      </c>
      <c r="B16" s="75">
        <f>B4*0.17</f>
        <v>68</v>
      </c>
      <c r="C16" s="28">
        <v>0.113</v>
      </c>
      <c r="D16" s="22">
        <f>B16*C16</f>
        <v>7.6840000000000002</v>
      </c>
      <c r="E16" s="73">
        <f t="shared" si="3"/>
        <v>68</v>
      </c>
      <c r="F16" s="28">
        <f t="shared" si="1"/>
        <v>0.113</v>
      </c>
      <c r="G16" s="22">
        <f>E16*F16</f>
        <v>7.6840000000000002</v>
      </c>
      <c r="H16" s="22">
        <f t="shared" si="2"/>
        <v>0</v>
      </c>
      <c r="I16" s="23">
        <f t="shared" si="0"/>
        <v>0</v>
      </c>
      <c r="J16" s="23"/>
      <c r="K16" s="108">
        <f t="shared" si="4"/>
        <v>7.4914508876691127E-2</v>
      </c>
    </row>
    <row r="17" spans="1:11" s="1" customFormat="1" x14ac:dyDescent="0.2">
      <c r="A17" s="109" t="s">
        <v>36</v>
      </c>
      <c r="B17" s="75">
        <f>B4*0.18</f>
        <v>72</v>
      </c>
      <c r="C17" s="28">
        <v>0.157</v>
      </c>
      <c r="D17" s="22">
        <f>B17*C17</f>
        <v>11.304</v>
      </c>
      <c r="E17" s="73">
        <f t="shared" si="3"/>
        <v>72</v>
      </c>
      <c r="F17" s="28">
        <f t="shared" si="1"/>
        <v>0.157</v>
      </c>
      <c r="G17" s="22">
        <f>E17*F17</f>
        <v>11.304</v>
      </c>
      <c r="H17" s="22">
        <f t="shared" si="2"/>
        <v>0</v>
      </c>
      <c r="I17" s="23">
        <f t="shared" si="0"/>
        <v>0</v>
      </c>
      <c r="J17" s="23"/>
      <c r="K17" s="108">
        <f t="shared" si="4"/>
        <v>0.11020739306898966</v>
      </c>
    </row>
    <row r="18" spans="1:11" s="1" customFormat="1" x14ac:dyDescent="0.2">
      <c r="A18" s="61" t="s">
        <v>37</v>
      </c>
      <c r="B18" s="29"/>
      <c r="C18" s="30"/>
      <c r="D18" s="30">
        <f>SUM(D15:D17)</f>
        <v>39.008000000000003</v>
      </c>
      <c r="E18" s="77"/>
      <c r="F18" s="30"/>
      <c r="G18" s="30">
        <f>SUM(G15:G17)</f>
        <v>39.008000000000003</v>
      </c>
      <c r="H18" s="31">
        <f t="shared" si="2"/>
        <v>0</v>
      </c>
      <c r="I18" s="32">
        <f t="shared" si="0"/>
        <v>0</v>
      </c>
      <c r="J18" s="33">
        <f t="shared" ref="J18:J26" si="5">G18/$G$46</f>
        <v>0.3915532862735267</v>
      </c>
      <c r="K18" s="62">
        <f t="shared" si="4"/>
        <v>0.38030520071082347</v>
      </c>
    </row>
    <row r="19" spans="1:11" x14ac:dyDescent="0.2">
      <c r="A19" s="107" t="s">
        <v>38</v>
      </c>
      <c r="B19" s="73">
        <v>1</v>
      </c>
      <c r="C19" s="78">
        <f>VLOOKUP($B$3,'Data for Bill Impacts'!$A$6:$Y$18,7,0)</f>
        <v>33.770000000000003</v>
      </c>
      <c r="D19" s="22">
        <f>B19*C19</f>
        <v>33.770000000000003</v>
      </c>
      <c r="E19" s="73">
        <f t="shared" ref="E19:E41" si="6">B19</f>
        <v>1</v>
      </c>
      <c r="F19" s="78">
        <f>VLOOKUP($B$3,'Data for Bill Impacts'!$A$6:$Y$18,17,0)</f>
        <v>37.79</v>
      </c>
      <c r="G19" s="22">
        <f>E19*F19</f>
        <v>37.79</v>
      </c>
      <c r="H19" s="22">
        <f t="shared" si="2"/>
        <v>4.019999999999996</v>
      </c>
      <c r="I19" s="23">
        <f>IF(ISERROR(H19/ABS(D19)),"N/A",(H19/ABS(D19)))</f>
        <v>0.11904056855196908</v>
      </c>
      <c r="J19" s="23">
        <f t="shared" si="5"/>
        <v>0.3793272838463026</v>
      </c>
      <c r="K19" s="108">
        <f t="shared" si="4"/>
        <v>0.36843041260413295</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121">
        <f>VLOOKUP($B$3,'Data for Bill Impacts'!$A$6:$Y$18,13,0)</f>
        <v>0.82</v>
      </c>
      <c r="D21" s="22">
        <f t="shared" si="7"/>
        <v>0.82</v>
      </c>
      <c r="E21" s="73">
        <f t="shared" si="6"/>
        <v>1</v>
      </c>
      <c r="F21" s="121">
        <f>VLOOKUP($B$3,'Data for Bill Impacts'!$A$6:$Y$18,22,0)</f>
        <v>4.0000000000000001E-3</v>
      </c>
      <c r="G21" s="22">
        <f t="shared" si="8"/>
        <v>4.0000000000000001E-3</v>
      </c>
      <c r="H21" s="22">
        <f t="shared" si="2"/>
        <v>-0.81599999999999995</v>
      </c>
      <c r="I21" s="23">
        <f t="shared" si="9"/>
        <v>-0.99512195121951219</v>
      </c>
      <c r="J21" s="23">
        <f t="shared" si="5"/>
        <v>4.0151075294660246E-5</v>
      </c>
      <c r="K21" s="108">
        <f t="shared" si="4"/>
        <v>3.8997662090937597E-5</v>
      </c>
    </row>
    <row r="22" spans="1:11" hidden="1" x14ac:dyDescent="0.2">
      <c r="A22" s="107" t="s">
        <v>123</v>
      </c>
      <c r="B22" s="73">
        <f>B4</f>
        <v>400</v>
      </c>
      <c r="C22" s="125">
        <v>0</v>
      </c>
      <c r="D22" s="22">
        <f>B22*C22</f>
        <v>0</v>
      </c>
      <c r="E22" s="73">
        <f>B22</f>
        <v>400</v>
      </c>
      <c r="F22" s="78">
        <f>C22</f>
        <v>0</v>
      </c>
      <c r="G22" s="22">
        <f>E22*F22</f>
        <v>0</v>
      </c>
      <c r="H22" s="22">
        <f>G22-D22</f>
        <v>0</v>
      </c>
      <c r="I22" s="23" t="str">
        <f t="shared" si="9"/>
        <v>N/A</v>
      </c>
      <c r="J22" s="23">
        <f t="shared" si="5"/>
        <v>0</v>
      </c>
      <c r="K22" s="108">
        <f t="shared" si="4"/>
        <v>0</v>
      </c>
    </row>
    <row r="23" spans="1:11" x14ac:dyDescent="0.2">
      <c r="A23" s="107" t="s">
        <v>39</v>
      </c>
      <c r="B23" s="73">
        <f>IF($B$9="kWh",$B$4,$B$5)</f>
        <v>400</v>
      </c>
      <c r="C23" s="125">
        <f>VLOOKUP($B$3,'Data for Bill Impacts'!$A$6:$Y$18,10,0)</f>
        <v>2.3E-2</v>
      </c>
      <c r="D23" s="22">
        <f>B23*C23</f>
        <v>9.1999999999999993</v>
      </c>
      <c r="E23" s="73">
        <f t="shared" si="6"/>
        <v>400</v>
      </c>
      <c r="F23" s="125">
        <f>VLOOKUP($B$3,'Data for Bill Impacts'!$A$6:$Y$18,19,0)</f>
        <v>2.18E-2</v>
      </c>
      <c r="G23" s="22">
        <f>E23*F23</f>
        <v>8.7200000000000006</v>
      </c>
      <c r="H23" s="22">
        <f t="shared" si="2"/>
        <v>-0.47999999999999865</v>
      </c>
      <c r="I23" s="23">
        <f t="shared" si="9"/>
        <v>-5.2173913043478119E-2</v>
      </c>
      <c r="J23" s="23">
        <f t="shared" si="5"/>
        <v>8.7529344142359328E-2</v>
      </c>
      <c r="K23" s="108">
        <f t="shared" si="4"/>
        <v>8.5014903358243965E-2</v>
      </c>
    </row>
    <row r="24" spans="1:11" x14ac:dyDescent="0.2">
      <c r="A24" s="107" t="s">
        <v>124</v>
      </c>
      <c r="B24" s="73">
        <f>IF($B$9="kWh",$B$4,$B$5)</f>
        <v>400</v>
      </c>
      <c r="C24" s="125">
        <f>VLOOKUP($B$3,'Data for Bill Impacts'!$A$6:$Y$18,14,0)</f>
        <v>-2.0000000000000001E-4</v>
      </c>
      <c r="D24" s="22">
        <f>B24*C24</f>
        <v>-0.08</v>
      </c>
      <c r="E24" s="73">
        <f>B24</f>
        <v>400</v>
      </c>
      <c r="F24" s="125">
        <f>VLOOKUP($B$3,'Data for Bill Impacts'!$A$6:$Y$18,23,0)</f>
        <v>2.0000000000000002E-5</v>
      </c>
      <c r="G24" s="22">
        <f>E24*F24</f>
        <v>8.0000000000000002E-3</v>
      </c>
      <c r="H24" s="22">
        <f>G24-D24</f>
        <v>8.7999999999999995E-2</v>
      </c>
      <c r="I24" s="23">
        <f t="shared" si="9"/>
        <v>1.0999999999999999</v>
      </c>
      <c r="J24" s="23">
        <f t="shared" si="5"/>
        <v>8.0302150589320491E-5</v>
      </c>
      <c r="K24" s="108">
        <f t="shared" si="4"/>
        <v>7.7995324181875193E-5</v>
      </c>
    </row>
    <row r="25" spans="1:11" s="1" customFormat="1" x14ac:dyDescent="0.2">
      <c r="A25" s="110" t="s">
        <v>72</v>
      </c>
      <c r="B25" s="74"/>
      <c r="C25" s="35"/>
      <c r="D25" s="35">
        <f>SUM(D19:D24)</f>
        <v>43.710000000000008</v>
      </c>
      <c r="E25" s="73"/>
      <c r="F25" s="35"/>
      <c r="G25" s="35">
        <f>SUM(G19:G24)</f>
        <v>46.521999999999998</v>
      </c>
      <c r="H25" s="35">
        <f t="shared" si="2"/>
        <v>2.8119999999999905</v>
      </c>
      <c r="I25" s="36">
        <f t="shared" si="9"/>
        <v>6.4333104552733694E-2</v>
      </c>
      <c r="J25" s="36">
        <f t="shared" si="5"/>
        <v>0.4669770812145459</v>
      </c>
      <c r="K25" s="111">
        <f t="shared" si="4"/>
        <v>0.45356230894864974</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7.9298373706953983E-3</v>
      </c>
      <c r="K26" s="108">
        <f t="shared" si="4"/>
        <v>7.7020382629601758E-3</v>
      </c>
    </row>
    <row r="27" spans="1:11" s="1" customFormat="1" x14ac:dyDescent="0.2">
      <c r="A27" s="119" t="s">
        <v>75</v>
      </c>
      <c r="B27" s="120">
        <f>B8-B4</f>
        <v>30.400000000000034</v>
      </c>
      <c r="C27" s="176">
        <f>IF(B4&gt;B7,C13,C12)</f>
        <v>9.0999999999999998E-2</v>
      </c>
      <c r="D27" s="22">
        <f>B27*C27</f>
        <v>2.7664000000000031</v>
      </c>
      <c r="E27" s="73">
        <f>B27</f>
        <v>30.400000000000034</v>
      </c>
      <c r="F27" s="176">
        <f>C27</f>
        <v>9.0999999999999998E-2</v>
      </c>
      <c r="G27" s="22">
        <f>E27*F27</f>
        <v>2.7664000000000031</v>
      </c>
      <c r="H27" s="22">
        <f t="shared" si="2"/>
        <v>0</v>
      </c>
      <c r="I27" s="23">
        <f t="shared" si="9"/>
        <v>0</v>
      </c>
      <c r="J27" s="23">
        <f t="shared" ref="J27:J46" si="10">G27/$G$46</f>
        <v>2.7768483673787054E-2</v>
      </c>
      <c r="K27" s="108">
        <f t="shared" ref="K27:K41" si="11">G27/$G$51</f>
        <v>2.6970783102092472E-2</v>
      </c>
    </row>
    <row r="28" spans="1:11" s="1" customFormat="1" x14ac:dyDescent="0.2">
      <c r="A28" s="119" t="s">
        <v>74</v>
      </c>
      <c r="B28" s="120">
        <f>B8-B4</f>
        <v>30.400000000000034</v>
      </c>
      <c r="C28" s="176">
        <f>0.65*C15+0.17*C16+0.18*C17</f>
        <v>9.7519999999999996E-2</v>
      </c>
      <c r="D28" s="22">
        <f>B28*C28</f>
        <v>2.9646080000000032</v>
      </c>
      <c r="E28" s="73">
        <f>B28</f>
        <v>30.400000000000034</v>
      </c>
      <c r="F28" s="176">
        <f>C28</f>
        <v>9.7519999999999996E-2</v>
      </c>
      <c r="G28" s="22">
        <f>E28*F28</f>
        <v>2.9646080000000032</v>
      </c>
      <c r="H28" s="22">
        <f t="shared" si="2"/>
        <v>0</v>
      </c>
      <c r="I28" s="23">
        <f t="shared" si="9"/>
        <v>0</v>
      </c>
      <c r="J28" s="23">
        <f t="shared" si="10"/>
        <v>2.9758049756788061E-2</v>
      </c>
      <c r="K28" s="108">
        <f t="shared" si="11"/>
        <v>2.8903195254022615E-2</v>
      </c>
    </row>
    <row r="29" spans="1:11" s="1" customFormat="1" x14ac:dyDescent="0.2">
      <c r="A29" s="110" t="s">
        <v>78</v>
      </c>
      <c r="B29" s="74"/>
      <c r="C29" s="35"/>
      <c r="D29" s="35">
        <f>SUM(D25,D26:D27)</f>
        <v>47.266400000000012</v>
      </c>
      <c r="E29" s="73"/>
      <c r="F29" s="35"/>
      <c r="G29" s="35">
        <f>SUM(G25,G26:G27)</f>
        <v>50.078400000000002</v>
      </c>
      <c r="H29" s="35">
        <f t="shared" si="2"/>
        <v>2.8119999999999905</v>
      </c>
      <c r="I29" s="36">
        <f t="shared" si="9"/>
        <v>5.9492578237394636E-2</v>
      </c>
      <c r="J29" s="36">
        <f t="shared" si="10"/>
        <v>0.5026754022590284</v>
      </c>
      <c r="K29" s="111">
        <f t="shared" si="11"/>
        <v>0.48823513031370236</v>
      </c>
    </row>
    <row r="30" spans="1:11" s="1" customFormat="1" x14ac:dyDescent="0.2">
      <c r="A30" s="110" t="s">
        <v>77</v>
      </c>
      <c r="B30" s="74"/>
      <c r="C30" s="35"/>
      <c r="D30" s="35">
        <f>SUM(D25,D26,D28)</f>
        <v>47.464608000000013</v>
      </c>
      <c r="E30" s="73"/>
      <c r="F30" s="35"/>
      <c r="G30" s="35">
        <f>SUM(G25,G26,G28)</f>
        <v>50.276608000000003</v>
      </c>
      <c r="H30" s="35">
        <f t="shared" si="2"/>
        <v>2.8119999999999905</v>
      </c>
      <c r="I30" s="36">
        <f t="shared" si="9"/>
        <v>5.9244142498764335E-2</v>
      </c>
      <c r="J30" s="36">
        <f t="shared" si="10"/>
        <v>0.50466496834202934</v>
      </c>
      <c r="K30" s="111">
        <f t="shared" si="11"/>
        <v>0.49016754246563254</v>
      </c>
    </row>
    <row r="31" spans="1:11" x14ac:dyDescent="0.2">
      <c r="A31" s="107" t="s">
        <v>40</v>
      </c>
      <c r="B31" s="73">
        <f>B8</f>
        <v>430.40000000000003</v>
      </c>
      <c r="C31" s="78">
        <f>VLOOKUP($B$3,'Data for Bill Impacts'!$A$6:$Y$18,15,0)</f>
        <v>6.4000000000000003E-3</v>
      </c>
      <c r="D31" s="22">
        <f>B31*C31</f>
        <v>2.7545600000000006</v>
      </c>
      <c r="E31" s="73">
        <f t="shared" si="6"/>
        <v>430.40000000000003</v>
      </c>
      <c r="F31" s="125">
        <f>VLOOKUP($B$3,'Data for Bill Impacts'!$A$6:$Y$18,24,0)</f>
        <v>7.2069999999999999E-3</v>
      </c>
      <c r="G31" s="22">
        <f>E31*F31</f>
        <v>3.1018928000000003</v>
      </c>
      <c r="H31" s="22">
        <f t="shared" si="2"/>
        <v>0.34733279999999978</v>
      </c>
      <c r="I31" s="23">
        <f t="shared" si="9"/>
        <v>0.12609374999999989</v>
      </c>
      <c r="J31" s="23">
        <f t="shared" si="10"/>
        <v>3.1136082842191125E-2</v>
      </c>
      <c r="K31" s="108">
        <f t="shared" si="11"/>
        <v>3.0241641814178075E-2</v>
      </c>
    </row>
    <row r="32" spans="1:11" x14ac:dyDescent="0.2">
      <c r="A32" s="107" t="s">
        <v>41</v>
      </c>
      <c r="B32" s="73">
        <f>B8</f>
        <v>430.40000000000003</v>
      </c>
      <c r="C32" s="78">
        <f>VLOOKUP($B$3,'Data for Bill Impacts'!$A$6:$Y$18,16,0)</f>
        <v>4.7000000000000002E-3</v>
      </c>
      <c r="D32" s="22">
        <f>B32*C32</f>
        <v>2.0228800000000002</v>
      </c>
      <c r="E32" s="73">
        <f t="shared" si="6"/>
        <v>430.40000000000003</v>
      </c>
      <c r="F32" s="125">
        <f>VLOOKUP($B$3,'Data for Bill Impacts'!$A$6:$Y$18,25,0)</f>
        <v>6.0319999999999992E-3</v>
      </c>
      <c r="G32" s="22">
        <f>E32*F32</f>
        <v>2.5961727999999997</v>
      </c>
      <c r="H32" s="22">
        <f t="shared" si="2"/>
        <v>0.57329279999999949</v>
      </c>
      <c r="I32" s="23">
        <f t="shared" si="9"/>
        <v>0.28340425531914865</v>
      </c>
      <c r="J32" s="23">
        <f t="shared" si="10"/>
        <v>2.6059782392687223E-2</v>
      </c>
      <c r="K32" s="108">
        <f t="shared" si="11"/>
        <v>2.5311167396020826E-2</v>
      </c>
    </row>
    <row r="33" spans="1:11" s="1" customFormat="1" x14ac:dyDescent="0.2">
      <c r="A33" s="110" t="s">
        <v>76</v>
      </c>
      <c r="B33" s="74"/>
      <c r="C33" s="35"/>
      <c r="D33" s="35">
        <f>SUM(D31:D32)</f>
        <v>4.7774400000000004</v>
      </c>
      <c r="E33" s="73"/>
      <c r="F33" s="35"/>
      <c r="G33" s="35">
        <f>SUM(G31:G32)</f>
        <v>5.6980655999999996</v>
      </c>
      <c r="H33" s="35">
        <f t="shared" si="2"/>
        <v>0.92062559999999927</v>
      </c>
      <c r="I33" s="36">
        <f t="shared" si="9"/>
        <v>0.19270270270270254</v>
      </c>
      <c r="J33" s="36">
        <f t="shared" si="10"/>
        <v>5.7195865234878344E-2</v>
      </c>
      <c r="K33" s="111">
        <f t="shared" si="11"/>
        <v>5.5552809210198895E-2</v>
      </c>
    </row>
    <row r="34" spans="1:11" s="1" customFormat="1" x14ac:dyDescent="0.2">
      <c r="A34" s="110" t="s">
        <v>91</v>
      </c>
      <c r="B34" s="74"/>
      <c r="C34" s="35"/>
      <c r="D34" s="35">
        <f>D29+D33</f>
        <v>52.04384000000001</v>
      </c>
      <c r="E34" s="73"/>
      <c r="F34" s="35"/>
      <c r="G34" s="35">
        <f>G29+G33</f>
        <v>55.776465600000002</v>
      </c>
      <c r="H34" s="35">
        <f t="shared" si="2"/>
        <v>3.7326255999999916</v>
      </c>
      <c r="I34" s="36">
        <f t="shared" si="9"/>
        <v>7.1720795390962516E-2</v>
      </c>
      <c r="J34" s="36">
        <f t="shared" si="10"/>
        <v>0.5598712674939067</v>
      </c>
      <c r="K34" s="111">
        <f t="shared" si="11"/>
        <v>0.54378793952390125</v>
      </c>
    </row>
    <row r="35" spans="1:11" s="1" customFormat="1" x14ac:dyDescent="0.2">
      <c r="A35" s="110" t="s">
        <v>92</v>
      </c>
      <c r="B35" s="74"/>
      <c r="C35" s="35"/>
      <c r="D35" s="35">
        <f>D30+D33</f>
        <v>52.242048000000011</v>
      </c>
      <c r="E35" s="73"/>
      <c r="F35" s="35"/>
      <c r="G35" s="35">
        <f>G30+G33</f>
        <v>55.974673600000003</v>
      </c>
      <c r="H35" s="35">
        <f t="shared" si="2"/>
        <v>3.7326255999999916</v>
      </c>
      <c r="I35" s="36">
        <f t="shared" si="9"/>
        <v>7.1448684400733889E-2</v>
      </c>
      <c r="J35" s="36">
        <f t="shared" si="10"/>
        <v>0.56186083357690775</v>
      </c>
      <c r="K35" s="111">
        <f t="shared" si="11"/>
        <v>0.54572035167583144</v>
      </c>
    </row>
    <row r="36" spans="1:11" x14ac:dyDescent="0.2">
      <c r="A36" s="107" t="s">
        <v>42</v>
      </c>
      <c r="B36" s="73">
        <f>B8</f>
        <v>430.40000000000003</v>
      </c>
      <c r="C36" s="34">
        <v>3.5999999999999999E-3</v>
      </c>
      <c r="D36" s="22">
        <f>B36*C36</f>
        <v>1.5494400000000002</v>
      </c>
      <c r="E36" s="73">
        <f t="shared" si="6"/>
        <v>430.40000000000003</v>
      </c>
      <c r="F36" s="34">
        <v>3.5999999999999999E-3</v>
      </c>
      <c r="G36" s="22">
        <f>E36*F36</f>
        <v>1.5494400000000002</v>
      </c>
      <c r="H36" s="22">
        <f t="shared" si="2"/>
        <v>0</v>
      </c>
      <c r="I36" s="23">
        <f t="shared" si="9"/>
        <v>0</v>
      </c>
      <c r="J36" s="23">
        <f t="shared" si="10"/>
        <v>1.5552920526139593E-2</v>
      </c>
      <c r="K36" s="108">
        <f t="shared" si="11"/>
        <v>1.510613438754559E-2</v>
      </c>
    </row>
    <row r="37" spans="1:11" x14ac:dyDescent="0.2">
      <c r="A37" s="107" t="s">
        <v>43</v>
      </c>
      <c r="B37" s="73">
        <f>B8</f>
        <v>430.40000000000003</v>
      </c>
      <c r="C37" s="34">
        <v>2.0999999999999999E-3</v>
      </c>
      <c r="D37" s="22">
        <f>B37*C37</f>
        <v>0.90383999999999998</v>
      </c>
      <c r="E37" s="73">
        <f t="shared" si="6"/>
        <v>430.40000000000003</v>
      </c>
      <c r="F37" s="34">
        <v>2.0999999999999999E-3</v>
      </c>
      <c r="G37" s="22">
        <f>E37*F37</f>
        <v>0.90383999999999998</v>
      </c>
      <c r="H37" s="22">
        <f>G37-D37</f>
        <v>0</v>
      </c>
      <c r="I37" s="23">
        <f t="shared" si="9"/>
        <v>0</v>
      </c>
      <c r="J37" s="23">
        <f t="shared" si="10"/>
        <v>9.0725369735814281E-3</v>
      </c>
      <c r="K37" s="108">
        <f t="shared" si="11"/>
        <v>8.8119117260682597E-3</v>
      </c>
    </row>
    <row r="38" spans="1:11" x14ac:dyDescent="0.2">
      <c r="A38" s="107" t="s">
        <v>96</v>
      </c>
      <c r="B38" s="73">
        <f>B8</f>
        <v>430.40000000000003</v>
      </c>
      <c r="C38" s="34">
        <v>0</v>
      </c>
      <c r="D38" s="22">
        <f>B38*C38</f>
        <v>0</v>
      </c>
      <c r="E38" s="73">
        <f t="shared" si="6"/>
        <v>430.40000000000003</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2.5094422059162651E-3</v>
      </c>
      <c r="K39" s="108">
        <f t="shared" si="11"/>
        <v>2.4373538806836E-3</v>
      </c>
    </row>
    <row r="40" spans="1:11" s="1" customFormat="1" x14ac:dyDescent="0.2">
      <c r="A40" s="110" t="s">
        <v>45</v>
      </c>
      <c r="B40" s="74"/>
      <c r="C40" s="35"/>
      <c r="D40" s="35">
        <f>SUM(D36:D39)</f>
        <v>2.7032800000000003</v>
      </c>
      <c r="E40" s="73"/>
      <c r="F40" s="35"/>
      <c r="G40" s="35">
        <f>SUM(G36:G39)</f>
        <v>2.7032800000000003</v>
      </c>
      <c r="H40" s="35">
        <f t="shared" si="2"/>
        <v>0</v>
      </c>
      <c r="I40" s="36">
        <f t="shared" si="9"/>
        <v>0</v>
      </c>
      <c r="J40" s="36">
        <f t="shared" si="10"/>
        <v>2.7134899705637289E-2</v>
      </c>
      <c r="K40" s="111">
        <f t="shared" si="11"/>
        <v>2.6355399994297452E-2</v>
      </c>
    </row>
    <row r="41" spans="1:11" s="1" customFormat="1" ht="13.5" thickBot="1" x14ac:dyDescent="0.25">
      <c r="A41" s="112" t="s">
        <v>46</v>
      </c>
      <c r="B41" s="113">
        <f>B4</f>
        <v>400</v>
      </c>
      <c r="C41" s="114">
        <v>0</v>
      </c>
      <c r="D41" s="115">
        <f>B41*C41</f>
        <v>0</v>
      </c>
      <c r="E41" s="116">
        <f t="shared" si="6"/>
        <v>400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91.147120000000029</v>
      </c>
      <c r="E42" s="38"/>
      <c r="F42" s="39"/>
      <c r="G42" s="39">
        <f>SUM(G14,G25,G26,G27,G33,G40,G41)</f>
        <v>94.879745600000007</v>
      </c>
      <c r="H42" s="39">
        <f t="shared" si="2"/>
        <v>3.7326255999999773</v>
      </c>
      <c r="I42" s="40">
        <f t="shared" si="9"/>
        <v>4.0951657057293485E-2</v>
      </c>
      <c r="J42" s="40">
        <f t="shared" si="10"/>
        <v>0.95238095238095222</v>
      </c>
      <c r="K42" s="41"/>
    </row>
    <row r="43" spans="1:11" x14ac:dyDescent="0.2">
      <c r="A43" s="153" t="s">
        <v>106</v>
      </c>
      <c r="B43" s="43"/>
      <c r="C43" s="26">
        <v>0.13</v>
      </c>
      <c r="D43" s="26">
        <f>D42*C43</f>
        <v>11.849125600000004</v>
      </c>
      <c r="E43" s="26"/>
      <c r="F43" s="26">
        <f>C43</f>
        <v>0.13</v>
      </c>
      <c r="G43" s="26">
        <f>G42*F43</f>
        <v>12.334366928000001</v>
      </c>
      <c r="H43" s="26">
        <f t="shared" si="2"/>
        <v>0.4852413279999972</v>
      </c>
      <c r="I43" s="44">
        <f t="shared" si="9"/>
        <v>4.0951657057293499E-2</v>
      </c>
      <c r="J43" s="44">
        <f t="shared" si="10"/>
        <v>0.1238095238095238</v>
      </c>
      <c r="K43" s="45"/>
    </row>
    <row r="44" spans="1:11" s="1" customFormat="1" x14ac:dyDescent="0.2">
      <c r="A44" s="46" t="s">
        <v>107</v>
      </c>
      <c r="B44" s="24"/>
      <c r="C44" s="25"/>
      <c r="D44" s="25">
        <f>SUM(D42:D43)</f>
        <v>102.99624560000004</v>
      </c>
      <c r="E44" s="25"/>
      <c r="F44" s="25"/>
      <c r="G44" s="25">
        <f>SUM(G42:G43)</f>
        <v>107.21411252800002</v>
      </c>
      <c r="H44" s="25">
        <f t="shared" si="2"/>
        <v>4.2178669279999781</v>
      </c>
      <c r="I44" s="27">
        <f t="shared" si="9"/>
        <v>4.095165705729352E-2</v>
      </c>
      <c r="J44" s="27">
        <f t="shared" si="10"/>
        <v>1.0761904761904761</v>
      </c>
      <c r="K44" s="47"/>
    </row>
    <row r="45" spans="1:11" x14ac:dyDescent="0.2">
      <c r="A45" s="42" t="s">
        <v>108</v>
      </c>
      <c r="B45" s="43"/>
      <c r="C45" s="26">
        <v>-0.08</v>
      </c>
      <c r="D45" s="26">
        <f>D42*C45</f>
        <v>-7.2917696000000021</v>
      </c>
      <c r="E45" s="26"/>
      <c r="F45" s="26">
        <f>C45</f>
        <v>-0.08</v>
      </c>
      <c r="G45" s="26">
        <f>G42*F45</f>
        <v>-7.5903796480000008</v>
      </c>
      <c r="H45" s="26">
        <f t="shared" si="2"/>
        <v>-0.29861004799999868</v>
      </c>
      <c r="I45" s="44">
        <f t="shared" si="9"/>
        <v>-4.0951657057293554E-2</v>
      </c>
      <c r="J45" s="44">
        <f t="shared" si="10"/>
        <v>-7.6190476190476183E-2</v>
      </c>
      <c r="K45" s="45"/>
    </row>
    <row r="46" spans="1:11" s="1" customFormat="1" ht="13.5" thickBot="1" x14ac:dyDescent="0.25">
      <c r="A46" s="48" t="s">
        <v>109</v>
      </c>
      <c r="B46" s="49"/>
      <c r="C46" s="50"/>
      <c r="D46" s="50">
        <f>SUM(D44:D45)</f>
        <v>95.704476000000028</v>
      </c>
      <c r="E46" s="50"/>
      <c r="F46" s="50"/>
      <c r="G46" s="50">
        <f>SUM(G44:G45)</f>
        <v>99.62373288000002</v>
      </c>
      <c r="H46" s="50">
        <f t="shared" si="2"/>
        <v>3.9192568799999918</v>
      </c>
      <c r="I46" s="51">
        <f t="shared" si="9"/>
        <v>4.0951657057293651E-2</v>
      </c>
      <c r="J46" s="51">
        <f t="shared" si="10"/>
        <v>1</v>
      </c>
      <c r="K46" s="52"/>
    </row>
    <row r="47" spans="1:11" x14ac:dyDescent="0.2">
      <c r="A47" s="53" t="s">
        <v>110</v>
      </c>
      <c r="B47" s="54"/>
      <c r="C47" s="55"/>
      <c r="D47" s="55">
        <f>SUM(D18,D25,D26,D28,D33,D40,D41)</f>
        <v>93.953328000000027</v>
      </c>
      <c r="E47" s="55"/>
      <c r="F47" s="55"/>
      <c r="G47" s="55">
        <f>SUM(G18,G25,G26,G28,G33,G40,G41)</f>
        <v>97.685953600000005</v>
      </c>
      <c r="H47" s="55">
        <f>G47-D47</f>
        <v>3.7326255999999773</v>
      </c>
      <c r="I47" s="56">
        <f t="shared" si="9"/>
        <v>3.9728508605889681E-2</v>
      </c>
      <c r="J47" s="56"/>
      <c r="K47" s="57">
        <f>G47/$G$51</f>
        <v>0.95238095238095233</v>
      </c>
    </row>
    <row r="48" spans="1:11" x14ac:dyDescent="0.2">
      <c r="A48" s="154" t="s">
        <v>106</v>
      </c>
      <c r="B48" s="59"/>
      <c r="C48" s="31">
        <v>0.13</v>
      </c>
      <c r="D48" s="31">
        <f>D47*C48</f>
        <v>12.213932640000005</v>
      </c>
      <c r="E48" s="31"/>
      <c r="F48" s="31">
        <f>C48</f>
        <v>0.13</v>
      </c>
      <c r="G48" s="31">
        <f>G47*F48</f>
        <v>12.699173968</v>
      </c>
      <c r="H48" s="31">
        <f>G48-D48</f>
        <v>0.48524132799999542</v>
      </c>
      <c r="I48" s="32">
        <f t="shared" si="9"/>
        <v>3.972850860588955E-2</v>
      </c>
      <c r="J48" s="32"/>
      <c r="K48" s="60">
        <f>G48/$G$51</f>
        <v>0.1238095238095238</v>
      </c>
    </row>
    <row r="49" spans="1:11" x14ac:dyDescent="0.2">
      <c r="A49" s="61" t="s">
        <v>111</v>
      </c>
      <c r="B49" s="29"/>
      <c r="C49" s="30"/>
      <c r="D49" s="30">
        <f>SUM(D47:D48)</f>
        <v>106.16726064000004</v>
      </c>
      <c r="E49" s="30"/>
      <c r="F49" s="30"/>
      <c r="G49" s="30">
        <f>SUM(G47:G48)</f>
        <v>110.385127568</v>
      </c>
      <c r="H49" s="30">
        <f>G49-D49</f>
        <v>4.2178669279999639</v>
      </c>
      <c r="I49" s="33">
        <f t="shared" si="9"/>
        <v>3.9728508605889584E-2</v>
      </c>
      <c r="J49" s="33"/>
      <c r="K49" s="62">
        <f>G49/$G$51</f>
        <v>1.0761904761904761</v>
      </c>
    </row>
    <row r="50" spans="1:11" x14ac:dyDescent="0.2">
      <c r="A50" s="58" t="s">
        <v>108</v>
      </c>
      <c r="B50" s="59"/>
      <c r="C50" s="31">
        <v>-0.08</v>
      </c>
      <c r="D50" s="31">
        <f>D47*C50</f>
        <v>-7.516266240000002</v>
      </c>
      <c r="E50" s="31"/>
      <c r="F50" s="31">
        <f>C50</f>
        <v>-0.08</v>
      </c>
      <c r="G50" s="31">
        <f>G47*F50</f>
        <v>-7.8148762880000007</v>
      </c>
      <c r="H50" s="31">
        <f>G50-D50</f>
        <v>-0.29861004799999868</v>
      </c>
      <c r="I50" s="32">
        <f t="shared" si="9"/>
        <v>-3.9728508605889751E-2</v>
      </c>
      <c r="J50" s="32"/>
      <c r="K50" s="60">
        <f>G50/$G$51</f>
        <v>-7.6190476190476197E-2</v>
      </c>
    </row>
    <row r="51" spans="1:11" ht="13.5" thickBot="1" x14ac:dyDescent="0.25">
      <c r="A51" s="63" t="s">
        <v>121</v>
      </c>
      <c r="B51" s="64"/>
      <c r="C51" s="65"/>
      <c r="D51" s="65">
        <f>SUM(D49:D50)</f>
        <v>98.65099440000003</v>
      </c>
      <c r="E51" s="65"/>
      <c r="F51" s="65"/>
      <c r="G51" s="65">
        <f>SUM(G49:G50)</f>
        <v>102.57025128000001</v>
      </c>
      <c r="H51" s="65">
        <f>G51-D51</f>
        <v>3.9192568799999776</v>
      </c>
      <c r="I51" s="66">
        <f t="shared" si="9"/>
        <v>3.9728508605889695E-2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100</v>
      </c>
      <c r="B1" s="191"/>
      <c r="C1" s="191"/>
      <c r="D1" s="191"/>
      <c r="E1" s="191"/>
      <c r="F1" s="191"/>
      <c r="G1" s="191"/>
      <c r="H1" s="191"/>
      <c r="I1" s="191"/>
      <c r="J1" s="191"/>
      <c r="K1" s="192"/>
    </row>
    <row r="3" spans="1:11" x14ac:dyDescent="0.2">
      <c r="A3" s="13" t="s">
        <v>13</v>
      </c>
      <c r="B3" s="13" t="s">
        <v>1</v>
      </c>
    </row>
    <row r="4" spans="1:11" x14ac:dyDescent="0.2">
      <c r="A4" s="15" t="s">
        <v>62</v>
      </c>
      <c r="B4" s="15">
        <v>750</v>
      </c>
    </row>
    <row r="5" spans="1:11" x14ac:dyDescent="0.2">
      <c r="A5" s="15" t="s">
        <v>16</v>
      </c>
      <c r="B5" s="15">
        <f>VLOOKUP($B$3,'Data for Bill Impacts'!$A$6:$Y$18,5,0)</f>
        <v>0</v>
      </c>
    </row>
    <row r="6" spans="1:11" x14ac:dyDescent="0.2">
      <c r="A6" s="15" t="s">
        <v>20</v>
      </c>
      <c r="B6" s="15">
        <f>VLOOKUP($B$3,'Data for Bill Impacts'!$A$6:$Y$18,2,0)</f>
        <v>1.0760000000000001</v>
      </c>
    </row>
    <row r="7" spans="1:11" x14ac:dyDescent="0.2">
      <c r="A7" s="15" t="s">
        <v>15</v>
      </c>
      <c r="B7" s="15">
        <f>VLOOKUP($B$3,'Data for Bill Impacts'!$A$6:$Y$18,4,0)</f>
        <v>600</v>
      </c>
    </row>
    <row r="8" spans="1:11" x14ac:dyDescent="0.2">
      <c r="A8" s="15" t="s">
        <v>82</v>
      </c>
      <c r="B8" s="15">
        <f>B4*B6</f>
        <v>807</v>
      </c>
    </row>
    <row r="9" spans="1:11" x14ac:dyDescent="0.2">
      <c r="A9" s="15" t="s">
        <v>21</v>
      </c>
      <c r="B9" s="16" t="str">
        <f>VLOOKUP($B$3,'Data for Bill Impacts'!$A$6:$Y$18,6,0)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0.35368189277870887</v>
      </c>
      <c r="K12" s="106"/>
    </row>
    <row r="13" spans="1:11" x14ac:dyDescent="0.2">
      <c r="A13" s="107" t="s">
        <v>32</v>
      </c>
      <c r="B13" s="73">
        <f>IF(B4&gt;B7,(B4)-B7,0)</f>
        <v>150</v>
      </c>
      <c r="C13" s="21">
        <v>0.106</v>
      </c>
      <c r="D13" s="22">
        <f>B13*C13</f>
        <v>15.9</v>
      </c>
      <c r="E13" s="73">
        <f t="shared" ref="E13:F17" si="1">B13</f>
        <v>150</v>
      </c>
      <c r="F13" s="21">
        <f t="shared" si="1"/>
        <v>0.106</v>
      </c>
      <c r="G13" s="22">
        <f>E13*F13</f>
        <v>15.9</v>
      </c>
      <c r="H13" s="22">
        <f t="shared" ref="H13:H46" si="2">G13-D13</f>
        <v>0</v>
      </c>
      <c r="I13" s="23">
        <f t="shared" si="0"/>
        <v>0</v>
      </c>
      <c r="J13" s="23">
        <f>G13/$G$46</f>
        <v>0.1029952764685251</v>
      </c>
      <c r="K13" s="108"/>
    </row>
    <row r="14" spans="1:11" s="1" customFormat="1" x14ac:dyDescent="0.2">
      <c r="A14" s="46" t="s">
        <v>33</v>
      </c>
      <c r="B14" s="24"/>
      <c r="C14" s="25"/>
      <c r="D14" s="25">
        <f>SUM(D12:D13)</f>
        <v>70.5</v>
      </c>
      <c r="E14" s="76"/>
      <c r="F14" s="25"/>
      <c r="G14" s="25">
        <f>SUM(G12:G13)</f>
        <v>70.5</v>
      </c>
      <c r="H14" s="25">
        <f t="shared" si="2"/>
        <v>0</v>
      </c>
      <c r="I14" s="27">
        <f t="shared" si="0"/>
        <v>0</v>
      </c>
      <c r="J14" s="27">
        <f>G14/$G$46</f>
        <v>0.45667716924723395</v>
      </c>
      <c r="K14" s="108"/>
    </row>
    <row r="15" spans="1:11" s="1" customFormat="1" x14ac:dyDescent="0.2">
      <c r="A15" s="109" t="s">
        <v>34</v>
      </c>
      <c r="B15" s="75">
        <f>B4*0.65</f>
        <v>487.5</v>
      </c>
      <c r="C15" s="28">
        <v>7.6999999999999999E-2</v>
      </c>
      <c r="D15" s="22">
        <f>B15*C15</f>
        <v>37.537500000000001</v>
      </c>
      <c r="E15" s="73">
        <f t="shared" ref="E15:E17" si="3">B15</f>
        <v>487.5</v>
      </c>
      <c r="F15" s="28">
        <f t="shared" si="1"/>
        <v>7.6999999999999999E-2</v>
      </c>
      <c r="G15" s="22">
        <f>E15*F15</f>
        <v>37.537500000000001</v>
      </c>
      <c r="H15" s="22">
        <f t="shared" si="2"/>
        <v>0</v>
      </c>
      <c r="I15" s="23">
        <f t="shared" si="0"/>
        <v>0</v>
      </c>
      <c r="J15" s="23"/>
      <c r="K15" s="108">
        <f t="shared" ref="K15:K26" si="4">G15/$G$51</f>
        <v>0.23964111400392762</v>
      </c>
    </row>
    <row r="16" spans="1:11" s="1" customFormat="1" x14ac:dyDescent="0.2">
      <c r="A16" s="109" t="s">
        <v>35</v>
      </c>
      <c r="B16" s="75">
        <f>B4*0.17</f>
        <v>127.50000000000001</v>
      </c>
      <c r="C16" s="28">
        <v>0.113</v>
      </c>
      <c r="D16" s="22">
        <f>B16*C16</f>
        <v>14.407500000000002</v>
      </c>
      <c r="E16" s="73">
        <f t="shared" si="3"/>
        <v>127.50000000000001</v>
      </c>
      <c r="F16" s="28">
        <f t="shared" si="1"/>
        <v>0.113</v>
      </c>
      <c r="G16" s="22">
        <f>E16*F16</f>
        <v>14.407500000000002</v>
      </c>
      <c r="H16" s="22">
        <f t="shared" si="2"/>
        <v>0</v>
      </c>
      <c r="I16" s="23">
        <f t="shared" si="0"/>
        <v>0</v>
      </c>
      <c r="J16" s="23"/>
      <c r="K16" s="108">
        <f t="shared" si="4"/>
        <v>9.197813786244656E-2</v>
      </c>
    </row>
    <row r="17" spans="1:11" s="1" customFormat="1" x14ac:dyDescent="0.2">
      <c r="A17" s="109" t="s">
        <v>36</v>
      </c>
      <c r="B17" s="75">
        <f>B4*0.18</f>
        <v>135</v>
      </c>
      <c r="C17" s="28">
        <v>0.157</v>
      </c>
      <c r="D17" s="22">
        <f>B17*C17</f>
        <v>21.195</v>
      </c>
      <c r="E17" s="73">
        <f t="shared" si="3"/>
        <v>135</v>
      </c>
      <c r="F17" s="28">
        <f t="shared" si="1"/>
        <v>0.157</v>
      </c>
      <c r="G17" s="22">
        <f>E17*F17</f>
        <v>21.195</v>
      </c>
      <c r="H17" s="22">
        <f t="shared" si="2"/>
        <v>0</v>
      </c>
      <c r="I17" s="23">
        <f t="shared" si="0"/>
        <v>0</v>
      </c>
      <c r="J17" s="23"/>
      <c r="K17" s="108">
        <f t="shared" si="4"/>
        <v>0.13530984778723265</v>
      </c>
    </row>
    <row r="18" spans="1:11" s="1" customFormat="1" x14ac:dyDescent="0.2">
      <c r="A18" s="61" t="s">
        <v>37</v>
      </c>
      <c r="B18" s="29"/>
      <c r="C18" s="30"/>
      <c r="D18" s="30">
        <f>SUM(D15:D17)</f>
        <v>73.140000000000015</v>
      </c>
      <c r="E18" s="77"/>
      <c r="F18" s="30"/>
      <c r="G18" s="30">
        <f>SUM(G15:G17)</f>
        <v>73.140000000000015</v>
      </c>
      <c r="H18" s="31">
        <f t="shared" si="2"/>
        <v>0</v>
      </c>
      <c r="I18" s="32">
        <f t="shared" si="0"/>
        <v>0</v>
      </c>
      <c r="J18" s="33">
        <f t="shared" ref="J18:J26" si="5">G18/$G$46</f>
        <v>0.47377827175521559</v>
      </c>
      <c r="K18" s="62">
        <f t="shared" si="4"/>
        <v>0.4669290996536069</v>
      </c>
    </row>
    <row r="19" spans="1:11" x14ac:dyDescent="0.2">
      <c r="A19" s="107" t="s">
        <v>38</v>
      </c>
      <c r="B19" s="73">
        <v>1</v>
      </c>
      <c r="C19" s="78">
        <f>VLOOKUP($B$3,'Data for Bill Impacts'!$A$6:$Y$18,7,0)</f>
        <v>33.770000000000003</v>
      </c>
      <c r="D19" s="22">
        <f>B19*C19</f>
        <v>33.770000000000003</v>
      </c>
      <c r="E19" s="73">
        <f t="shared" ref="E19:E41" si="6">B19</f>
        <v>1</v>
      </c>
      <c r="F19" s="78">
        <f>VLOOKUP($B$3,'Data for Bill Impacts'!$A$6:$Y$18,17,0)</f>
        <v>37.79</v>
      </c>
      <c r="G19" s="22">
        <f>E19*F19</f>
        <v>37.79</v>
      </c>
      <c r="H19" s="22">
        <f t="shared" si="2"/>
        <v>4.019999999999996</v>
      </c>
      <c r="I19" s="23">
        <f>IF(ISERROR(H19/ABS(D19)),"N/A",(H19/ABS(D19)))</f>
        <v>0.11904056855196908</v>
      </c>
      <c r="J19" s="23">
        <f t="shared" si="5"/>
        <v>0.24479191809720524</v>
      </c>
      <c r="K19" s="108">
        <f t="shared" si="4"/>
        <v>0.24125308553335795</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121">
        <f>VLOOKUP($B$3,'Data for Bill Impacts'!$A$6:$Y$18,13,0)</f>
        <v>0.82</v>
      </c>
      <c r="D21" s="22">
        <f t="shared" si="7"/>
        <v>0.82</v>
      </c>
      <c r="E21" s="73">
        <f t="shared" si="6"/>
        <v>1</v>
      </c>
      <c r="F21" s="121">
        <f>VLOOKUP($B$3,'Data for Bill Impacts'!$A$6:$Y$18,22,0)</f>
        <v>4.0000000000000001E-3</v>
      </c>
      <c r="G21" s="22">
        <f t="shared" si="8"/>
        <v>4.0000000000000001E-3</v>
      </c>
      <c r="H21" s="22">
        <f t="shared" si="2"/>
        <v>-0.81599999999999995</v>
      </c>
      <c r="I21" s="23">
        <f t="shared" si="9"/>
        <v>-0.99512195121951219</v>
      </c>
      <c r="J21" s="23">
        <f t="shared" si="5"/>
        <v>2.5910761375729585E-5</v>
      </c>
      <c r="K21" s="108">
        <f t="shared" si="4"/>
        <v>2.5536182644441171E-5</v>
      </c>
    </row>
    <row r="22" spans="1:11" hidden="1" x14ac:dyDescent="0.2">
      <c r="A22" s="107" t="s">
        <v>123</v>
      </c>
      <c r="B22" s="73">
        <f>B4</f>
        <v>750</v>
      </c>
      <c r="C22" s="125">
        <v>0</v>
      </c>
      <c r="D22" s="22">
        <f>B22*C22</f>
        <v>0</v>
      </c>
      <c r="E22" s="73">
        <f>B22</f>
        <v>750</v>
      </c>
      <c r="F22" s="78">
        <f>C22</f>
        <v>0</v>
      </c>
      <c r="G22" s="22">
        <f>E22*F22</f>
        <v>0</v>
      </c>
      <c r="H22" s="22">
        <f>G22-D22</f>
        <v>0</v>
      </c>
      <c r="I22" s="23" t="str">
        <f t="shared" si="9"/>
        <v>N/A</v>
      </c>
      <c r="J22" s="23">
        <f t="shared" si="5"/>
        <v>0</v>
      </c>
      <c r="K22" s="108">
        <f t="shared" si="4"/>
        <v>0</v>
      </c>
    </row>
    <row r="23" spans="1:11" x14ac:dyDescent="0.2">
      <c r="A23" s="107" t="s">
        <v>39</v>
      </c>
      <c r="B23" s="73">
        <f>IF($B$9="kWh",$B$4,$B$5)</f>
        <v>750</v>
      </c>
      <c r="C23" s="125">
        <f>VLOOKUP($B$3,'Data for Bill Impacts'!$A$6:$Y$18,10,0)</f>
        <v>2.3E-2</v>
      </c>
      <c r="D23" s="22">
        <f>B23*C23</f>
        <v>17.25</v>
      </c>
      <c r="E23" s="73">
        <f t="shared" si="6"/>
        <v>750</v>
      </c>
      <c r="F23" s="125">
        <f>VLOOKUP($B$3,'Data for Bill Impacts'!$A$6:$Y$18,19,0)</f>
        <v>2.18E-2</v>
      </c>
      <c r="G23" s="22">
        <f>E23*F23</f>
        <v>16.350000000000001</v>
      </c>
      <c r="H23" s="22">
        <f t="shared" si="2"/>
        <v>-0.89999999999999858</v>
      </c>
      <c r="I23" s="23">
        <f t="shared" si="9"/>
        <v>-5.2173913043478182E-2</v>
      </c>
      <c r="J23" s="23">
        <f t="shared" si="5"/>
        <v>0.10591023712329468</v>
      </c>
      <c r="K23" s="108">
        <f t="shared" si="4"/>
        <v>0.1043791465591533</v>
      </c>
    </row>
    <row r="24" spans="1:11" x14ac:dyDescent="0.2">
      <c r="A24" s="107" t="s">
        <v>124</v>
      </c>
      <c r="B24" s="73">
        <f>IF($B$9="kWh",$B$4,$B$5)</f>
        <v>750</v>
      </c>
      <c r="C24" s="125">
        <f>VLOOKUP($B$3,'Data for Bill Impacts'!$A$6:$Y$18,14,0)</f>
        <v>-2.0000000000000001E-4</v>
      </c>
      <c r="D24" s="22">
        <f>B24*C24</f>
        <v>-0.15</v>
      </c>
      <c r="E24" s="73">
        <f>B24</f>
        <v>750</v>
      </c>
      <c r="F24" s="125">
        <f>VLOOKUP($B$3,'Data for Bill Impacts'!$A$6:$Y$18,23,0)</f>
        <v>2.0000000000000002E-5</v>
      </c>
      <c r="G24" s="22">
        <f>E24*F24</f>
        <v>1.5000000000000001E-2</v>
      </c>
      <c r="H24" s="22">
        <f>G24-D24</f>
        <v>0.16500000000000001</v>
      </c>
      <c r="I24" s="23">
        <f t="shared" si="9"/>
        <v>1.1000000000000001</v>
      </c>
      <c r="J24" s="23">
        <f t="shared" si="5"/>
        <v>9.7165355158985956E-5</v>
      </c>
      <c r="K24" s="108">
        <f t="shared" si="4"/>
        <v>9.5760684916654403E-5</v>
      </c>
    </row>
    <row r="25" spans="1:11" s="1" customFormat="1" x14ac:dyDescent="0.2">
      <c r="A25" s="110" t="s">
        <v>72</v>
      </c>
      <c r="B25" s="74"/>
      <c r="C25" s="35"/>
      <c r="D25" s="35">
        <f>SUM(D19:D24)</f>
        <v>51.690000000000005</v>
      </c>
      <c r="E25" s="73"/>
      <c r="F25" s="35"/>
      <c r="G25" s="35">
        <f>SUM(G19:G24)</f>
        <v>54.158999999999999</v>
      </c>
      <c r="H25" s="35">
        <f t="shared" si="2"/>
        <v>2.4689999999999941</v>
      </c>
      <c r="I25" s="36">
        <f t="shared" si="9"/>
        <v>4.776552524666268E-2</v>
      </c>
      <c r="J25" s="36">
        <f t="shared" si="5"/>
        <v>0.35082523133703464</v>
      </c>
      <c r="K25" s="111">
        <f t="shared" si="4"/>
        <v>0.34575352896007233</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5.117375371706593E-3</v>
      </c>
      <c r="K26" s="108">
        <f t="shared" si="4"/>
        <v>5.0433960722771317E-3</v>
      </c>
    </row>
    <row r="27" spans="1:11" s="1" customFormat="1" x14ac:dyDescent="0.2">
      <c r="A27" s="119" t="s">
        <v>75</v>
      </c>
      <c r="B27" s="120">
        <f>B8-B4</f>
        <v>57</v>
      </c>
      <c r="C27" s="176">
        <f>IF(B4&gt;B7,C13,C12)</f>
        <v>0.106</v>
      </c>
      <c r="D27" s="22">
        <f>B27*C27</f>
        <v>6.0419999999999998</v>
      </c>
      <c r="E27" s="73">
        <f>B27</f>
        <v>57</v>
      </c>
      <c r="F27" s="176">
        <f>C27</f>
        <v>0.106</v>
      </c>
      <c r="G27" s="22">
        <f>E27*F27</f>
        <v>6.0419999999999998</v>
      </c>
      <c r="H27" s="22">
        <f t="shared" si="2"/>
        <v>0</v>
      </c>
      <c r="I27" s="23">
        <f t="shared" si="9"/>
        <v>0</v>
      </c>
      <c r="J27" s="23">
        <f t="shared" ref="J27:J46" si="10">G27/$G$46</f>
        <v>3.9138205058039541E-2</v>
      </c>
      <c r="K27" s="108">
        <f t="shared" ref="K27:K41" si="11">G27/$G$51</f>
        <v>3.857240388442839E-2</v>
      </c>
    </row>
    <row r="28" spans="1:11" s="1" customFormat="1" x14ac:dyDescent="0.2">
      <c r="A28" s="119" t="s">
        <v>74</v>
      </c>
      <c r="B28" s="120">
        <f>B8-B4</f>
        <v>57</v>
      </c>
      <c r="C28" s="176">
        <f>0.65*C15+0.17*C16+0.18*C17</f>
        <v>9.7519999999999996E-2</v>
      </c>
      <c r="D28" s="22">
        <f>B28*C28</f>
        <v>5.5586399999999996</v>
      </c>
      <c r="E28" s="73">
        <f>B28</f>
        <v>57</v>
      </c>
      <c r="F28" s="176">
        <f>C28</f>
        <v>9.7519999999999996E-2</v>
      </c>
      <c r="G28" s="22">
        <f>E28*F28</f>
        <v>5.5586399999999996</v>
      </c>
      <c r="H28" s="22">
        <f t="shared" si="2"/>
        <v>0</v>
      </c>
      <c r="I28" s="23">
        <f t="shared" si="9"/>
        <v>0</v>
      </c>
      <c r="J28" s="23">
        <f t="shared" si="10"/>
        <v>3.6007148653396374E-2</v>
      </c>
      <c r="K28" s="108">
        <f t="shared" si="11"/>
        <v>3.5486611573674116E-2</v>
      </c>
    </row>
    <row r="29" spans="1:11" s="1" customFormat="1" x14ac:dyDescent="0.2">
      <c r="A29" s="110" t="s">
        <v>78</v>
      </c>
      <c r="B29" s="74"/>
      <c r="C29" s="35"/>
      <c r="D29" s="35">
        <f>SUM(D25,D26:D27)</f>
        <v>58.522000000000006</v>
      </c>
      <c r="E29" s="73"/>
      <c r="F29" s="35"/>
      <c r="G29" s="35">
        <f>SUM(G25,G26:G27)</f>
        <v>60.991</v>
      </c>
      <c r="H29" s="35">
        <f t="shared" si="2"/>
        <v>2.4689999999999941</v>
      </c>
      <c r="I29" s="36">
        <f t="shared" si="9"/>
        <v>4.2189262157820887E-2</v>
      </c>
      <c r="J29" s="36">
        <f t="shared" si="10"/>
        <v>0.39508081176678078</v>
      </c>
      <c r="K29" s="111">
        <f t="shared" si="11"/>
        <v>0.38936932891677783</v>
      </c>
    </row>
    <row r="30" spans="1:11" s="1" customFormat="1" x14ac:dyDescent="0.2">
      <c r="A30" s="110" t="s">
        <v>77</v>
      </c>
      <c r="B30" s="74"/>
      <c r="C30" s="35"/>
      <c r="D30" s="35">
        <f>SUM(D25,D26,D28)</f>
        <v>58.038640000000001</v>
      </c>
      <c r="E30" s="73"/>
      <c r="F30" s="35"/>
      <c r="G30" s="35">
        <f>SUM(G25,G26,G28)</f>
        <v>60.507639999999995</v>
      </c>
      <c r="H30" s="35">
        <f t="shared" si="2"/>
        <v>2.4689999999999941</v>
      </c>
      <c r="I30" s="36">
        <f t="shared" si="9"/>
        <v>4.2540624659709363E-2</v>
      </c>
      <c r="J30" s="36">
        <f t="shared" si="10"/>
        <v>0.39194975536213761</v>
      </c>
      <c r="K30" s="111">
        <f t="shared" si="11"/>
        <v>0.38628353660602355</v>
      </c>
    </row>
    <row r="31" spans="1:11" x14ac:dyDescent="0.2">
      <c r="A31" s="107" t="s">
        <v>40</v>
      </c>
      <c r="B31" s="73">
        <f>B8</f>
        <v>807</v>
      </c>
      <c r="C31" s="78">
        <f>VLOOKUP($B$3,'Data for Bill Impacts'!$A$6:$Y$18,15,0)</f>
        <v>6.4000000000000003E-3</v>
      </c>
      <c r="D31" s="22">
        <f>B31*C31</f>
        <v>5.1648000000000005</v>
      </c>
      <c r="E31" s="73">
        <f t="shared" si="6"/>
        <v>807</v>
      </c>
      <c r="F31" s="125">
        <f>VLOOKUP($B$3,'Data for Bill Impacts'!$A$6:$Y$18,24,0)</f>
        <v>7.2069999999999999E-3</v>
      </c>
      <c r="G31" s="22">
        <f>E31*F31</f>
        <v>5.8160489999999996</v>
      </c>
      <c r="H31" s="22">
        <f t="shared" si="2"/>
        <v>0.65124899999999908</v>
      </c>
      <c r="I31" s="23">
        <f t="shared" si="9"/>
        <v>0.12609374999999981</v>
      </c>
      <c r="J31" s="23">
        <f t="shared" si="10"/>
        <v>3.7674564447137668E-2</v>
      </c>
      <c r="K31" s="108">
        <f t="shared" si="11"/>
        <v>3.7129922383254854E-2</v>
      </c>
    </row>
    <row r="32" spans="1:11" x14ac:dyDescent="0.2">
      <c r="A32" s="107" t="s">
        <v>41</v>
      </c>
      <c r="B32" s="73">
        <f>B8</f>
        <v>807</v>
      </c>
      <c r="C32" s="78">
        <f>VLOOKUP($B$3,'Data for Bill Impacts'!$A$6:$Y$18,16,0)</f>
        <v>4.7000000000000002E-3</v>
      </c>
      <c r="D32" s="22">
        <f>B32*C32</f>
        <v>3.7928999999999999</v>
      </c>
      <c r="E32" s="73">
        <f t="shared" si="6"/>
        <v>807</v>
      </c>
      <c r="F32" s="125">
        <f>VLOOKUP($B$3,'Data for Bill Impacts'!$A$6:$Y$18,25,0)</f>
        <v>6.0319999999999992E-3</v>
      </c>
      <c r="G32" s="22">
        <f>E32*F32</f>
        <v>4.8678239999999997</v>
      </c>
      <c r="H32" s="22">
        <f t="shared" si="2"/>
        <v>1.0749239999999998</v>
      </c>
      <c r="I32" s="23">
        <f t="shared" si="9"/>
        <v>0.28340425531914887</v>
      </c>
      <c r="J32" s="23">
        <f t="shared" si="10"/>
        <v>3.1532256520762372E-2</v>
      </c>
      <c r="K32" s="108">
        <f t="shared" si="11"/>
        <v>3.1076410686248546E-2</v>
      </c>
    </row>
    <row r="33" spans="1:11" s="1" customFormat="1" x14ac:dyDescent="0.2">
      <c r="A33" s="110" t="s">
        <v>76</v>
      </c>
      <c r="B33" s="74"/>
      <c r="C33" s="35"/>
      <c r="D33" s="35">
        <f>SUM(D31:D32)</f>
        <v>8.9577000000000009</v>
      </c>
      <c r="E33" s="73"/>
      <c r="F33" s="35"/>
      <c r="G33" s="35">
        <f>SUM(G31:G32)</f>
        <v>10.683872999999998</v>
      </c>
      <c r="H33" s="35">
        <f t="shared" si="2"/>
        <v>1.7261729999999975</v>
      </c>
      <c r="I33" s="36">
        <f t="shared" si="9"/>
        <v>0.1927027027027024</v>
      </c>
      <c r="J33" s="36">
        <f t="shared" si="10"/>
        <v>6.9206820967900026E-2</v>
      </c>
      <c r="K33" s="111">
        <f t="shared" si="11"/>
        <v>6.8206333069503397E-2</v>
      </c>
    </row>
    <row r="34" spans="1:11" s="1" customFormat="1" x14ac:dyDescent="0.2">
      <c r="A34" s="110" t="s">
        <v>91</v>
      </c>
      <c r="B34" s="74"/>
      <c r="C34" s="35"/>
      <c r="D34" s="35">
        <f>D29+D33</f>
        <v>67.479700000000008</v>
      </c>
      <c r="E34" s="73"/>
      <c r="F34" s="35"/>
      <c r="G34" s="35">
        <f>G29+G33</f>
        <v>71.674872999999991</v>
      </c>
      <c r="H34" s="35">
        <f t="shared" si="2"/>
        <v>4.1951729999999827</v>
      </c>
      <c r="I34" s="36">
        <f t="shared" si="9"/>
        <v>6.2169407984919649E-2</v>
      </c>
      <c r="J34" s="36">
        <f t="shared" si="10"/>
        <v>0.46428763273468077</v>
      </c>
      <c r="K34" s="111">
        <f t="shared" si="11"/>
        <v>0.45757566198628119</v>
      </c>
    </row>
    <row r="35" spans="1:11" s="1" customFormat="1" x14ac:dyDescent="0.2">
      <c r="A35" s="110" t="s">
        <v>92</v>
      </c>
      <c r="B35" s="74"/>
      <c r="C35" s="35"/>
      <c r="D35" s="35">
        <f>D30+D33</f>
        <v>66.996340000000004</v>
      </c>
      <c r="E35" s="73"/>
      <c r="F35" s="35"/>
      <c r="G35" s="35">
        <f>G30+G33</f>
        <v>71.191512999999986</v>
      </c>
      <c r="H35" s="35">
        <f t="shared" si="2"/>
        <v>4.1951729999999827</v>
      </c>
      <c r="I35" s="36">
        <f t="shared" si="9"/>
        <v>6.2617943010020882E-2</v>
      </c>
      <c r="J35" s="36">
        <f t="shared" si="10"/>
        <v>0.46115657633003759</v>
      </c>
      <c r="K35" s="111">
        <f t="shared" si="11"/>
        <v>0.4544898696755269</v>
      </c>
    </row>
    <row r="36" spans="1:11" x14ac:dyDescent="0.2">
      <c r="A36" s="107" t="s">
        <v>42</v>
      </c>
      <c r="B36" s="73">
        <f>B8</f>
        <v>807</v>
      </c>
      <c r="C36" s="34">
        <v>3.5999999999999999E-3</v>
      </c>
      <c r="D36" s="22">
        <f>B36*C36</f>
        <v>2.9051999999999998</v>
      </c>
      <c r="E36" s="73">
        <f t="shared" si="6"/>
        <v>807</v>
      </c>
      <c r="F36" s="34">
        <v>3.5999999999999999E-3</v>
      </c>
      <c r="G36" s="22">
        <f>E36*F36</f>
        <v>2.9051999999999998</v>
      </c>
      <c r="H36" s="22">
        <f t="shared" si="2"/>
        <v>0</v>
      </c>
      <c r="I36" s="23">
        <f t="shared" si="9"/>
        <v>0</v>
      </c>
      <c r="J36" s="23">
        <f t="shared" si="10"/>
        <v>1.8818985987192397E-2</v>
      </c>
      <c r="K36" s="108">
        <f t="shared" si="11"/>
        <v>1.8546929454657621E-2</v>
      </c>
    </row>
    <row r="37" spans="1:11" x14ac:dyDescent="0.2">
      <c r="A37" s="107" t="s">
        <v>43</v>
      </c>
      <c r="B37" s="73">
        <f>B8</f>
        <v>807</v>
      </c>
      <c r="C37" s="34">
        <v>2.0999999999999999E-3</v>
      </c>
      <c r="D37" s="22">
        <f>B37*C37</f>
        <v>1.6946999999999999</v>
      </c>
      <c r="E37" s="73">
        <f t="shared" si="6"/>
        <v>807</v>
      </c>
      <c r="F37" s="34">
        <v>2.0999999999999999E-3</v>
      </c>
      <c r="G37" s="22">
        <f>E37*F37</f>
        <v>1.6946999999999999</v>
      </c>
      <c r="H37" s="22">
        <f>G37-D37</f>
        <v>0</v>
      </c>
      <c r="I37" s="23">
        <f t="shared" si="9"/>
        <v>0</v>
      </c>
      <c r="J37" s="23">
        <f t="shared" si="10"/>
        <v>1.0977741825862232E-2</v>
      </c>
      <c r="K37" s="108">
        <f t="shared" si="11"/>
        <v>1.0819042181883612E-2</v>
      </c>
    </row>
    <row r="38" spans="1:11" x14ac:dyDescent="0.2">
      <c r="A38" s="107" t="s">
        <v>96</v>
      </c>
      <c r="B38" s="73">
        <f>B8</f>
        <v>807</v>
      </c>
      <c r="C38" s="34">
        <v>0</v>
      </c>
      <c r="D38" s="22">
        <f>B38*C38</f>
        <v>0</v>
      </c>
      <c r="E38" s="73">
        <f t="shared" si="6"/>
        <v>807</v>
      </c>
      <c r="F38" s="34">
        <v>0</v>
      </c>
      <c r="G38" s="22">
        <f>E38*F38</f>
        <v>0</v>
      </c>
      <c r="H38" s="22">
        <f>G38-D38</f>
        <v>0</v>
      </c>
      <c r="I38" s="23" t="str">
        <f t="shared" si="9"/>
        <v>N/A</v>
      </c>
      <c r="J38" s="23">
        <f t="shared" ref="J38" si="12">G38/$G$46</f>
        <v>0</v>
      </c>
      <c r="K38" s="108">
        <f t="shared" ref="K38" si="13">G38/$G$51</f>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1.619422585983099E-3</v>
      </c>
      <c r="K39" s="108">
        <f t="shared" si="11"/>
        <v>1.5960114152775732E-3</v>
      </c>
    </row>
    <row r="40" spans="1:11" s="1" customFormat="1" x14ac:dyDescent="0.2">
      <c r="A40" s="110" t="s">
        <v>45</v>
      </c>
      <c r="B40" s="74"/>
      <c r="C40" s="35"/>
      <c r="D40" s="35">
        <f>SUM(D36:D39)</f>
        <v>4.8498999999999999</v>
      </c>
      <c r="E40" s="73"/>
      <c r="F40" s="35"/>
      <c r="G40" s="35">
        <f>SUM(G36:G39)</f>
        <v>4.8498999999999999</v>
      </c>
      <c r="H40" s="35">
        <f t="shared" si="2"/>
        <v>0</v>
      </c>
      <c r="I40" s="36">
        <f t="shared" si="9"/>
        <v>0</v>
      </c>
      <c r="J40" s="36">
        <f t="shared" si="10"/>
        <v>3.141615039903773E-2</v>
      </c>
      <c r="K40" s="111">
        <f t="shared" si="11"/>
        <v>3.0961983051818808E-2</v>
      </c>
    </row>
    <row r="41" spans="1:11" s="1" customFormat="1" ht="13.5" thickBot="1" x14ac:dyDescent="0.25">
      <c r="A41" s="112" t="s">
        <v>46</v>
      </c>
      <c r="B41" s="113">
        <f>B4</f>
        <v>750</v>
      </c>
      <c r="C41" s="114">
        <v>0</v>
      </c>
      <c r="D41" s="115">
        <f>B41*C41</f>
        <v>0</v>
      </c>
      <c r="E41" s="116">
        <f t="shared" si="6"/>
        <v>750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142.82959999999997</v>
      </c>
      <c r="E42" s="38"/>
      <c r="F42" s="39"/>
      <c r="G42" s="39">
        <f>SUM(G14,G25,G26,G27,G33,G40,G41)</f>
        <v>147.02477299999998</v>
      </c>
      <c r="H42" s="39">
        <f t="shared" si="2"/>
        <v>4.1951730000000111</v>
      </c>
      <c r="I42" s="40">
        <f t="shared" si="9"/>
        <v>2.937187389728748E-2</v>
      </c>
      <c r="J42" s="40">
        <f t="shared" si="10"/>
        <v>0.95238095238095233</v>
      </c>
      <c r="K42" s="41"/>
    </row>
    <row r="43" spans="1:11" x14ac:dyDescent="0.2">
      <c r="A43" s="153" t="s">
        <v>106</v>
      </c>
      <c r="B43" s="43"/>
      <c r="C43" s="26">
        <v>0.13</v>
      </c>
      <c r="D43" s="26">
        <f>D42*C43</f>
        <v>18.567847999999998</v>
      </c>
      <c r="E43" s="26"/>
      <c r="F43" s="26">
        <f>C43</f>
        <v>0.13</v>
      </c>
      <c r="G43" s="26">
        <f>G42*F43</f>
        <v>19.11322049</v>
      </c>
      <c r="H43" s="26">
        <f t="shared" si="2"/>
        <v>0.54537249000000187</v>
      </c>
      <c r="I43" s="44">
        <f t="shared" si="9"/>
        <v>2.9371873897287501E-2</v>
      </c>
      <c r="J43" s="44">
        <f t="shared" si="10"/>
        <v>0.12380952380952383</v>
      </c>
      <c r="K43" s="45"/>
    </row>
    <row r="44" spans="1:11" s="1" customFormat="1" x14ac:dyDescent="0.2">
      <c r="A44" s="46" t="s">
        <v>107</v>
      </c>
      <c r="B44" s="24"/>
      <c r="C44" s="25"/>
      <c r="D44" s="25">
        <f>SUM(D42:D43)</f>
        <v>161.39744799999997</v>
      </c>
      <c r="E44" s="25"/>
      <c r="F44" s="25"/>
      <c r="G44" s="25">
        <f>SUM(G42:G43)</f>
        <v>166.13799348999999</v>
      </c>
      <c r="H44" s="25">
        <f t="shared" si="2"/>
        <v>4.7405454900000166</v>
      </c>
      <c r="I44" s="27">
        <f t="shared" si="9"/>
        <v>2.9371873897287504E-2</v>
      </c>
      <c r="J44" s="27">
        <f t="shared" si="10"/>
        <v>1.0761904761904761</v>
      </c>
      <c r="K44" s="47"/>
    </row>
    <row r="45" spans="1:11" x14ac:dyDescent="0.2">
      <c r="A45" s="42" t="s">
        <v>108</v>
      </c>
      <c r="B45" s="43"/>
      <c r="C45" s="26">
        <v>-0.08</v>
      </c>
      <c r="D45" s="26">
        <f>D42*C45</f>
        <v>-11.426367999999998</v>
      </c>
      <c r="E45" s="26"/>
      <c r="F45" s="26">
        <f>C45</f>
        <v>-0.08</v>
      </c>
      <c r="G45" s="26">
        <f>G42*F45</f>
        <v>-11.761981839999999</v>
      </c>
      <c r="H45" s="26">
        <f t="shared" si="2"/>
        <v>-0.33561384000000061</v>
      </c>
      <c r="I45" s="44">
        <f t="shared" si="9"/>
        <v>-2.9371873897287456E-2</v>
      </c>
      <c r="J45" s="44">
        <f t="shared" si="10"/>
        <v>-7.6190476190476197E-2</v>
      </c>
      <c r="K45" s="45"/>
    </row>
    <row r="46" spans="1:11" s="1" customFormat="1" ht="13.5" thickBot="1" x14ac:dyDescent="0.25">
      <c r="A46" s="48" t="s">
        <v>109</v>
      </c>
      <c r="B46" s="49"/>
      <c r="C46" s="50"/>
      <c r="D46" s="50">
        <f>SUM(D44:D45)</f>
        <v>149.97107999999997</v>
      </c>
      <c r="E46" s="50"/>
      <c r="F46" s="50"/>
      <c r="G46" s="50">
        <f>SUM(G44:G45)</f>
        <v>154.37601164999998</v>
      </c>
      <c r="H46" s="50">
        <f t="shared" si="2"/>
        <v>4.4049316500000089</v>
      </c>
      <c r="I46" s="51">
        <f t="shared" si="9"/>
        <v>2.9371873897287463E-2</v>
      </c>
      <c r="J46" s="51">
        <f t="shared" si="10"/>
        <v>1</v>
      </c>
      <c r="K46" s="52"/>
    </row>
    <row r="47" spans="1:11" x14ac:dyDescent="0.2">
      <c r="A47" s="53" t="s">
        <v>110</v>
      </c>
      <c r="B47" s="54"/>
      <c r="C47" s="55"/>
      <c r="D47" s="55">
        <f>SUM(D18,D25,D26,D28,D33,D40,D41)</f>
        <v>144.98624000000001</v>
      </c>
      <c r="E47" s="55"/>
      <c r="F47" s="55"/>
      <c r="G47" s="55">
        <f>SUM(G18,G25,G26,G28,G33,G40,G41)</f>
        <v>149.18141299999999</v>
      </c>
      <c r="H47" s="55">
        <f>G47-D47</f>
        <v>4.1951729999999827</v>
      </c>
      <c r="I47" s="56">
        <f t="shared" si="9"/>
        <v>2.8934973415408127E-2</v>
      </c>
      <c r="J47" s="56"/>
      <c r="K47" s="57">
        <f>G47/$G$51</f>
        <v>0.95238095238095255</v>
      </c>
    </row>
    <row r="48" spans="1:11" x14ac:dyDescent="0.2">
      <c r="A48" s="58" t="s">
        <v>106</v>
      </c>
      <c r="B48" s="59"/>
      <c r="C48" s="31">
        <v>0.13</v>
      </c>
      <c r="D48" s="31">
        <f>D47*C48</f>
        <v>18.848211200000001</v>
      </c>
      <c r="E48" s="31"/>
      <c r="F48" s="31">
        <f>C48</f>
        <v>0.13</v>
      </c>
      <c r="G48" s="31">
        <f>G47*F48</f>
        <v>19.39358369</v>
      </c>
      <c r="H48" s="31">
        <f>G48-D48</f>
        <v>0.54537248999999832</v>
      </c>
      <c r="I48" s="32">
        <f t="shared" si="9"/>
        <v>2.8934973415408159E-2</v>
      </c>
      <c r="J48" s="32"/>
      <c r="K48" s="60">
        <f>G48/$G$51</f>
        <v>0.12380952380952384</v>
      </c>
    </row>
    <row r="49" spans="1:11" x14ac:dyDescent="0.2">
      <c r="A49" s="61" t="s">
        <v>111</v>
      </c>
      <c r="B49" s="29"/>
      <c r="C49" s="30"/>
      <c r="D49" s="30">
        <f>SUM(D47:D48)</f>
        <v>163.83445120000002</v>
      </c>
      <c r="E49" s="30"/>
      <c r="F49" s="30"/>
      <c r="G49" s="30">
        <f>SUM(G47:G48)</f>
        <v>168.57499668999998</v>
      </c>
      <c r="H49" s="30">
        <f>G49-D49</f>
        <v>4.7405454899999597</v>
      </c>
      <c r="I49" s="33">
        <f t="shared" si="9"/>
        <v>2.8934973415407999E-2</v>
      </c>
      <c r="J49" s="33"/>
      <c r="K49" s="62">
        <f>G49/$G$51</f>
        <v>1.0761904761904764</v>
      </c>
    </row>
    <row r="50" spans="1:11" x14ac:dyDescent="0.2">
      <c r="A50" s="58" t="s">
        <v>108</v>
      </c>
      <c r="B50" s="59"/>
      <c r="C50" s="31">
        <v>-0.08</v>
      </c>
      <c r="D50" s="31">
        <f>D47*C50</f>
        <v>-11.598899200000002</v>
      </c>
      <c r="E50" s="31"/>
      <c r="F50" s="31">
        <f>C50</f>
        <v>-0.08</v>
      </c>
      <c r="G50" s="31">
        <f>G47*F50</f>
        <v>-11.934513039999999</v>
      </c>
      <c r="H50" s="31">
        <f>G50-D50</f>
        <v>-0.33561383999999705</v>
      </c>
      <c r="I50" s="32">
        <f t="shared" si="9"/>
        <v>-2.8934973415407989E-2</v>
      </c>
      <c r="J50" s="32"/>
      <c r="K50" s="60">
        <f>G50/$G$51</f>
        <v>-7.6190476190476197E-2</v>
      </c>
    </row>
    <row r="51" spans="1:11" ht="13.5" thickBot="1" x14ac:dyDescent="0.25">
      <c r="A51" s="63" t="s">
        <v>121</v>
      </c>
      <c r="B51" s="64"/>
      <c r="C51" s="65"/>
      <c r="D51" s="65">
        <f>SUM(D49:D50)</f>
        <v>152.23555200000001</v>
      </c>
      <c r="E51" s="65"/>
      <c r="F51" s="65"/>
      <c r="G51" s="65">
        <f>SUM(G49:G50)</f>
        <v>156.64048364999996</v>
      </c>
      <c r="H51" s="65">
        <f>G51-D51</f>
        <v>4.404931649999952</v>
      </c>
      <c r="I51" s="66">
        <f t="shared" si="9"/>
        <v>2.893497341540793E-2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tabSelected="1" view="pageLayout" zoomScaleNormal="100" zoomScaleSheetLayoutView="100" workbookViewId="0">
      <selection sqref="A1:XFD1"/>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0" t="s">
        <v>120</v>
      </c>
      <c r="B1" s="191"/>
      <c r="C1" s="191"/>
      <c r="D1" s="191"/>
      <c r="E1" s="191"/>
      <c r="F1" s="191"/>
      <c r="G1" s="191"/>
      <c r="H1" s="191"/>
      <c r="I1" s="191"/>
      <c r="J1" s="191"/>
      <c r="K1" s="192"/>
    </row>
    <row r="3" spans="1:11" x14ac:dyDescent="0.2">
      <c r="A3" s="13" t="s">
        <v>13</v>
      </c>
      <c r="B3" s="13" t="s">
        <v>1</v>
      </c>
    </row>
    <row r="4" spans="1:11" x14ac:dyDescent="0.2">
      <c r="A4" s="15" t="s">
        <v>62</v>
      </c>
      <c r="B4" s="15">
        <f>VLOOKUP(B3,'Data for Bill Impacts'!A22:D34,3,FALSE)</f>
        <v>920</v>
      </c>
    </row>
    <row r="5" spans="1:11" x14ac:dyDescent="0.2">
      <c r="A5" s="15" t="s">
        <v>16</v>
      </c>
      <c r="B5" s="15">
        <f>VLOOKUP($B$3,'Data for Bill Impacts'!$A$6:$Y$18,5,0)</f>
        <v>0</v>
      </c>
    </row>
    <row r="6" spans="1:11" x14ac:dyDescent="0.2">
      <c r="A6" s="15" t="s">
        <v>20</v>
      </c>
      <c r="B6" s="15">
        <f>VLOOKUP($B$3,'Data for Bill Impacts'!$A$6:$Y$18,2,0)</f>
        <v>1.0760000000000001</v>
      </c>
    </row>
    <row r="7" spans="1:11" x14ac:dyDescent="0.2">
      <c r="A7" s="15" t="s">
        <v>15</v>
      </c>
      <c r="B7" s="15">
        <f>VLOOKUP($B$3,'Data for Bill Impacts'!$A$6:$Y$18,4,0)</f>
        <v>600</v>
      </c>
    </row>
    <row r="8" spans="1:11" x14ac:dyDescent="0.2">
      <c r="A8" s="15" t="s">
        <v>82</v>
      </c>
      <c r="B8" s="168">
        <f>B4*B6</f>
        <v>989.92000000000007</v>
      </c>
    </row>
    <row r="9" spans="1:11" x14ac:dyDescent="0.2">
      <c r="A9" s="15" t="s">
        <v>21</v>
      </c>
      <c r="B9" s="16" t="str">
        <f>VLOOKUP($B$3,'Data for Bill Impacts'!$A$6:$Y$18,6,0)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9.0999999999999998E-2</v>
      </c>
      <c r="D12" s="104">
        <f>B12*C12</f>
        <v>54.6</v>
      </c>
      <c r="E12" s="102">
        <f>B12</f>
        <v>600</v>
      </c>
      <c r="F12" s="103">
        <f>C12</f>
        <v>9.0999999999999998E-2</v>
      </c>
      <c r="G12" s="104">
        <f>E12*F12</f>
        <v>54.6</v>
      </c>
      <c r="H12" s="104">
        <f>G12-D12</f>
        <v>0</v>
      </c>
      <c r="I12" s="105">
        <f t="shared" ref="I12:I18" si="0">IF(ISERROR(H12/ABS(D12)),"N/A",(H12/ABS(D12)))</f>
        <v>0</v>
      </c>
      <c r="J12" s="105">
        <f>G12/$G$46</f>
        <v>0.29955985173254723</v>
      </c>
      <c r="K12" s="106"/>
    </row>
    <row r="13" spans="1:11" x14ac:dyDescent="0.2">
      <c r="A13" s="107" t="s">
        <v>32</v>
      </c>
      <c r="B13" s="73">
        <f>IF(B4&gt;B7,(B4)-B7,0)</f>
        <v>320</v>
      </c>
      <c r="C13" s="21">
        <v>0.106</v>
      </c>
      <c r="D13" s="22">
        <f>B13*C13</f>
        <v>33.92</v>
      </c>
      <c r="E13" s="73">
        <f t="shared" ref="E13:F17" si="1">B13</f>
        <v>320</v>
      </c>
      <c r="F13" s="21">
        <f t="shared" si="1"/>
        <v>0.106</v>
      </c>
      <c r="G13" s="22">
        <f>E13*F13</f>
        <v>33.92</v>
      </c>
      <c r="H13" s="22">
        <f t="shared" ref="H13:H46" si="2">G13-D13</f>
        <v>0</v>
      </c>
      <c r="I13" s="23">
        <f t="shared" si="0"/>
        <v>0</v>
      </c>
      <c r="J13" s="23">
        <f>G13/$G$46</f>
        <v>0.18610018627780225</v>
      </c>
      <c r="K13" s="108"/>
    </row>
    <row r="14" spans="1:11" s="1" customFormat="1" x14ac:dyDescent="0.2">
      <c r="A14" s="46" t="s">
        <v>33</v>
      </c>
      <c r="B14" s="24"/>
      <c r="C14" s="25"/>
      <c r="D14" s="25">
        <f>SUM(D12:D13)</f>
        <v>88.52000000000001</v>
      </c>
      <c r="E14" s="76"/>
      <c r="F14" s="25"/>
      <c r="G14" s="25">
        <f>SUM(G12:G13)</f>
        <v>88.52000000000001</v>
      </c>
      <c r="H14" s="25">
        <f t="shared" si="2"/>
        <v>0</v>
      </c>
      <c r="I14" s="27">
        <f t="shared" si="0"/>
        <v>0</v>
      </c>
      <c r="J14" s="27">
        <f>G14/$G$46</f>
        <v>0.48566003801034952</v>
      </c>
      <c r="K14" s="108"/>
    </row>
    <row r="15" spans="1:11" s="1" customFormat="1" x14ac:dyDescent="0.2">
      <c r="A15" s="109" t="s">
        <v>34</v>
      </c>
      <c r="B15" s="75">
        <f>B4*0.65</f>
        <v>598</v>
      </c>
      <c r="C15" s="28">
        <v>7.6999999999999999E-2</v>
      </c>
      <c r="D15" s="22">
        <f>B15*C15</f>
        <v>46.045999999999999</v>
      </c>
      <c r="E15" s="73">
        <f t="shared" ref="E15:E17" si="3">B15</f>
        <v>598</v>
      </c>
      <c r="F15" s="28">
        <f t="shared" si="1"/>
        <v>7.6999999999999999E-2</v>
      </c>
      <c r="G15" s="22">
        <f>E15*F15</f>
        <v>46.045999999999999</v>
      </c>
      <c r="H15" s="22">
        <f t="shared" si="2"/>
        <v>0</v>
      </c>
      <c r="I15" s="23">
        <f t="shared" si="0"/>
        <v>0</v>
      </c>
      <c r="J15" s="23"/>
      <c r="K15" s="108">
        <f t="shared" ref="K15:K26" si="4">G15/$G$51</f>
        <v>0.25175069692668223</v>
      </c>
    </row>
    <row r="16" spans="1:11" s="1" customFormat="1" x14ac:dyDescent="0.2">
      <c r="A16" s="109" t="s">
        <v>35</v>
      </c>
      <c r="B16" s="75">
        <f>B4*0.17</f>
        <v>156.4</v>
      </c>
      <c r="C16" s="28">
        <v>0.113</v>
      </c>
      <c r="D16" s="22">
        <f>B16*C16</f>
        <v>17.673200000000001</v>
      </c>
      <c r="E16" s="73">
        <f t="shared" si="3"/>
        <v>156.4</v>
      </c>
      <c r="F16" s="28">
        <f t="shared" si="1"/>
        <v>0.113</v>
      </c>
      <c r="G16" s="22">
        <f>E16*F16</f>
        <v>17.673200000000001</v>
      </c>
      <c r="H16" s="22">
        <f t="shared" si="2"/>
        <v>0</v>
      </c>
      <c r="I16" s="23">
        <f t="shared" si="0"/>
        <v>0</v>
      </c>
      <c r="J16" s="23"/>
      <c r="K16" s="108">
        <f t="shared" si="4"/>
        <v>9.6625991767463851E-2</v>
      </c>
    </row>
    <row r="17" spans="1:11" s="1" customFormat="1" x14ac:dyDescent="0.2">
      <c r="A17" s="109" t="s">
        <v>36</v>
      </c>
      <c r="B17" s="75">
        <f>B4*0.18</f>
        <v>165.6</v>
      </c>
      <c r="C17" s="28">
        <v>0.157</v>
      </c>
      <c r="D17" s="22">
        <f>B17*C17</f>
        <v>25.999199999999998</v>
      </c>
      <c r="E17" s="73">
        <f t="shared" si="3"/>
        <v>165.6</v>
      </c>
      <c r="F17" s="28">
        <f t="shared" si="1"/>
        <v>0.157</v>
      </c>
      <c r="G17" s="22">
        <f>E17*F17</f>
        <v>25.999199999999998</v>
      </c>
      <c r="H17" s="22">
        <f t="shared" si="2"/>
        <v>0</v>
      </c>
      <c r="I17" s="23">
        <f t="shared" si="0"/>
        <v>0</v>
      </c>
      <c r="J17" s="23"/>
      <c r="K17" s="108">
        <f t="shared" si="4"/>
        <v>0.14214734655640437</v>
      </c>
    </row>
    <row r="18" spans="1:11" s="1" customFormat="1" x14ac:dyDescent="0.2">
      <c r="A18" s="61" t="s">
        <v>37</v>
      </c>
      <c r="B18" s="29"/>
      <c r="C18" s="30"/>
      <c r="D18" s="30">
        <f>SUM(D15:D17)</f>
        <v>89.718400000000003</v>
      </c>
      <c r="E18" s="77"/>
      <c r="F18" s="30"/>
      <c r="G18" s="30">
        <f>SUM(G15:G17)</f>
        <v>89.718400000000003</v>
      </c>
      <c r="H18" s="31">
        <f t="shared" si="2"/>
        <v>0</v>
      </c>
      <c r="I18" s="32">
        <f t="shared" si="0"/>
        <v>0</v>
      </c>
      <c r="J18" s="33">
        <f t="shared" ref="J18:J26" si="5">G18/$G$46</f>
        <v>0.49223499270478693</v>
      </c>
      <c r="K18" s="62">
        <f t="shared" si="4"/>
        <v>0.49052403525055044</v>
      </c>
    </row>
    <row r="19" spans="1:11" x14ac:dyDescent="0.2">
      <c r="A19" s="107" t="s">
        <v>38</v>
      </c>
      <c r="B19" s="73">
        <v>1</v>
      </c>
      <c r="C19" s="78">
        <f>VLOOKUP($B$3,'Data for Bill Impacts'!$A$6:$Y$18,7,0)</f>
        <v>33.770000000000003</v>
      </c>
      <c r="D19" s="22">
        <f>B19*C19</f>
        <v>33.770000000000003</v>
      </c>
      <c r="E19" s="73">
        <f t="shared" ref="E19:E41" si="6">B19</f>
        <v>1</v>
      </c>
      <c r="F19" s="78">
        <f>VLOOKUP($B$3,'Data for Bill Impacts'!$A$6:$Y$18,17,0)</f>
        <v>37.79</v>
      </c>
      <c r="G19" s="22">
        <f>E19*F19</f>
        <v>37.79</v>
      </c>
      <c r="H19" s="22">
        <f t="shared" si="2"/>
        <v>4.019999999999996</v>
      </c>
      <c r="I19" s="23">
        <f>IF(ISERROR(H19/ABS(D19)),"N/A",(H19/ABS(D19)))</f>
        <v>0.11904056855196908</v>
      </c>
      <c r="J19" s="23">
        <f t="shared" si="5"/>
        <v>0.20733272521928497</v>
      </c>
      <c r="K19" s="108">
        <f t="shared" si="4"/>
        <v>0.20661205830819879</v>
      </c>
    </row>
    <row r="20" spans="1:11" hidden="1" x14ac:dyDescent="0.2">
      <c r="A20" s="107" t="s">
        <v>113</v>
      </c>
      <c r="B20" s="73">
        <v>1</v>
      </c>
      <c r="C20" s="78">
        <v>0</v>
      </c>
      <c r="D20" s="22">
        <f t="shared" ref="D20:D21" si="7">B20*C20</f>
        <v>0</v>
      </c>
      <c r="E20" s="73">
        <f t="shared" si="6"/>
        <v>1</v>
      </c>
      <c r="F20" s="121">
        <v>0</v>
      </c>
      <c r="G20" s="22">
        <f t="shared" ref="G20:G21" si="8">E20*F20</f>
        <v>0</v>
      </c>
      <c r="H20" s="22">
        <f t="shared" si="2"/>
        <v>0</v>
      </c>
      <c r="I20" s="23" t="str">
        <f t="shared" ref="I20:I51" si="9">IF(ISERROR(H20/ABS(D20)),"N/A",(H20/ABS(D20)))</f>
        <v>N/A</v>
      </c>
      <c r="J20" s="23">
        <f t="shared" si="5"/>
        <v>0</v>
      </c>
      <c r="K20" s="108">
        <f t="shared" si="4"/>
        <v>0</v>
      </c>
    </row>
    <row r="21" spans="1:11" x14ac:dyDescent="0.2">
      <c r="A21" s="107" t="s">
        <v>85</v>
      </c>
      <c r="B21" s="73">
        <v>1</v>
      </c>
      <c r="C21" s="121">
        <f>VLOOKUP($B$3,'Data for Bill Impacts'!$A$6:$Y$18,13,0)</f>
        <v>0.82</v>
      </c>
      <c r="D21" s="22">
        <f t="shared" si="7"/>
        <v>0.82</v>
      </c>
      <c r="E21" s="73">
        <f t="shared" si="6"/>
        <v>1</v>
      </c>
      <c r="F21" s="121">
        <f>VLOOKUP($B$3,'Data for Bill Impacts'!$A$6:$Y$18,22,0)</f>
        <v>4.0000000000000001E-3</v>
      </c>
      <c r="G21" s="22">
        <f t="shared" si="8"/>
        <v>4.0000000000000001E-3</v>
      </c>
      <c r="H21" s="22">
        <f t="shared" si="2"/>
        <v>-0.81599999999999995</v>
      </c>
      <c r="I21" s="23">
        <f t="shared" si="9"/>
        <v>-0.99512195121951219</v>
      </c>
      <c r="J21" s="23">
        <f t="shared" si="5"/>
        <v>2.1945776683703094E-5</v>
      </c>
      <c r="K21" s="108">
        <f t="shared" si="4"/>
        <v>2.186949545469159E-5</v>
      </c>
    </row>
    <row r="22" spans="1:11" hidden="1" x14ac:dyDescent="0.2">
      <c r="A22" s="107" t="s">
        <v>123</v>
      </c>
      <c r="B22" s="73">
        <f>B4</f>
        <v>920</v>
      </c>
      <c r="C22" s="125">
        <v>0</v>
      </c>
      <c r="D22" s="22">
        <f>B22*C22</f>
        <v>0</v>
      </c>
      <c r="E22" s="73">
        <f>B22</f>
        <v>920</v>
      </c>
      <c r="F22" s="78">
        <f>C22</f>
        <v>0</v>
      </c>
      <c r="G22" s="22">
        <f>E22*F22</f>
        <v>0</v>
      </c>
      <c r="H22" s="22">
        <f>G22-D22</f>
        <v>0</v>
      </c>
      <c r="I22" s="23" t="str">
        <f t="shared" si="9"/>
        <v>N/A</v>
      </c>
      <c r="J22" s="23">
        <f t="shared" si="5"/>
        <v>0</v>
      </c>
      <c r="K22" s="108">
        <f t="shared" si="4"/>
        <v>0</v>
      </c>
    </row>
    <row r="23" spans="1:11" x14ac:dyDescent="0.2">
      <c r="A23" s="107" t="s">
        <v>39</v>
      </c>
      <c r="B23" s="73">
        <f>IF($B$9="kWh",$B$4,$B$5)</f>
        <v>920</v>
      </c>
      <c r="C23" s="125">
        <f>VLOOKUP($B$3,'Data for Bill Impacts'!$A$6:$Y$18,10,0)</f>
        <v>2.3E-2</v>
      </c>
      <c r="D23" s="22">
        <f>B23*C23</f>
        <v>21.16</v>
      </c>
      <c r="E23" s="73">
        <f t="shared" si="6"/>
        <v>920</v>
      </c>
      <c r="F23" s="125">
        <f>VLOOKUP($B$3,'Data for Bill Impacts'!$A$6:$Y$18,19,0)</f>
        <v>2.18E-2</v>
      </c>
      <c r="G23" s="22">
        <f>E23*F23</f>
        <v>20.056000000000001</v>
      </c>
      <c r="H23" s="22">
        <f t="shared" si="2"/>
        <v>-1.1039999999999992</v>
      </c>
      <c r="I23" s="23">
        <f t="shared" si="9"/>
        <v>-5.2173913043478223E-2</v>
      </c>
      <c r="J23" s="23">
        <f t="shared" si="5"/>
        <v>0.11003612429208731</v>
      </c>
      <c r="K23" s="108">
        <f t="shared" si="4"/>
        <v>0.10965365020982364</v>
      </c>
    </row>
    <row r="24" spans="1:11" x14ac:dyDescent="0.2">
      <c r="A24" s="107" t="s">
        <v>124</v>
      </c>
      <c r="B24" s="73">
        <f>IF($B$9="kWh",$B$4,$B$5)</f>
        <v>920</v>
      </c>
      <c r="C24" s="125">
        <f>VLOOKUP($B$3,'Data for Bill Impacts'!$A$6:$Y$18,14,0)</f>
        <v>-2.0000000000000001E-4</v>
      </c>
      <c r="D24" s="22">
        <f>B24*C24</f>
        <v>-0.184</v>
      </c>
      <c r="E24" s="73">
        <f>B24</f>
        <v>920</v>
      </c>
      <c r="F24" s="125">
        <f>VLOOKUP($B$3,'Data for Bill Impacts'!$A$6:$Y$18,23,0)</f>
        <v>2.0000000000000002E-5</v>
      </c>
      <c r="G24" s="22">
        <f>E24*F24</f>
        <v>1.8400000000000003E-2</v>
      </c>
      <c r="H24" s="22">
        <f>G24-D24</f>
        <v>0.2024</v>
      </c>
      <c r="I24" s="23">
        <f t="shared" si="9"/>
        <v>1.1000000000000001</v>
      </c>
      <c r="J24" s="23">
        <f t="shared" si="5"/>
        <v>1.0095057274503425E-4</v>
      </c>
      <c r="K24" s="108">
        <f t="shared" si="4"/>
        <v>1.0059967909158133E-4</v>
      </c>
    </row>
    <row r="25" spans="1:11" s="1" customFormat="1" x14ac:dyDescent="0.2">
      <c r="A25" s="110" t="s">
        <v>72</v>
      </c>
      <c r="B25" s="74"/>
      <c r="C25" s="35"/>
      <c r="D25" s="35">
        <f>SUM(D19:D24)</f>
        <v>55.566000000000003</v>
      </c>
      <c r="E25" s="73"/>
      <c r="F25" s="35"/>
      <c r="G25" s="35">
        <f>SUM(G19:G24)</f>
        <v>57.868399999999994</v>
      </c>
      <c r="H25" s="35">
        <f t="shared" si="2"/>
        <v>2.3023999999999916</v>
      </c>
      <c r="I25" s="36">
        <f t="shared" si="9"/>
        <v>4.1435410142892981E-2</v>
      </c>
      <c r="J25" s="36">
        <f t="shared" si="5"/>
        <v>0.31749174586080098</v>
      </c>
      <c r="K25" s="111">
        <f t="shared" si="4"/>
        <v>0.31638817769256866</v>
      </c>
    </row>
    <row r="26" spans="1:11" s="1" customFormat="1" x14ac:dyDescent="0.2">
      <c r="A26" s="119" t="s">
        <v>73</v>
      </c>
      <c r="B26" s="120">
        <v>1</v>
      </c>
      <c r="C26" s="78">
        <f>VLOOKUP($B$3,'Data for Bill Impacts'!$A$6:$Y$18,9,0)</f>
        <v>0.79</v>
      </c>
      <c r="D26" s="22">
        <f>B26*C26</f>
        <v>0.79</v>
      </c>
      <c r="E26" s="73">
        <v>1</v>
      </c>
      <c r="F26" s="78">
        <f>VLOOKUP($B$3,'Data for Bill Impacts'!$A$6:$Y$18,18,0)</f>
        <v>0.79</v>
      </c>
      <c r="G26" s="22">
        <f>E26*F26</f>
        <v>0.79</v>
      </c>
      <c r="H26" s="22">
        <f t="shared" si="2"/>
        <v>0</v>
      </c>
      <c r="I26" s="23">
        <f t="shared" si="9"/>
        <v>0</v>
      </c>
      <c r="J26" s="23">
        <f t="shared" si="5"/>
        <v>4.3342908950313608E-3</v>
      </c>
      <c r="K26" s="108">
        <f t="shared" si="4"/>
        <v>4.3192253523015893E-3</v>
      </c>
    </row>
    <row r="27" spans="1:11" s="1" customFormat="1" x14ac:dyDescent="0.2">
      <c r="A27" s="119" t="s">
        <v>75</v>
      </c>
      <c r="B27" s="120">
        <f>B8-B4</f>
        <v>69.920000000000073</v>
      </c>
      <c r="C27" s="176">
        <f>IF(B4&gt;B7,C13,C12)</f>
        <v>0.106</v>
      </c>
      <c r="D27" s="22">
        <f>B27*C27</f>
        <v>7.4115200000000074</v>
      </c>
      <c r="E27" s="73">
        <f>B27</f>
        <v>69.920000000000073</v>
      </c>
      <c r="F27" s="176">
        <f>C27</f>
        <v>0.106</v>
      </c>
      <c r="G27" s="22">
        <f>E27*F27</f>
        <v>7.4115200000000074</v>
      </c>
      <c r="H27" s="22">
        <f t="shared" si="2"/>
        <v>0</v>
      </c>
      <c r="I27" s="23">
        <f t="shared" si="9"/>
        <v>0</v>
      </c>
      <c r="J27" s="23">
        <f t="shared" ref="J27:J46" si="10">G27/$G$46</f>
        <v>4.066289070169983E-2</v>
      </c>
      <c r="K27" s="108">
        <f t="shared" ref="K27:K41" si="11">G27/$G$51</f>
        <v>4.0521550738088989E-2</v>
      </c>
    </row>
    <row r="28" spans="1:11" s="1" customFormat="1" x14ac:dyDescent="0.2">
      <c r="A28" s="119" t="s">
        <v>74</v>
      </c>
      <c r="B28" s="120">
        <f>B8-B4</f>
        <v>69.920000000000073</v>
      </c>
      <c r="C28" s="176">
        <f>0.65*C15+0.17*C16+0.18*C17</f>
        <v>9.7519999999999996E-2</v>
      </c>
      <c r="D28" s="22">
        <f>B28*C28</f>
        <v>6.8185984000000071</v>
      </c>
      <c r="E28" s="73">
        <f>B28</f>
        <v>69.920000000000073</v>
      </c>
      <c r="F28" s="176">
        <f>C28</f>
        <v>9.7519999999999996E-2</v>
      </c>
      <c r="G28" s="22">
        <f>E28*F28</f>
        <v>6.8185984000000071</v>
      </c>
      <c r="H28" s="22">
        <f t="shared" si="2"/>
        <v>0</v>
      </c>
      <c r="I28" s="23">
        <f t="shared" si="9"/>
        <v>0</v>
      </c>
      <c r="J28" s="23">
        <f t="shared" si="10"/>
        <v>3.7409859445563846E-2</v>
      </c>
      <c r="K28" s="108">
        <f t="shared" si="11"/>
        <v>3.7279826679041873E-2</v>
      </c>
    </row>
    <row r="29" spans="1:11" s="1" customFormat="1" x14ac:dyDescent="0.2">
      <c r="A29" s="110" t="s">
        <v>78</v>
      </c>
      <c r="B29" s="74"/>
      <c r="C29" s="35"/>
      <c r="D29" s="35">
        <f>SUM(D25,D26:D27)</f>
        <v>63.767520000000012</v>
      </c>
      <c r="E29" s="73"/>
      <c r="F29" s="35"/>
      <c r="G29" s="35">
        <f>SUM(G25,G26:G27)</f>
        <v>66.069919999999996</v>
      </c>
      <c r="H29" s="35">
        <f t="shared" si="2"/>
        <v>2.3023999999999845</v>
      </c>
      <c r="I29" s="36">
        <f t="shared" si="9"/>
        <v>3.6106155610254001E-2</v>
      </c>
      <c r="J29" s="36">
        <f t="shared" si="10"/>
        <v>0.36248892745753214</v>
      </c>
      <c r="K29" s="111">
        <f t="shared" si="11"/>
        <v>0.36122895378295922</v>
      </c>
    </row>
    <row r="30" spans="1:11" s="1" customFormat="1" x14ac:dyDescent="0.2">
      <c r="A30" s="110" t="s">
        <v>77</v>
      </c>
      <c r="B30" s="74"/>
      <c r="C30" s="35"/>
      <c r="D30" s="35">
        <f>SUM(D25,D26,D28)</f>
        <v>63.174598400000008</v>
      </c>
      <c r="E30" s="73"/>
      <c r="F30" s="35"/>
      <c r="G30" s="35">
        <f>SUM(G25,G26,G28)</f>
        <v>65.476998399999999</v>
      </c>
      <c r="H30" s="35">
        <f t="shared" si="2"/>
        <v>2.3023999999999916</v>
      </c>
      <c r="I30" s="36">
        <f t="shared" si="9"/>
        <v>3.6445027880066289E-2</v>
      </c>
      <c r="J30" s="36">
        <f t="shared" si="10"/>
        <v>0.35923589620139618</v>
      </c>
      <c r="K30" s="111">
        <f t="shared" si="11"/>
        <v>0.35798722972391211</v>
      </c>
    </row>
    <row r="31" spans="1:11" x14ac:dyDescent="0.2">
      <c r="A31" s="107" t="s">
        <v>40</v>
      </c>
      <c r="B31" s="73">
        <f>B8</f>
        <v>989.92000000000007</v>
      </c>
      <c r="C31" s="78">
        <f>VLOOKUP($B$3,'Data for Bill Impacts'!$A$6:$Y$18,15,0)</f>
        <v>6.4000000000000003E-3</v>
      </c>
      <c r="D31" s="22">
        <f>B31*C31</f>
        <v>6.3354880000000007</v>
      </c>
      <c r="E31" s="73">
        <f t="shared" si="6"/>
        <v>989.92000000000007</v>
      </c>
      <c r="F31" s="125">
        <f>VLOOKUP($B$3,'Data for Bill Impacts'!$A$6:$Y$18,24,0)</f>
        <v>7.2069999999999999E-3</v>
      </c>
      <c r="G31" s="22">
        <f>E31*F31</f>
        <v>7.1343534400000008</v>
      </c>
      <c r="H31" s="22">
        <f t="shared" si="2"/>
        <v>0.79886544000000015</v>
      </c>
      <c r="I31" s="23">
        <f t="shared" si="9"/>
        <v>0.12609375</v>
      </c>
      <c r="J31" s="23">
        <f t="shared" si="10"/>
        <v>3.9142231844212241E-2</v>
      </c>
      <c r="K31" s="108">
        <f t="shared" si="11"/>
        <v>3.9006177532060829E-2</v>
      </c>
    </row>
    <row r="32" spans="1:11" x14ac:dyDescent="0.2">
      <c r="A32" s="107" t="s">
        <v>41</v>
      </c>
      <c r="B32" s="73">
        <f>B8</f>
        <v>989.92000000000007</v>
      </c>
      <c r="C32" s="78">
        <f>VLOOKUP($B$3,'Data for Bill Impacts'!$A$6:$Y$18,16,0)</f>
        <v>4.7000000000000002E-3</v>
      </c>
      <c r="D32" s="22">
        <f>B32*C32</f>
        <v>4.6526240000000003</v>
      </c>
      <c r="E32" s="73">
        <f t="shared" si="6"/>
        <v>989.92000000000007</v>
      </c>
      <c r="F32" s="125">
        <f>VLOOKUP($B$3,'Data for Bill Impacts'!$A$6:$Y$18,25,0)</f>
        <v>6.0319999999999992E-3</v>
      </c>
      <c r="G32" s="22">
        <f>E32*F32</f>
        <v>5.9711974399999992</v>
      </c>
      <c r="H32" s="22">
        <f t="shared" si="2"/>
        <v>1.3185734399999989</v>
      </c>
      <c r="I32" s="23">
        <f t="shared" si="9"/>
        <v>0.2834042553191487</v>
      </c>
      <c r="J32" s="23">
        <f t="shared" si="10"/>
        <v>3.2760641388134899E-2</v>
      </c>
      <c r="K32" s="108">
        <f t="shared" si="11"/>
        <v>3.2646768818286508E-2</v>
      </c>
    </row>
    <row r="33" spans="1:11" s="1" customFormat="1" x14ac:dyDescent="0.2">
      <c r="A33" s="110" t="s">
        <v>76</v>
      </c>
      <c r="B33" s="74"/>
      <c r="C33" s="35"/>
      <c r="D33" s="35">
        <f>SUM(D31:D32)</f>
        <v>10.988112000000001</v>
      </c>
      <c r="E33" s="73"/>
      <c r="F33" s="35"/>
      <c r="G33" s="35">
        <f>SUM(G31:G32)</f>
        <v>13.105550879999999</v>
      </c>
      <c r="H33" s="35">
        <f t="shared" si="2"/>
        <v>2.1174388799999981</v>
      </c>
      <c r="I33" s="36">
        <f t="shared" si="9"/>
        <v>0.19270270270270251</v>
      </c>
      <c r="J33" s="36">
        <f t="shared" si="10"/>
        <v>7.1902873232347134E-2</v>
      </c>
      <c r="K33" s="111">
        <f t="shared" si="11"/>
        <v>7.165294635034733E-2</v>
      </c>
    </row>
    <row r="34" spans="1:11" s="1" customFormat="1" x14ac:dyDescent="0.2">
      <c r="A34" s="110" t="s">
        <v>91</v>
      </c>
      <c r="B34" s="74"/>
      <c r="C34" s="35"/>
      <c r="D34" s="35">
        <f>D29+D33</f>
        <v>74.75563200000002</v>
      </c>
      <c r="E34" s="73"/>
      <c r="F34" s="35"/>
      <c r="G34" s="35">
        <f>G29+G33</f>
        <v>79.175470879999992</v>
      </c>
      <c r="H34" s="35">
        <f t="shared" si="2"/>
        <v>4.4198388799999719</v>
      </c>
      <c r="I34" s="36">
        <f t="shared" si="9"/>
        <v>5.9123824677182461E-2</v>
      </c>
      <c r="J34" s="36">
        <f t="shared" si="10"/>
        <v>0.43439180068987926</v>
      </c>
      <c r="K34" s="111">
        <f t="shared" si="11"/>
        <v>0.43288190013330652</v>
      </c>
    </row>
    <row r="35" spans="1:11" s="1" customFormat="1" x14ac:dyDescent="0.2">
      <c r="A35" s="110" t="s">
        <v>92</v>
      </c>
      <c r="B35" s="74"/>
      <c r="C35" s="35"/>
      <c r="D35" s="35">
        <f>D30+D33</f>
        <v>74.162710400000009</v>
      </c>
      <c r="E35" s="73"/>
      <c r="F35" s="35"/>
      <c r="G35" s="35">
        <f>G30+G33</f>
        <v>78.582549279999995</v>
      </c>
      <c r="H35" s="35">
        <f t="shared" si="2"/>
        <v>4.4198388799999861</v>
      </c>
      <c r="I35" s="36">
        <f t="shared" si="9"/>
        <v>5.9596512265549365E-2</v>
      </c>
      <c r="J35" s="36">
        <f t="shared" si="10"/>
        <v>0.4311387694337433</v>
      </c>
      <c r="K35" s="111">
        <f t="shared" si="11"/>
        <v>0.42964017607425942</v>
      </c>
    </row>
    <row r="36" spans="1:11" x14ac:dyDescent="0.2">
      <c r="A36" s="107" t="s">
        <v>42</v>
      </c>
      <c r="B36" s="73">
        <f>B8</f>
        <v>989.92000000000007</v>
      </c>
      <c r="C36" s="34">
        <v>3.5999999999999999E-3</v>
      </c>
      <c r="D36" s="22">
        <f>B36*C36</f>
        <v>3.5637120000000002</v>
      </c>
      <c r="E36" s="73">
        <f t="shared" si="6"/>
        <v>989.92000000000007</v>
      </c>
      <c r="F36" s="34">
        <v>3.5999999999999999E-3</v>
      </c>
      <c r="G36" s="22">
        <f>E36*F36</f>
        <v>3.5637120000000002</v>
      </c>
      <c r="H36" s="22">
        <f t="shared" si="2"/>
        <v>0</v>
      </c>
      <c r="I36" s="23">
        <f t="shared" si="9"/>
        <v>0</v>
      </c>
      <c r="J36" s="23">
        <f t="shared" si="10"/>
        <v>1.9552106929258233E-2</v>
      </c>
      <c r="K36" s="108">
        <f t="shared" si="11"/>
        <v>1.9484145846457468E-2</v>
      </c>
    </row>
    <row r="37" spans="1:11" x14ac:dyDescent="0.2">
      <c r="A37" s="107" t="s">
        <v>43</v>
      </c>
      <c r="B37" s="73">
        <f>B8</f>
        <v>989.92000000000007</v>
      </c>
      <c r="C37" s="34">
        <v>2.0999999999999999E-3</v>
      </c>
      <c r="D37" s="22">
        <f>B37*C37</f>
        <v>2.0788320000000002</v>
      </c>
      <c r="E37" s="73">
        <f t="shared" si="6"/>
        <v>989.92000000000007</v>
      </c>
      <c r="F37" s="34">
        <v>2.0999999999999999E-3</v>
      </c>
      <c r="G37" s="22">
        <f>E37*F37</f>
        <v>2.0788320000000002</v>
      </c>
      <c r="H37" s="22">
        <f>G37-D37</f>
        <v>0</v>
      </c>
      <c r="I37" s="23">
        <f t="shared" si="9"/>
        <v>0</v>
      </c>
      <c r="J37" s="23">
        <f t="shared" si="10"/>
        <v>1.1405395708733968E-2</v>
      </c>
      <c r="K37" s="108">
        <f t="shared" si="11"/>
        <v>1.1365751743766857E-2</v>
      </c>
    </row>
    <row r="38" spans="1:11" x14ac:dyDescent="0.2">
      <c r="A38" s="107" t="s">
        <v>96</v>
      </c>
      <c r="B38" s="73">
        <f>B8</f>
        <v>989.92000000000007</v>
      </c>
      <c r="C38" s="34">
        <v>0</v>
      </c>
      <c r="D38" s="22">
        <f>B38*C38</f>
        <v>0</v>
      </c>
      <c r="E38" s="73">
        <f t="shared" si="6"/>
        <v>989.92000000000007</v>
      </c>
      <c r="F38" s="34">
        <v>0</v>
      </c>
      <c r="G38" s="22">
        <f>E38*F38</f>
        <v>0</v>
      </c>
      <c r="H38" s="22">
        <f>G38-D38</f>
        <v>0</v>
      </c>
      <c r="I38" s="23" t="str">
        <f t="shared" si="9"/>
        <v>N/A</v>
      </c>
      <c r="J38" s="23">
        <f t="shared" si="10"/>
        <v>0</v>
      </c>
      <c r="K38" s="108">
        <f t="shared" si="11"/>
        <v>0</v>
      </c>
    </row>
    <row r="39" spans="1:11" x14ac:dyDescent="0.2">
      <c r="A39" s="107" t="s">
        <v>44</v>
      </c>
      <c r="B39" s="73">
        <v>1</v>
      </c>
      <c r="C39" s="22">
        <v>0.25</v>
      </c>
      <c r="D39" s="22">
        <f>B39*C39</f>
        <v>0.25</v>
      </c>
      <c r="E39" s="73">
        <f t="shared" si="6"/>
        <v>1</v>
      </c>
      <c r="F39" s="22">
        <f>C39</f>
        <v>0.25</v>
      </c>
      <c r="G39" s="22">
        <f>E39*F39</f>
        <v>0.25</v>
      </c>
      <c r="H39" s="22">
        <f t="shared" si="2"/>
        <v>0</v>
      </c>
      <c r="I39" s="23">
        <f t="shared" si="9"/>
        <v>0</v>
      </c>
      <c r="J39" s="23">
        <f t="shared" si="10"/>
        <v>1.3716110427314434E-3</v>
      </c>
      <c r="K39" s="108">
        <f t="shared" si="11"/>
        <v>1.3668434659182243E-3</v>
      </c>
    </row>
    <row r="40" spans="1:11" s="1" customFormat="1" x14ac:dyDescent="0.2">
      <c r="A40" s="110" t="s">
        <v>45</v>
      </c>
      <c r="B40" s="74"/>
      <c r="C40" s="35"/>
      <c r="D40" s="35">
        <f>SUM(D36:D39)</f>
        <v>5.8925440000000009</v>
      </c>
      <c r="E40" s="73"/>
      <c r="F40" s="35"/>
      <c r="G40" s="35">
        <f>SUM(G36:G39)</f>
        <v>5.8925440000000009</v>
      </c>
      <c r="H40" s="35">
        <f t="shared" si="2"/>
        <v>0</v>
      </c>
      <c r="I40" s="36">
        <f t="shared" si="9"/>
        <v>0</v>
      </c>
      <c r="J40" s="36">
        <f t="shared" si="10"/>
        <v>3.2329113680723644E-2</v>
      </c>
      <c r="K40" s="111">
        <f t="shared" si="11"/>
        <v>3.2216741056142556E-2</v>
      </c>
    </row>
    <row r="41" spans="1:11" s="1" customFormat="1" ht="13.5" thickBot="1" x14ac:dyDescent="0.25">
      <c r="A41" s="112" t="s">
        <v>46</v>
      </c>
      <c r="B41" s="113">
        <f>B4</f>
        <v>920</v>
      </c>
      <c r="C41" s="114">
        <v>0</v>
      </c>
      <c r="D41" s="115">
        <f>B41*C41</f>
        <v>0</v>
      </c>
      <c r="E41" s="116">
        <f t="shared" si="6"/>
        <v>920</v>
      </c>
      <c r="F41" s="114">
        <f>C41</f>
        <v>0</v>
      </c>
      <c r="G41" s="115">
        <f>E41*F41</f>
        <v>0</v>
      </c>
      <c r="H41" s="115">
        <f t="shared" si="2"/>
        <v>0</v>
      </c>
      <c r="I41" s="117" t="str">
        <f t="shared" si="9"/>
        <v>N/A</v>
      </c>
      <c r="J41" s="117">
        <f t="shared" si="10"/>
        <v>0</v>
      </c>
      <c r="K41" s="118">
        <f t="shared" si="11"/>
        <v>0</v>
      </c>
    </row>
    <row r="42" spans="1:11" s="1" customFormat="1" x14ac:dyDescent="0.2">
      <c r="A42" s="37" t="s">
        <v>105</v>
      </c>
      <c r="B42" s="38"/>
      <c r="C42" s="39"/>
      <c r="D42" s="39">
        <f>SUM(D14,D25,D26,D27,D33,D40,D41)</f>
        <v>169.16817600000002</v>
      </c>
      <c r="E42" s="38"/>
      <c r="F42" s="39"/>
      <c r="G42" s="39">
        <f>SUM(G14,G25,G26,G27,G33,G40,G41)</f>
        <v>173.58801488</v>
      </c>
      <c r="H42" s="39">
        <f t="shared" si="2"/>
        <v>4.4198388799999861</v>
      </c>
      <c r="I42" s="40">
        <f t="shared" si="9"/>
        <v>2.612689327571863E-2</v>
      </c>
      <c r="J42" s="40">
        <f t="shared" si="10"/>
        <v>0.95238095238095244</v>
      </c>
      <c r="K42" s="41"/>
    </row>
    <row r="43" spans="1:11" x14ac:dyDescent="0.2">
      <c r="A43" s="153" t="s">
        <v>106</v>
      </c>
      <c r="B43" s="43"/>
      <c r="C43" s="26">
        <v>0.13</v>
      </c>
      <c r="D43" s="26">
        <f>D42*C43</f>
        <v>21.991862880000003</v>
      </c>
      <c r="E43" s="26"/>
      <c r="F43" s="26">
        <f>C43</f>
        <v>0.13</v>
      </c>
      <c r="G43" s="26">
        <f>G42*F43</f>
        <v>22.5664419344</v>
      </c>
      <c r="H43" s="26">
        <f t="shared" si="2"/>
        <v>0.57457905439999735</v>
      </c>
      <c r="I43" s="44">
        <f t="shared" si="9"/>
        <v>2.6126893275718589E-2</v>
      </c>
      <c r="J43" s="44">
        <f t="shared" si="10"/>
        <v>0.12380952380952381</v>
      </c>
      <c r="K43" s="45"/>
    </row>
    <row r="44" spans="1:11" s="1" customFormat="1" x14ac:dyDescent="0.2">
      <c r="A44" s="46" t="s">
        <v>107</v>
      </c>
      <c r="B44" s="24"/>
      <c r="C44" s="25"/>
      <c r="D44" s="25">
        <f>SUM(D42:D43)</f>
        <v>191.16003888000003</v>
      </c>
      <c r="E44" s="25"/>
      <c r="F44" s="25"/>
      <c r="G44" s="25">
        <f>SUM(G42:G43)</f>
        <v>196.15445681439999</v>
      </c>
      <c r="H44" s="25">
        <f t="shared" si="2"/>
        <v>4.9944179343999622</v>
      </c>
      <c r="I44" s="27">
        <f t="shared" si="9"/>
        <v>2.6126893275718512E-2</v>
      </c>
      <c r="J44" s="27">
        <f t="shared" si="10"/>
        <v>1.0761904761904761</v>
      </c>
      <c r="K44" s="47"/>
    </row>
    <row r="45" spans="1:11" x14ac:dyDescent="0.2">
      <c r="A45" s="42" t="s">
        <v>108</v>
      </c>
      <c r="B45" s="43"/>
      <c r="C45" s="26">
        <v>-0.08</v>
      </c>
      <c r="D45" s="26">
        <f>D42*C45</f>
        <v>-13.533454080000002</v>
      </c>
      <c r="E45" s="26"/>
      <c r="F45" s="26">
        <f>C45</f>
        <v>-0.08</v>
      </c>
      <c r="G45" s="26">
        <f>G42*F45</f>
        <v>-13.8870411904</v>
      </c>
      <c r="H45" s="26">
        <f t="shared" si="2"/>
        <v>-0.35358711039999768</v>
      </c>
      <c r="I45" s="44">
        <f t="shared" si="9"/>
        <v>-2.612689327571854E-2</v>
      </c>
      <c r="J45" s="44">
        <f t="shared" si="10"/>
        <v>-7.6190476190476197E-2</v>
      </c>
      <c r="K45" s="45"/>
    </row>
    <row r="46" spans="1:11" s="1" customFormat="1" ht="13.5" thickBot="1" x14ac:dyDescent="0.25">
      <c r="A46" s="48" t="s">
        <v>109</v>
      </c>
      <c r="B46" s="49"/>
      <c r="C46" s="50"/>
      <c r="D46" s="50">
        <f>SUM(D44:D45)</f>
        <v>177.62658480000002</v>
      </c>
      <c r="E46" s="50"/>
      <c r="F46" s="50"/>
      <c r="G46" s="50">
        <f>SUM(G44:G45)</f>
        <v>182.26741562399999</v>
      </c>
      <c r="H46" s="50">
        <f t="shared" si="2"/>
        <v>4.6408308239999769</v>
      </c>
      <c r="I46" s="51">
        <f t="shared" si="9"/>
        <v>2.6126893275718582E-2</v>
      </c>
      <c r="J46" s="51">
        <f t="shared" si="10"/>
        <v>1</v>
      </c>
      <c r="K46" s="52"/>
    </row>
    <row r="47" spans="1:11" x14ac:dyDescent="0.2">
      <c r="A47" s="53" t="s">
        <v>110</v>
      </c>
      <c r="B47" s="54"/>
      <c r="C47" s="55"/>
      <c r="D47" s="55">
        <f>SUM(D18,D25,D26,D28,D33,D40,D41)</f>
        <v>169.7736544</v>
      </c>
      <c r="E47" s="55"/>
      <c r="F47" s="55"/>
      <c r="G47" s="55">
        <f>SUM(G18,G25,G26,G28,G33,G40,G41)</f>
        <v>174.19349327999998</v>
      </c>
      <c r="H47" s="55">
        <f>G47-D47</f>
        <v>4.4198388799999861</v>
      </c>
      <c r="I47" s="56">
        <f t="shared" si="9"/>
        <v>2.6033714686888344E-2</v>
      </c>
      <c r="J47" s="56"/>
      <c r="K47" s="57">
        <f>G47/$G$51</f>
        <v>0.95238095238095233</v>
      </c>
    </row>
    <row r="48" spans="1:11" x14ac:dyDescent="0.2">
      <c r="A48" s="58" t="s">
        <v>106</v>
      </c>
      <c r="B48" s="59"/>
      <c r="C48" s="31">
        <v>0.13</v>
      </c>
      <c r="D48" s="31">
        <f>D47*C48</f>
        <v>22.070575072</v>
      </c>
      <c r="E48" s="31"/>
      <c r="F48" s="31">
        <f>C48</f>
        <v>0.13</v>
      </c>
      <c r="G48" s="31">
        <f>G47*F48</f>
        <v>22.645154126399998</v>
      </c>
      <c r="H48" s="31">
        <f>G48-D48</f>
        <v>0.57457905439999735</v>
      </c>
      <c r="I48" s="32">
        <f t="shared" si="9"/>
        <v>2.6033714686888306E-2</v>
      </c>
      <c r="J48" s="32"/>
      <c r="K48" s="60">
        <f>G48/$G$51</f>
        <v>0.1238095238095238</v>
      </c>
    </row>
    <row r="49" spans="1:11" x14ac:dyDescent="0.2">
      <c r="A49" s="61" t="s">
        <v>111</v>
      </c>
      <c r="B49" s="29"/>
      <c r="C49" s="30"/>
      <c r="D49" s="30">
        <f>SUM(D47:D48)</f>
        <v>191.84422947199999</v>
      </c>
      <c r="E49" s="30"/>
      <c r="F49" s="30"/>
      <c r="G49" s="30">
        <f>SUM(G47:G48)</f>
        <v>196.83864740639999</v>
      </c>
      <c r="H49" s="30">
        <f>G49-D49</f>
        <v>4.9944179343999906</v>
      </c>
      <c r="I49" s="33">
        <f t="shared" si="9"/>
        <v>2.6033714686888379E-2</v>
      </c>
      <c r="J49" s="33"/>
      <c r="K49" s="62">
        <f>G49/$G$51</f>
        <v>1.0761904761904761</v>
      </c>
    </row>
    <row r="50" spans="1:11" x14ac:dyDescent="0.2">
      <c r="A50" s="58" t="s">
        <v>108</v>
      </c>
      <c r="B50" s="59"/>
      <c r="C50" s="31">
        <v>-0.08</v>
      </c>
      <c r="D50" s="31">
        <f>D47*C50</f>
        <v>-13.581892352000001</v>
      </c>
      <c r="E50" s="31"/>
      <c r="F50" s="31">
        <f>C50</f>
        <v>-0.08</v>
      </c>
      <c r="G50" s="31">
        <f>G47*F50</f>
        <v>-13.935479462399998</v>
      </c>
      <c r="H50" s="31">
        <f>G50-D50</f>
        <v>-0.35358711039999768</v>
      </c>
      <c r="I50" s="32">
        <f t="shared" si="9"/>
        <v>-2.6033714686888254E-2</v>
      </c>
      <c r="J50" s="32"/>
      <c r="K50" s="60">
        <f>G50/$G$51</f>
        <v>-7.6190476190476183E-2</v>
      </c>
    </row>
    <row r="51" spans="1:11" ht="13.5" thickBot="1" x14ac:dyDescent="0.25">
      <c r="A51" s="63" t="s">
        <v>121</v>
      </c>
      <c r="B51" s="64"/>
      <c r="C51" s="65"/>
      <c r="D51" s="65">
        <f>SUM(D49:D50)</f>
        <v>178.26233711999998</v>
      </c>
      <c r="E51" s="65"/>
      <c r="F51" s="65"/>
      <c r="G51" s="65">
        <f>SUM(G49:G50)</f>
        <v>182.90316794399999</v>
      </c>
      <c r="H51" s="65">
        <f>G51-D51</f>
        <v>4.6408308240000054</v>
      </c>
      <c r="I51" s="66">
        <f t="shared" si="9"/>
        <v>2.6033714686888459E-2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6947916666666705" bottom="0.75" header="1.05" footer="0.3"/>
  <pageSetup paperSize="32767" scale="70" orientation="landscape" r:id="rId1"/>
  <headerFooter>
    <oddHeader>&amp;RUpdated: 2017-06-07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Impacts'!$A$6:$A$14</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chedule xmlns="c177ebce-ba5d-4f17-87d0-6a1c56acc62b">1</Schedule>
    <Dir_Approved xmlns="9fda2e78-8e3f-49d4-9e97-25a6337a81ff">true</Dir_Approved>
    <Shell_Created xmlns="9fda2e78-8e3f-49d4-9e97-25a6337a81ff">false</Shell_Created>
    <Tab xmlns="c177ebce-ba5d-4f17-87d0-6a1c56acc62b">4</Tab>
    <Primary_Author xmlns="9fda2e78-8e3f-49d4-9e97-25a6337a81ff">
      <UserInfo>
        <DisplayName/>
        <AccountId xsi:nil="true"/>
        <AccountType/>
      </UserInfo>
    </Primary_Author>
    <Case_x0020_Number_x002f_Docket_x0020_Number xmlns="f9175001-c430-4d57-adde-c1c10539e919">EB-2017-0049</Case_x0020_Number_x002f_Docket_x0020_Number>
    <Exhibit xmlns="c177ebce-ba5d-4f17-87d0-6a1c56acc62b">H1</Exhibit>
    <BP_x0020_Update xmlns="6cd78a55-9298-4f12-88a0-08be2e2ac8f0">Yes</BP_x0020_Update>
    <Filing_x0020_Status xmlns="ea909525-6dd5-47d7-9eed-71e77e5cedc6">Blue Page Formatting Complete</Filing_x0020_Status>
    <Witness xmlns="6cd78a55-9298-4f12-88a0-08be2e2ac8f0" xsi:nil="true"/>
    <Issue_x0020_Date xmlns="f9175001-c430-4d57-adde-c1c10539e919">2017-06-07T04:00:00+00:00</Issue_x0020_Date>
    <RA_x0020_Contact xmlns="31a38067-a042-4e0e-9037-517587b10700">Stephen Vetsis</RA_x0020_Contact>
    <Additional_Reviewers xmlns="9fda2e78-8e3f-49d4-9e97-25a6337a81ff">
      <UserInfo>
        <DisplayName/>
        <AccountId xsi:nil="true"/>
        <AccountType/>
      </UserInfo>
    </Additional_Reviewers>
    <Dir_Contact xmlns="9fda2e78-8e3f-49d4-9e97-25a6337a81ff">Karen Taylor</Dir_Contact>
    <Hydro_x0020_One_x0020_Data_x0020_Classification xmlns="f0af1d65-dfd0-4b99-b523-def3a954563f">Internal Use (Only Internal information is not for release to the public)</Hydro_x0020_One_x0020_Data_x0020_Classification>
    <Legal xmlns="6cd78a55-9298-4f12-88a0-08be2e2ac8f0">false</Legal>
    <SR_Approved xmlns="9fda2e78-8e3f-49d4-9e97-25a6337a81ff">false</SR_Approved>
    <Strategic_x003f_ xmlns="9fda2e78-8e3f-49d4-9e97-25a6337a81ff">false</Strategic_x003f_>
    <RA_Approved xmlns="9fda2e78-8e3f-49d4-9e97-25a6337a81ff">true</RA_Approved>
    <Draft_Ready xmlns="9fda2e78-8e3f-49d4-9e97-25a6337a81ff">false</Draft_Read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4.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A9FBD5-FD17-48C8-BBEA-DAFECB570652}">
  <ds:schemaRefs>
    <ds:schemaRef ds:uri="6cd78a55-9298-4f12-88a0-08be2e2ac8f0"/>
    <ds:schemaRef ds:uri="http://schemas.microsoft.com/office/2006/metadata/properties"/>
    <ds:schemaRef ds:uri="http://purl.org/dc/terms/"/>
    <ds:schemaRef ds:uri="9fda2e78-8e3f-49d4-9e97-25a6337a81ff"/>
    <ds:schemaRef ds:uri="http://schemas.microsoft.com/office/infopath/2007/PartnerControls"/>
    <ds:schemaRef ds:uri="http://www.w3.org/XML/1998/namespace"/>
    <ds:schemaRef ds:uri="http://purl.org/dc/dcmitype/"/>
    <ds:schemaRef ds:uri="http://schemas.openxmlformats.org/package/2006/metadata/core-properties"/>
    <ds:schemaRef ds:uri="31a38067-a042-4e0e-9037-517587b10700"/>
    <ds:schemaRef ds:uri="f0af1d65-dfd0-4b99-b523-def3a954563f"/>
    <ds:schemaRef ds:uri="http://schemas.microsoft.com/office/2006/documentManagement/types"/>
    <ds:schemaRef ds:uri="c177ebce-ba5d-4f17-87d0-6a1c56acc62b"/>
    <ds:schemaRef ds:uri="ea909525-6dd5-47d7-9eed-71e77e5cedc6"/>
    <ds:schemaRef ds:uri="f9175001-c430-4d57-adde-c1c10539e919"/>
    <ds:schemaRef ds:uri="http://purl.org/dc/elements/1.1/"/>
  </ds:schemaRefs>
</ds:datastoreItem>
</file>

<file path=customXml/itemProps2.xml><?xml version="1.0" encoding="utf-8"?>
<ds:datastoreItem xmlns:ds="http://schemas.openxmlformats.org/officeDocument/2006/customXml" ds:itemID="{91059AA0-C11D-43E7-BC57-B3C38FE0539F}">
  <ds:schemaRefs>
    <ds:schemaRef ds:uri="http://schemas.microsoft.com/sharepoint/v3/contenttype/forms"/>
  </ds:schemaRefs>
</ds:datastoreItem>
</file>

<file path=customXml/itemProps3.xml><?xml version="1.0" encoding="utf-8"?>
<ds:datastoreItem xmlns:ds="http://schemas.openxmlformats.org/officeDocument/2006/customXml" ds:itemID="{A8041EF1-D97C-4F4F-86C9-179154E64C7A}">
  <ds:schemaRefs>
    <ds:schemaRef ds:uri="http://schemas.microsoft.com/office/2006/metadata/customXsn"/>
  </ds:schemaRefs>
</ds:datastoreItem>
</file>

<file path=customXml/itemProps4.xml><?xml version="1.0" encoding="utf-8"?>
<ds:datastoreItem xmlns:ds="http://schemas.openxmlformats.org/officeDocument/2006/customXml" ds:itemID="{65C07AEF-FD14-49E3-AAA3-B9D0902B1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2</vt:i4>
      </vt:variant>
    </vt:vector>
  </HeadingPairs>
  <TitlesOfParts>
    <vt:vector size="48" baseType="lpstr">
      <vt:lpstr>Data for Bill Impacts</vt:lpstr>
      <vt:lpstr>Bill Impact Summary</vt:lpstr>
      <vt:lpstr>BI_UR_Low</vt:lpstr>
      <vt:lpstr>BI_UR_Typical</vt:lpstr>
      <vt:lpstr>BI_UR_Avg</vt:lpstr>
      <vt:lpstr>BI_UR_High</vt:lpstr>
      <vt:lpstr>BI_R1_Low</vt:lpstr>
      <vt:lpstr>BI_R1_Typical</vt:lpstr>
      <vt:lpstr>BI_R1_Avg</vt:lpstr>
      <vt:lpstr>BI_R1_High</vt:lpstr>
      <vt:lpstr>BI_R2_Low</vt:lpstr>
      <vt:lpstr>BI_R2_Typical</vt:lpstr>
      <vt:lpstr>BI_R2_Avg</vt:lpstr>
      <vt:lpstr>BI_R2_High</vt:lpstr>
      <vt:lpstr>BI_Seas_Low</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BI_DGen_Avg!Print_Area</vt:lpstr>
      <vt:lpstr>'Bill Impact Summary'!Print_Area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 Bill Impacts 2018</dc:title>
  <dc:creator>SHETH Nikita</dc:creator>
  <cp:lastModifiedBy>DENNENY Kelly</cp:lastModifiedBy>
  <cp:lastPrinted>2017-06-06T15:43:59Z</cp:lastPrinted>
  <dcterms:created xsi:type="dcterms:W3CDTF">2013-09-20T18:49:19Z</dcterms:created>
  <dcterms:modified xsi:type="dcterms:W3CDTF">2017-06-06T15:45:34Z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A2_Approved">
    <vt:bool>false</vt:bool>
  </property>
  <property fmtid="{D5CDD505-2E9C-101B-9397-08002B2CF9AE}" pid="3" name="ISD_Category">
    <vt:lpwstr>Other</vt:lpwstr>
  </property>
  <property fmtid="{D5CDD505-2E9C-101B-9397-08002B2CF9AE}" pid="4" name="ContentTypeId">
    <vt:lpwstr>0x0101006C4D7F394B56A844BBAB815FF7A6EFB5</vt:lpwstr>
  </property>
  <property fmtid="{D5CDD505-2E9C-101B-9397-08002B2CF9AE}" pid="5" name="AM_Approved">
    <vt:bool>false</vt:bool>
  </property>
  <property fmtid="{D5CDD505-2E9C-101B-9397-08002B2CF9AE}" pid="6" name="Document Type">
    <vt:lpwstr>Prefiled evidence</vt:lpwstr>
  </property>
  <property fmtid="{D5CDD505-2E9C-101B-9397-08002B2CF9AE}" pid="7" name="Comments">
    <vt:lpwstr/>
  </property>
</Properties>
</file>