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985" yWindow="-15" windowWidth="12030" windowHeight="9495" tabRatio="942" firstSheet="33" activeTab="1"/>
  </bookViews>
  <sheets>
    <sheet name="Data for Bill Impacts" sheetId="3" state="hidden" r:id="rId1"/>
    <sheet name="Bill Impact Summary" sheetId="7" r:id="rId2"/>
    <sheet name="BI_UR_Low" sheetId="4" r:id="rId3"/>
    <sheet name="BI_UR_Typical" sheetId="46" r:id="rId4"/>
    <sheet name="BI_UR_Avg" sheetId="112" r:id="rId5"/>
    <sheet name="BI_UR_High" sheetId="47" r:id="rId6"/>
    <sheet name="BI_R1_Low" sheetId="48" r:id="rId7"/>
    <sheet name="BI_R1_Typical" sheetId="49" r:id="rId8"/>
    <sheet name="BI_R1_Avg" sheetId="113" r:id="rId9"/>
    <sheet name="BI_R1_High" sheetId="50" r:id="rId10"/>
    <sheet name="BI_R2_Low" sheetId="51" r:id="rId11"/>
    <sheet name="BI_R2_Typical" sheetId="52" r:id="rId12"/>
    <sheet name="BI_R2_Avg" sheetId="114" r:id="rId13"/>
    <sheet name="BI_R2_High" sheetId="53" r:id="rId14"/>
    <sheet name="BI_Seas_Low" sheetId="54" r:id="rId15"/>
    <sheet name="BI_Seas_Avg" sheetId="115" r:id="rId16"/>
    <sheet name="BI_Seas_High" sheetId="56" r:id="rId17"/>
    <sheet name="BI_UGe_Low" sheetId="60" r:id="rId18"/>
    <sheet name="BI_UGe_Typical" sheetId="61" r:id="rId19"/>
    <sheet name="BI_UGe_Avg" sheetId="116" r:id="rId20"/>
    <sheet name="BI_UGe_High" sheetId="62" r:id="rId21"/>
    <sheet name="BI_GSe_Low" sheetId="57" r:id="rId22"/>
    <sheet name="BI_GSe_Typical" sheetId="58" r:id="rId23"/>
    <sheet name="BI_GSe_Avg" sheetId="117" r:id="rId24"/>
    <sheet name="BI_GSe_High" sheetId="59" r:id="rId25"/>
    <sheet name="BI_UGd_Low" sheetId="73" r:id="rId26"/>
    <sheet name="BI_UGd_Avg" sheetId="74" r:id="rId27"/>
    <sheet name="BI_UGd_High" sheetId="75" r:id="rId28"/>
    <sheet name="BI_GSd_Low" sheetId="5" r:id="rId29"/>
    <sheet name="BI_GSd_Avg" sheetId="71" r:id="rId30"/>
    <sheet name="BI_GSd_High" sheetId="72" r:id="rId31"/>
    <sheet name="BI_DGen_Low" sheetId="76" r:id="rId32"/>
    <sheet name="BI_DGen_Avg" sheetId="77" r:id="rId33"/>
    <sheet name="BI_DGen_High" sheetId="78" r:id="rId34"/>
    <sheet name="BI_ST_Low" sheetId="79" r:id="rId35"/>
    <sheet name="BI_ST_Avg" sheetId="80" r:id="rId36"/>
    <sheet name="BI_ST_High" sheetId="81" r:id="rId37"/>
    <sheet name="BI_USL_Low" sheetId="68" r:id="rId38"/>
    <sheet name="BI_USL_Avg" sheetId="69" r:id="rId39"/>
    <sheet name="BI_USL_High" sheetId="70" r:id="rId40"/>
    <sheet name="BI_SenLgt_Low" sheetId="65" r:id="rId41"/>
    <sheet name="BI_SenLgt_Avg" sheetId="66" r:id="rId42"/>
    <sheet name="BI_SenLgt_High" sheetId="67" r:id="rId43"/>
    <sheet name="BI_StLgt_Low" sheetId="25" r:id="rId44"/>
    <sheet name="BI_StLgt_Avg" sheetId="63" r:id="rId45"/>
    <sheet name="BI_StLgt_High" sheetId="64" r:id="rId46"/>
  </sheets>
  <definedNames>
    <definedName name="_xlnm.Print_Area" localSheetId="32">BI_DGen_Avg!$A$1:$J$38</definedName>
    <definedName name="_xlnm.Print_Area" localSheetId="1">'Bill Impact Summary'!$A$1:$I$45</definedName>
  </definedNames>
  <calcPr calcId="145621"/>
</workbook>
</file>

<file path=xl/calcChain.xml><?xml version="1.0" encoding="utf-8"?>
<calcChain xmlns="http://schemas.openxmlformats.org/spreadsheetml/2006/main">
  <c r="F26" i="4" l="1"/>
  <c r="F26" i="59"/>
  <c r="F26" i="117"/>
  <c r="F26" i="58"/>
  <c r="F26" i="57"/>
  <c r="F26" i="62"/>
  <c r="F26" i="116"/>
  <c r="F26" i="61"/>
  <c r="F26" i="60"/>
  <c r="F26" i="56"/>
  <c r="F26" i="115"/>
  <c r="F26" i="54"/>
  <c r="F26" i="53"/>
  <c r="F26" i="114"/>
  <c r="F26" i="52"/>
  <c r="F26" i="51"/>
  <c r="F26" i="50"/>
  <c r="F26" i="113"/>
  <c r="F26" i="49"/>
  <c r="F26" i="48"/>
  <c r="F26" i="47"/>
  <c r="F26" i="112"/>
  <c r="F26" i="46"/>
  <c r="F50" i="117" l="1"/>
  <c r="F48" i="117"/>
  <c r="F45" i="117"/>
  <c r="F43" i="117"/>
  <c r="F41" i="117"/>
  <c r="F39" i="117"/>
  <c r="E39" i="117"/>
  <c r="G39" i="117" s="1"/>
  <c r="D39" i="117"/>
  <c r="C28" i="117"/>
  <c r="F28" i="117" s="1"/>
  <c r="G26" i="117"/>
  <c r="C26" i="117"/>
  <c r="D26" i="117" s="1"/>
  <c r="E22" i="117"/>
  <c r="F21" i="117"/>
  <c r="E21" i="117"/>
  <c r="C21" i="117"/>
  <c r="D21" i="117" s="1"/>
  <c r="G20" i="117"/>
  <c r="E20" i="117"/>
  <c r="C20" i="117"/>
  <c r="D20" i="117" s="1"/>
  <c r="E19" i="117"/>
  <c r="F17" i="117"/>
  <c r="F16" i="117"/>
  <c r="F15" i="117"/>
  <c r="F13" i="117"/>
  <c r="F12" i="117"/>
  <c r="B9" i="117"/>
  <c r="B7" i="117"/>
  <c r="B6" i="117"/>
  <c r="B5" i="117"/>
  <c r="F50" i="116"/>
  <c r="F48" i="116"/>
  <c r="F45" i="116"/>
  <c r="F43" i="116"/>
  <c r="F41" i="116"/>
  <c r="F39" i="116"/>
  <c r="E39" i="116"/>
  <c r="G39" i="116" s="1"/>
  <c r="D39" i="116"/>
  <c r="C28" i="116"/>
  <c r="F28" i="116" s="1"/>
  <c r="G26" i="116"/>
  <c r="C26" i="116"/>
  <c r="D26" i="116" s="1"/>
  <c r="E22" i="116"/>
  <c r="F21" i="116"/>
  <c r="E21" i="116"/>
  <c r="C21" i="116"/>
  <c r="D21" i="116" s="1"/>
  <c r="E20" i="116"/>
  <c r="G20" i="116" s="1"/>
  <c r="C20" i="116"/>
  <c r="D20" i="116" s="1"/>
  <c r="E19" i="116"/>
  <c r="F17" i="116"/>
  <c r="F16" i="116"/>
  <c r="F15" i="116"/>
  <c r="F13" i="116"/>
  <c r="F12" i="116"/>
  <c r="B9" i="116"/>
  <c r="B7" i="116"/>
  <c r="B6" i="116"/>
  <c r="B5" i="116"/>
  <c r="F50" i="115"/>
  <c r="F48" i="115"/>
  <c r="F45" i="115"/>
  <c r="F43" i="115"/>
  <c r="F41" i="115"/>
  <c r="G39" i="115"/>
  <c r="F39" i="115"/>
  <c r="E39" i="115"/>
  <c r="D39" i="115"/>
  <c r="C28" i="115"/>
  <c r="F28" i="115" s="1"/>
  <c r="G26" i="115"/>
  <c r="C26" i="115"/>
  <c r="D26" i="115" s="1"/>
  <c r="E22" i="115"/>
  <c r="F21" i="115"/>
  <c r="G21" i="115" s="1"/>
  <c r="E21" i="115"/>
  <c r="C21" i="115"/>
  <c r="D21" i="115" s="1"/>
  <c r="G20" i="115"/>
  <c r="E20" i="115"/>
  <c r="C20" i="115"/>
  <c r="D20" i="115" s="1"/>
  <c r="E19" i="115"/>
  <c r="F17" i="115"/>
  <c r="F16" i="115"/>
  <c r="F15" i="115"/>
  <c r="F13" i="115"/>
  <c r="F12" i="115"/>
  <c r="B9" i="115"/>
  <c r="B7" i="115"/>
  <c r="B6" i="115"/>
  <c r="B5" i="115"/>
  <c r="F50" i="114"/>
  <c r="F48" i="114"/>
  <c r="F45" i="114"/>
  <c r="F43" i="114"/>
  <c r="F41" i="114"/>
  <c r="G39" i="114"/>
  <c r="F39" i="114"/>
  <c r="E39" i="114"/>
  <c r="D39" i="114"/>
  <c r="C28" i="114"/>
  <c r="F28" i="114" s="1"/>
  <c r="G26" i="114"/>
  <c r="C26" i="114"/>
  <c r="D26" i="114" s="1"/>
  <c r="E22" i="114"/>
  <c r="F21" i="114"/>
  <c r="E21" i="114"/>
  <c r="C21" i="114"/>
  <c r="D21" i="114" s="1"/>
  <c r="G20" i="114"/>
  <c r="E20" i="114"/>
  <c r="C20" i="114"/>
  <c r="D20" i="114" s="1"/>
  <c r="E19" i="114"/>
  <c r="F17" i="114"/>
  <c r="F16" i="114"/>
  <c r="F15" i="114"/>
  <c r="F13" i="114"/>
  <c r="F12" i="114"/>
  <c r="B9" i="114"/>
  <c r="B7" i="114"/>
  <c r="B6" i="114"/>
  <c r="B5" i="114"/>
  <c r="F50" i="113"/>
  <c r="F48" i="113"/>
  <c r="F45" i="113"/>
  <c r="F43" i="113"/>
  <c r="F41" i="113"/>
  <c r="F39" i="113"/>
  <c r="G39" i="113" s="1"/>
  <c r="E39" i="113"/>
  <c r="D39" i="113"/>
  <c r="C28" i="113"/>
  <c r="F28" i="113" s="1"/>
  <c r="G26" i="113"/>
  <c r="C26" i="113"/>
  <c r="D26" i="113" s="1"/>
  <c r="E22" i="113"/>
  <c r="F21" i="113"/>
  <c r="E21" i="113"/>
  <c r="C21" i="113"/>
  <c r="D21" i="113" s="1"/>
  <c r="E20" i="113"/>
  <c r="G20" i="113" s="1"/>
  <c r="C20" i="113"/>
  <c r="D20" i="113" s="1"/>
  <c r="E19" i="113"/>
  <c r="F17" i="113"/>
  <c r="F16" i="113"/>
  <c r="F15" i="113"/>
  <c r="F13" i="113"/>
  <c r="F12" i="113"/>
  <c r="B9" i="113"/>
  <c r="B7" i="113"/>
  <c r="B6" i="113"/>
  <c r="B5" i="113"/>
  <c r="F50" i="112"/>
  <c r="F48" i="112"/>
  <c r="F45" i="112"/>
  <c r="F43" i="112"/>
  <c r="F41" i="112"/>
  <c r="F39" i="112"/>
  <c r="E39" i="112"/>
  <c r="G39" i="112" s="1"/>
  <c r="D39" i="112"/>
  <c r="C28" i="112"/>
  <c r="F28" i="112" s="1"/>
  <c r="G26" i="112"/>
  <c r="C26" i="112"/>
  <c r="D26" i="112" s="1"/>
  <c r="E22" i="112"/>
  <c r="F21" i="112"/>
  <c r="G21" i="112" s="1"/>
  <c r="E21" i="112"/>
  <c r="C21" i="112"/>
  <c r="D21" i="112" s="1"/>
  <c r="G20" i="112"/>
  <c r="E20" i="112"/>
  <c r="C20" i="112"/>
  <c r="D20" i="112" s="1"/>
  <c r="H20" i="112" s="1"/>
  <c r="I20" i="112" s="1"/>
  <c r="E19" i="112"/>
  <c r="F17" i="112"/>
  <c r="F16" i="112"/>
  <c r="F15" i="112"/>
  <c r="F13" i="112"/>
  <c r="F12" i="112"/>
  <c r="B9" i="112"/>
  <c r="B7" i="112"/>
  <c r="B6" i="112"/>
  <c r="B5" i="112"/>
  <c r="G21" i="117" l="1"/>
  <c r="H21" i="117" s="1"/>
  <c r="I21" i="117" s="1"/>
  <c r="H21" i="112"/>
  <c r="I21" i="112" s="1"/>
  <c r="H26" i="113"/>
  <c r="I26" i="113" s="1"/>
  <c r="H26" i="116"/>
  <c r="I26" i="116" s="1"/>
  <c r="H21" i="115"/>
  <c r="I21" i="115" s="1"/>
  <c r="H26" i="112"/>
  <c r="I26" i="112" s="1"/>
  <c r="G21" i="113"/>
  <c r="H21" i="113" s="1"/>
  <c r="I21" i="113" s="1"/>
  <c r="G21" i="114"/>
  <c r="H21" i="114" s="1"/>
  <c r="I21" i="114" s="1"/>
  <c r="H20" i="116"/>
  <c r="I20" i="116" s="1"/>
  <c r="H39" i="116"/>
  <c r="I39" i="116" s="1"/>
  <c r="H26" i="117"/>
  <c r="I26" i="117" s="1"/>
  <c r="H39" i="117"/>
  <c r="I39" i="117" s="1"/>
  <c r="G21" i="116"/>
  <c r="H20" i="117"/>
  <c r="I20" i="117" s="1"/>
  <c r="H39" i="113"/>
  <c r="I39" i="113" s="1"/>
  <c r="H20" i="113"/>
  <c r="I20" i="113" s="1"/>
  <c r="H26" i="114"/>
  <c r="I26" i="114" s="1"/>
  <c r="H26" i="115"/>
  <c r="I26" i="115" s="1"/>
  <c r="H20" i="114"/>
  <c r="I20" i="114" s="1"/>
  <c r="H39" i="114"/>
  <c r="I39" i="114" s="1"/>
  <c r="H20" i="115"/>
  <c r="I20" i="115" s="1"/>
  <c r="H39" i="115"/>
  <c r="I39" i="115" s="1"/>
  <c r="H39" i="112"/>
  <c r="I39" i="112" s="1"/>
  <c r="H21" i="116" l="1"/>
  <c r="I21" i="116" s="1"/>
  <c r="F18" i="73" l="1"/>
  <c r="F18" i="74"/>
  <c r="F18" i="75"/>
  <c r="F18" i="71"/>
  <c r="F18" i="72"/>
  <c r="F18" i="76"/>
  <c r="F18" i="77"/>
  <c r="F18" i="78"/>
  <c r="F18" i="5"/>
  <c r="F21" i="61"/>
  <c r="F21" i="62"/>
  <c r="F21" i="57"/>
  <c r="F21" i="58"/>
  <c r="F21" i="59"/>
  <c r="F21" i="60"/>
  <c r="F21" i="46"/>
  <c r="F21" i="47"/>
  <c r="F21" i="48"/>
  <c r="F21" i="49"/>
  <c r="F21" i="50"/>
  <c r="F21" i="51"/>
  <c r="F21" i="52"/>
  <c r="F21" i="53"/>
  <c r="F21" i="54"/>
  <c r="F21" i="56"/>
  <c r="F21" i="4"/>
  <c r="E18" i="77"/>
  <c r="C18" i="77"/>
  <c r="D18" i="77" s="1"/>
  <c r="E17" i="77"/>
  <c r="G17" i="77" s="1"/>
  <c r="C17" i="77"/>
  <c r="D17" i="77" s="1"/>
  <c r="G18" i="77" l="1"/>
  <c r="H18" i="77" s="1"/>
  <c r="I18" i="77" s="1"/>
  <c r="H17" i="77"/>
  <c r="I17" i="77" s="1"/>
  <c r="F43" i="60" l="1"/>
  <c r="F45" i="60"/>
  <c r="F48" i="60"/>
  <c r="C28" i="59" l="1"/>
  <c r="C28" i="58"/>
  <c r="C28" i="57"/>
  <c r="C28" i="62"/>
  <c r="C28" i="61"/>
  <c r="C28" i="60"/>
  <c r="C28" i="56"/>
  <c r="C28" i="54"/>
  <c r="C28" i="53"/>
  <c r="C28" i="52"/>
  <c r="C28" i="51"/>
  <c r="C28" i="50"/>
  <c r="C28" i="49"/>
  <c r="C28" i="48"/>
  <c r="C28" i="47"/>
  <c r="C28" i="46"/>
  <c r="C28" i="4"/>
  <c r="B16" i="59" l="1"/>
  <c r="B15" i="59"/>
  <c r="B16" i="58"/>
  <c r="B15" i="58"/>
  <c r="B16" i="57"/>
  <c r="B15" i="57"/>
  <c r="B16" i="62"/>
  <c r="B15" i="62"/>
  <c r="B16" i="61"/>
  <c r="B15" i="61"/>
  <c r="B16" i="60"/>
  <c r="B15" i="60"/>
  <c r="B16" i="56"/>
  <c r="B15" i="56"/>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54"/>
  <c r="F50" i="53"/>
  <c r="F50" i="52"/>
  <c r="F50" i="51"/>
  <c r="F50" i="50"/>
  <c r="F50" i="49"/>
  <c r="F50" i="48"/>
  <c r="F50" i="47"/>
  <c r="F50" i="46"/>
  <c r="C17" i="71" l="1"/>
  <c r="C17" i="72"/>
  <c r="C17" i="73"/>
  <c r="C17" i="74"/>
  <c r="C17" i="75"/>
  <c r="C17" i="76"/>
  <c r="C17" i="78"/>
  <c r="C17" i="5"/>
  <c r="B17" i="62" l="1"/>
  <c r="B17" i="61"/>
  <c r="B17" i="60"/>
  <c r="B17" i="59"/>
  <c r="B17" i="58"/>
  <c r="B17" i="57"/>
  <c r="B17" i="56"/>
  <c r="B17" i="54"/>
  <c r="B17" i="53"/>
  <c r="B17" i="52"/>
  <c r="B17" i="51"/>
  <c r="B17" i="50"/>
  <c r="B17" i="49"/>
  <c r="B17" i="48"/>
  <c r="B17" i="47"/>
  <c r="B17" i="46"/>
  <c r="B17" i="4"/>
  <c r="D45" i="7" l="1"/>
  <c r="D43" i="7"/>
  <c r="C45" i="7"/>
  <c r="C43" i="7"/>
  <c r="D42" i="7"/>
  <c r="D40" i="7"/>
  <c r="C42" i="7"/>
  <c r="C40" i="7"/>
  <c r="C39" i="7"/>
  <c r="C37" i="7"/>
  <c r="C36" i="7"/>
  <c r="C34" i="7"/>
  <c r="C33" i="7"/>
  <c r="C31" i="7"/>
  <c r="D30" i="7"/>
  <c r="D28" i="7"/>
  <c r="C30" i="7"/>
  <c r="C28" i="7"/>
  <c r="D27" i="7"/>
  <c r="C27" i="7"/>
  <c r="D25" i="7"/>
  <c r="C25" i="7"/>
  <c r="C24" i="7"/>
  <c r="C22" i="7"/>
  <c r="C21" i="7"/>
  <c r="C20" i="7"/>
  <c r="C18" i="7"/>
  <c r="C17" i="7"/>
  <c r="C16" i="7"/>
  <c r="C14" i="7"/>
  <c r="C13" i="7"/>
  <c r="C11" i="7"/>
  <c r="C10" i="7"/>
  <c r="C9" i="7"/>
  <c r="C7" i="7"/>
  <c r="C6" i="7"/>
  <c r="C5" i="7"/>
  <c r="C3" i="7"/>
  <c r="C2" i="7"/>
  <c r="F31" i="81" l="1"/>
  <c r="F29" i="81"/>
  <c r="E29" i="81"/>
  <c r="D29" i="81"/>
  <c r="E17" i="81"/>
  <c r="E16" i="81"/>
  <c r="F31" i="80"/>
  <c r="F29" i="80"/>
  <c r="E29" i="80"/>
  <c r="G29" i="80" s="1"/>
  <c r="D29" i="80"/>
  <c r="E17" i="80"/>
  <c r="E16" i="80"/>
  <c r="F31" i="79"/>
  <c r="F29" i="79"/>
  <c r="E29" i="79"/>
  <c r="D29" i="79"/>
  <c r="E17" i="79"/>
  <c r="E16" i="79"/>
  <c r="F33" i="78"/>
  <c r="F31" i="78"/>
  <c r="E31" i="78"/>
  <c r="D31" i="78"/>
  <c r="E19" i="78"/>
  <c r="E18" i="78"/>
  <c r="E17" i="78"/>
  <c r="G17" i="78" s="1"/>
  <c r="D17" i="78"/>
  <c r="E16" i="78"/>
  <c r="F33" i="77"/>
  <c r="F31" i="77"/>
  <c r="E31" i="77"/>
  <c r="G31" i="77" s="1"/>
  <c r="D31" i="77"/>
  <c r="E19" i="77"/>
  <c r="E16" i="77"/>
  <c r="F33" i="76"/>
  <c r="F31" i="76"/>
  <c r="E31" i="76"/>
  <c r="G31" i="76" s="1"/>
  <c r="D31" i="76"/>
  <c r="E19" i="76"/>
  <c r="E18" i="76"/>
  <c r="E17" i="76"/>
  <c r="G17" i="76" s="1"/>
  <c r="D17" i="76"/>
  <c r="E16" i="76"/>
  <c r="F33" i="75"/>
  <c r="F31" i="75"/>
  <c r="E31" i="75"/>
  <c r="D31" i="75"/>
  <c r="E19" i="75"/>
  <c r="E18" i="75"/>
  <c r="E17" i="75"/>
  <c r="G17" i="75" s="1"/>
  <c r="D17" i="75"/>
  <c r="E16" i="75"/>
  <c r="F33" i="74"/>
  <c r="F31" i="74"/>
  <c r="E31" i="74"/>
  <c r="D31" i="74"/>
  <c r="E19" i="74"/>
  <c r="E18" i="74"/>
  <c r="E17" i="74"/>
  <c r="G17" i="74" s="1"/>
  <c r="D17" i="74"/>
  <c r="E16" i="74"/>
  <c r="F33" i="73"/>
  <c r="F31" i="73"/>
  <c r="E31" i="73"/>
  <c r="D31" i="73"/>
  <c r="E19" i="73"/>
  <c r="E18" i="73"/>
  <c r="E17" i="73"/>
  <c r="G17" i="73" s="1"/>
  <c r="D17" i="73"/>
  <c r="E16" i="73"/>
  <c r="F33" i="72"/>
  <c r="F31" i="72"/>
  <c r="E31" i="72"/>
  <c r="D31" i="72"/>
  <c r="E19" i="72"/>
  <c r="E18" i="72"/>
  <c r="E17" i="72"/>
  <c r="G17" i="72" s="1"/>
  <c r="D17" i="72"/>
  <c r="E16" i="72"/>
  <c r="F33" i="71"/>
  <c r="F31" i="71"/>
  <c r="E31" i="71"/>
  <c r="D31" i="71"/>
  <c r="E19" i="71"/>
  <c r="E18" i="71"/>
  <c r="E17" i="71"/>
  <c r="G17" i="71" s="1"/>
  <c r="D17" i="71"/>
  <c r="E16" i="71"/>
  <c r="F33" i="5"/>
  <c r="F31" i="5"/>
  <c r="E31" i="5"/>
  <c r="D31" i="5"/>
  <c r="E19" i="5"/>
  <c r="E18" i="5"/>
  <c r="E17" i="5"/>
  <c r="G17" i="5" s="1"/>
  <c r="D17" i="5"/>
  <c r="E16" i="5"/>
  <c r="F32" i="70"/>
  <c r="F30" i="70"/>
  <c r="E30" i="70"/>
  <c r="D30" i="70"/>
  <c r="E16" i="70"/>
  <c r="E15" i="70"/>
  <c r="F32" i="69"/>
  <c r="F30" i="69"/>
  <c r="E30" i="69"/>
  <c r="D30" i="69"/>
  <c r="E16" i="69"/>
  <c r="E15" i="69"/>
  <c r="F32" i="68"/>
  <c r="F30" i="68"/>
  <c r="E30" i="68"/>
  <c r="G30" i="68" s="1"/>
  <c r="D30" i="68"/>
  <c r="E16" i="68"/>
  <c r="E15" i="68"/>
  <c r="F32" i="67"/>
  <c r="F30" i="67"/>
  <c r="E30" i="67"/>
  <c r="G30" i="67" s="1"/>
  <c r="D30" i="67"/>
  <c r="E16" i="67"/>
  <c r="E15" i="67"/>
  <c r="F32" i="66"/>
  <c r="F30" i="66"/>
  <c r="E30" i="66"/>
  <c r="D30" i="66"/>
  <c r="E16" i="66"/>
  <c r="E15" i="66"/>
  <c r="F32" i="65"/>
  <c r="F30" i="65"/>
  <c r="E30" i="65"/>
  <c r="G30" i="65" s="1"/>
  <c r="D30" i="65"/>
  <c r="E16" i="65"/>
  <c r="E15" i="65"/>
  <c r="F32" i="64"/>
  <c r="F30" i="64"/>
  <c r="E30" i="64"/>
  <c r="G30" i="64" s="1"/>
  <c r="D30" i="64"/>
  <c r="E16" i="64"/>
  <c r="E15" i="64"/>
  <c r="F32" i="63"/>
  <c r="F30" i="63"/>
  <c r="E30" i="63"/>
  <c r="D30" i="63"/>
  <c r="E16" i="63"/>
  <c r="E15" i="63"/>
  <c r="F41" i="62"/>
  <c r="F39" i="62"/>
  <c r="E39" i="62"/>
  <c r="D39" i="62"/>
  <c r="F28" i="62"/>
  <c r="G26" i="62"/>
  <c r="C26" i="62"/>
  <c r="D26" i="62" s="1"/>
  <c r="E22" i="62"/>
  <c r="E21" i="62"/>
  <c r="E20" i="62"/>
  <c r="G20" i="62" s="1"/>
  <c r="C20" i="62"/>
  <c r="D20" i="62" s="1"/>
  <c r="E19" i="62"/>
  <c r="F41" i="61"/>
  <c r="F39" i="61"/>
  <c r="E39" i="61"/>
  <c r="D39" i="61"/>
  <c r="F28" i="61"/>
  <c r="G26" i="61"/>
  <c r="C26" i="61"/>
  <c r="D26" i="61" s="1"/>
  <c r="E22" i="61"/>
  <c r="E21" i="61"/>
  <c r="E20" i="61"/>
  <c r="G20" i="61" s="1"/>
  <c r="C20" i="61"/>
  <c r="D20" i="61" s="1"/>
  <c r="E19" i="61"/>
  <c r="F41" i="60"/>
  <c r="F39" i="60"/>
  <c r="E39" i="60"/>
  <c r="D39" i="60"/>
  <c r="F28" i="60"/>
  <c r="G26" i="60"/>
  <c r="C26" i="60"/>
  <c r="D26" i="60" s="1"/>
  <c r="E22" i="60"/>
  <c r="E21" i="60"/>
  <c r="E20" i="60"/>
  <c r="G20" i="60" s="1"/>
  <c r="C20" i="60"/>
  <c r="D20" i="60" s="1"/>
  <c r="E19" i="60"/>
  <c r="F41" i="59"/>
  <c r="F39" i="59"/>
  <c r="E39" i="59"/>
  <c r="D39" i="59"/>
  <c r="F28" i="59"/>
  <c r="G26" i="59"/>
  <c r="C26" i="59"/>
  <c r="D26" i="59" s="1"/>
  <c r="E22" i="59"/>
  <c r="E21" i="59"/>
  <c r="E20" i="59"/>
  <c r="G20" i="59" s="1"/>
  <c r="C20" i="59"/>
  <c r="D20" i="59" s="1"/>
  <c r="E19" i="59"/>
  <c r="F41" i="58"/>
  <c r="F39" i="58"/>
  <c r="E39" i="58"/>
  <c r="D39" i="58"/>
  <c r="F28" i="58"/>
  <c r="G26" i="58"/>
  <c r="C26" i="58"/>
  <c r="D26" i="58" s="1"/>
  <c r="E22" i="58"/>
  <c r="E21" i="58"/>
  <c r="E20" i="58"/>
  <c r="G20" i="58" s="1"/>
  <c r="C20" i="58"/>
  <c r="D20" i="58" s="1"/>
  <c r="E19" i="58"/>
  <c r="F41" i="57"/>
  <c r="F39" i="57"/>
  <c r="E39" i="57"/>
  <c r="D39" i="57"/>
  <c r="F28" i="57"/>
  <c r="G26" i="57"/>
  <c r="C26" i="57"/>
  <c r="D26" i="57" s="1"/>
  <c r="E22" i="57"/>
  <c r="E21" i="57"/>
  <c r="E20" i="57"/>
  <c r="G20" i="57" s="1"/>
  <c r="C20" i="57"/>
  <c r="D20" i="57" s="1"/>
  <c r="E19" i="57"/>
  <c r="F41" i="56"/>
  <c r="F39" i="56"/>
  <c r="E39" i="56"/>
  <c r="G39" i="56" s="1"/>
  <c r="D39" i="56"/>
  <c r="F28" i="56"/>
  <c r="G26" i="56"/>
  <c r="C26" i="56"/>
  <c r="D26" i="56" s="1"/>
  <c r="E22" i="56"/>
  <c r="E21" i="56"/>
  <c r="E20" i="56"/>
  <c r="G20" i="56" s="1"/>
  <c r="C20" i="56"/>
  <c r="D20" i="56" s="1"/>
  <c r="E19" i="56"/>
  <c r="F41" i="54"/>
  <c r="F39" i="54"/>
  <c r="E39" i="54"/>
  <c r="D39" i="54"/>
  <c r="F28" i="54"/>
  <c r="G26" i="54"/>
  <c r="C26" i="54"/>
  <c r="D26" i="54" s="1"/>
  <c r="E22" i="54"/>
  <c r="E21" i="54"/>
  <c r="E20" i="54"/>
  <c r="G20" i="54" s="1"/>
  <c r="C20" i="54"/>
  <c r="D20" i="54" s="1"/>
  <c r="E19" i="54"/>
  <c r="F41" i="53"/>
  <c r="F39" i="53"/>
  <c r="E39" i="53"/>
  <c r="D39" i="53"/>
  <c r="F28" i="53"/>
  <c r="G26" i="53"/>
  <c r="C26" i="53"/>
  <c r="D26" i="53" s="1"/>
  <c r="E22" i="53"/>
  <c r="E21" i="53"/>
  <c r="E20" i="53"/>
  <c r="G20" i="53" s="1"/>
  <c r="C20" i="53"/>
  <c r="D20" i="53" s="1"/>
  <c r="E19" i="53"/>
  <c r="F41" i="52"/>
  <c r="F39" i="52"/>
  <c r="E39" i="52"/>
  <c r="D39" i="52"/>
  <c r="F28" i="52"/>
  <c r="G26" i="52"/>
  <c r="C26" i="52"/>
  <c r="D26" i="52" s="1"/>
  <c r="E22" i="52"/>
  <c r="E21" i="52"/>
  <c r="E20" i="52"/>
  <c r="G20" i="52" s="1"/>
  <c r="C20" i="52"/>
  <c r="D20" i="52" s="1"/>
  <c r="E19" i="52"/>
  <c r="F41" i="51"/>
  <c r="F39" i="51"/>
  <c r="E39" i="51"/>
  <c r="D39" i="51"/>
  <c r="F28" i="51"/>
  <c r="G26" i="51"/>
  <c r="C26" i="51"/>
  <c r="D26" i="51" s="1"/>
  <c r="E22" i="51"/>
  <c r="E21" i="51"/>
  <c r="E20" i="51"/>
  <c r="G20" i="51" s="1"/>
  <c r="C20" i="51"/>
  <c r="D20" i="51" s="1"/>
  <c r="E19" i="51"/>
  <c r="F41" i="50"/>
  <c r="F39" i="50"/>
  <c r="E39" i="50"/>
  <c r="D39" i="50"/>
  <c r="F28" i="50"/>
  <c r="G26" i="50"/>
  <c r="C26" i="50"/>
  <c r="D26" i="50" s="1"/>
  <c r="E22" i="50"/>
  <c r="E21" i="50"/>
  <c r="E20" i="50"/>
  <c r="G20" i="50" s="1"/>
  <c r="C20" i="50"/>
  <c r="D20" i="50" s="1"/>
  <c r="E19" i="50"/>
  <c r="F41" i="49"/>
  <c r="F39" i="49"/>
  <c r="E39" i="49"/>
  <c r="D39" i="49"/>
  <c r="F28" i="49"/>
  <c r="G26" i="49"/>
  <c r="C26" i="49"/>
  <c r="D26" i="49" s="1"/>
  <c r="E22" i="49"/>
  <c r="E21" i="49"/>
  <c r="E20" i="49"/>
  <c r="G20" i="49" s="1"/>
  <c r="C20" i="49"/>
  <c r="D20" i="49" s="1"/>
  <c r="E19" i="49"/>
  <c r="F41" i="48"/>
  <c r="F39" i="48"/>
  <c r="E39" i="48"/>
  <c r="D39" i="48"/>
  <c r="F28" i="48"/>
  <c r="G26" i="48"/>
  <c r="C26" i="48"/>
  <c r="D26" i="48" s="1"/>
  <c r="E22" i="48"/>
  <c r="E21" i="48"/>
  <c r="E20" i="48"/>
  <c r="G20" i="48" s="1"/>
  <c r="C20" i="48"/>
  <c r="D20" i="48" s="1"/>
  <c r="E19" i="48"/>
  <c r="F41" i="47"/>
  <c r="F39" i="47"/>
  <c r="E39" i="47"/>
  <c r="D39" i="47"/>
  <c r="F28" i="47"/>
  <c r="G26" i="47"/>
  <c r="C26" i="47"/>
  <c r="D26" i="47" s="1"/>
  <c r="E22" i="47"/>
  <c r="E21" i="47"/>
  <c r="E20" i="47"/>
  <c r="G20" i="47" s="1"/>
  <c r="C20" i="47"/>
  <c r="D20" i="47" s="1"/>
  <c r="E19" i="47"/>
  <c r="F41" i="46"/>
  <c r="F39" i="46"/>
  <c r="E39" i="46"/>
  <c r="D39" i="46"/>
  <c r="F28" i="46"/>
  <c r="G26" i="46"/>
  <c r="C26" i="46"/>
  <c r="D26" i="46" s="1"/>
  <c r="E22" i="46"/>
  <c r="E21" i="46"/>
  <c r="E20" i="46"/>
  <c r="G20" i="46" s="1"/>
  <c r="C20" i="46"/>
  <c r="D20" i="46" s="1"/>
  <c r="E19" i="46"/>
  <c r="G30" i="63" l="1"/>
  <c r="G30" i="66"/>
  <c r="G30" i="70"/>
  <c r="G30" i="69"/>
  <c r="G29" i="81"/>
  <c r="G31" i="5"/>
  <c r="G31" i="71"/>
  <c r="G31" i="78"/>
  <c r="G31" i="72"/>
  <c r="G39" i="58"/>
  <c r="G39" i="60"/>
  <c r="G39" i="61"/>
  <c r="G39" i="62"/>
  <c r="G39" i="53"/>
  <c r="G39" i="54"/>
  <c r="G39" i="46"/>
  <c r="G39" i="47"/>
  <c r="G39" i="48"/>
  <c r="G39" i="50"/>
  <c r="G39" i="51"/>
  <c r="G39" i="57"/>
  <c r="G29" i="79"/>
  <c r="G39" i="52"/>
  <c r="G39" i="49"/>
  <c r="G39" i="59"/>
  <c r="G31" i="75"/>
  <c r="G31" i="74"/>
  <c r="G31" i="73"/>
  <c r="C20" i="78"/>
  <c r="C20" i="76"/>
  <c r="C20" i="77"/>
  <c r="F35" i="81" l="1"/>
  <c r="F33" i="81"/>
  <c r="B31" i="81"/>
  <c r="B23" i="81"/>
  <c r="B22" i="81"/>
  <c r="B19" i="81"/>
  <c r="B18" i="81"/>
  <c r="F14" i="81"/>
  <c r="E14" i="81"/>
  <c r="D14" i="81"/>
  <c r="F13" i="81"/>
  <c r="B8" i="81"/>
  <c r="B7" i="81"/>
  <c r="B6" i="81"/>
  <c r="B9" i="81" s="1"/>
  <c r="B20" i="81" s="1"/>
  <c r="F35" i="80"/>
  <c r="F33" i="80"/>
  <c r="F14" i="80"/>
  <c r="E14" i="80"/>
  <c r="D14" i="80"/>
  <c r="F13" i="80"/>
  <c r="B8" i="80"/>
  <c r="B6" i="80"/>
  <c r="F35" i="79"/>
  <c r="F33" i="79"/>
  <c r="B31" i="79"/>
  <c r="B23" i="79"/>
  <c r="B22" i="79"/>
  <c r="B19" i="79"/>
  <c r="B18" i="79"/>
  <c r="F14" i="79"/>
  <c r="E14" i="79"/>
  <c r="D14" i="79"/>
  <c r="F13" i="79"/>
  <c r="B8" i="79"/>
  <c r="B7" i="79"/>
  <c r="B6" i="79"/>
  <c r="B9" i="79" s="1"/>
  <c r="B20" i="79" s="1"/>
  <c r="F37" i="78"/>
  <c r="F35" i="78"/>
  <c r="B33" i="78"/>
  <c r="B25" i="78"/>
  <c r="B24" i="78"/>
  <c r="B21" i="78"/>
  <c r="B20" i="78"/>
  <c r="F14" i="78"/>
  <c r="E14" i="78"/>
  <c r="D14" i="78"/>
  <c r="F13" i="78"/>
  <c r="B8" i="78"/>
  <c r="B7" i="78"/>
  <c r="B6" i="78"/>
  <c r="B9" i="78" s="1"/>
  <c r="B22" i="78" s="1"/>
  <c r="F37" i="77"/>
  <c r="F35" i="77"/>
  <c r="F14" i="77"/>
  <c r="E14" i="77"/>
  <c r="D14" i="77"/>
  <c r="F13" i="77"/>
  <c r="B8" i="77"/>
  <c r="B6" i="77"/>
  <c r="F37" i="76"/>
  <c r="F35" i="76"/>
  <c r="B33" i="76"/>
  <c r="B25" i="76"/>
  <c r="B24" i="76"/>
  <c r="B21" i="76"/>
  <c r="B20" i="76"/>
  <c r="F14" i="76"/>
  <c r="E14" i="76"/>
  <c r="D14" i="76"/>
  <c r="F13" i="76"/>
  <c r="B8" i="76"/>
  <c r="B7" i="76"/>
  <c r="B6" i="76"/>
  <c r="B9" i="76" s="1"/>
  <c r="B22" i="76" s="1"/>
  <c r="F37" i="75"/>
  <c r="F35" i="75"/>
  <c r="B33" i="75"/>
  <c r="B25" i="75"/>
  <c r="B24" i="75"/>
  <c r="B21" i="75"/>
  <c r="B20" i="75"/>
  <c r="F14" i="75"/>
  <c r="E14" i="75"/>
  <c r="D14" i="75"/>
  <c r="F13" i="75"/>
  <c r="B8" i="75"/>
  <c r="B7" i="75"/>
  <c r="B6" i="75"/>
  <c r="B9" i="75" s="1"/>
  <c r="B22" i="75" s="1"/>
  <c r="F37" i="74"/>
  <c r="F35" i="74"/>
  <c r="F14" i="74"/>
  <c r="E14" i="74"/>
  <c r="D14" i="74"/>
  <c r="F13" i="74"/>
  <c r="B8" i="74"/>
  <c r="B6" i="74"/>
  <c r="F37" i="73"/>
  <c r="F35" i="73"/>
  <c r="B33" i="73"/>
  <c r="B25" i="73"/>
  <c r="B24" i="73"/>
  <c r="B21" i="73"/>
  <c r="B20" i="73"/>
  <c r="F14" i="73"/>
  <c r="E14" i="73"/>
  <c r="D14" i="73"/>
  <c r="F13" i="73"/>
  <c r="B8" i="73"/>
  <c r="B7" i="73"/>
  <c r="B6" i="73"/>
  <c r="B9" i="73" s="1"/>
  <c r="B22" i="73" s="1"/>
  <c r="B7" i="72"/>
  <c r="B7" i="5"/>
  <c r="F37" i="72"/>
  <c r="F35" i="72"/>
  <c r="B25" i="72"/>
  <c r="B24" i="72"/>
  <c r="B21" i="72"/>
  <c r="B20" i="72"/>
  <c r="F14" i="72"/>
  <c r="E14" i="72"/>
  <c r="D14" i="72"/>
  <c r="F13" i="72"/>
  <c r="B8" i="72"/>
  <c r="B6" i="72"/>
  <c r="B33" i="72"/>
  <c r="F37" i="71"/>
  <c r="F35" i="71"/>
  <c r="F14" i="71"/>
  <c r="E14" i="71"/>
  <c r="D14" i="71"/>
  <c r="F13" i="71"/>
  <c r="B8" i="71"/>
  <c r="B6" i="71"/>
  <c r="F36" i="70"/>
  <c r="F34" i="70"/>
  <c r="B32" i="70"/>
  <c r="F13" i="70"/>
  <c r="F12" i="70"/>
  <c r="B9" i="70"/>
  <c r="B18" i="70" s="1"/>
  <c r="B7" i="70"/>
  <c r="B6" i="70"/>
  <c r="B8" i="70" s="1"/>
  <c r="B5" i="70"/>
  <c r="F36" i="69"/>
  <c r="F34" i="69"/>
  <c r="F13" i="69"/>
  <c r="F12" i="69"/>
  <c r="B9" i="69"/>
  <c r="B7" i="69"/>
  <c r="B6" i="69"/>
  <c r="B5" i="69"/>
  <c r="F36" i="68"/>
  <c r="F34" i="68"/>
  <c r="B32" i="68"/>
  <c r="F13" i="68"/>
  <c r="F12" i="68"/>
  <c r="B9" i="68"/>
  <c r="B18" i="68" s="1"/>
  <c r="B7" i="68"/>
  <c r="B6" i="68"/>
  <c r="B8" i="68" s="1"/>
  <c r="B5" i="68"/>
  <c r="F36" i="67"/>
  <c r="F34" i="67"/>
  <c r="B32" i="67"/>
  <c r="F13" i="67"/>
  <c r="F12" i="67"/>
  <c r="B9" i="67"/>
  <c r="B18" i="67" s="1"/>
  <c r="B7" i="67"/>
  <c r="B6" i="67"/>
  <c r="B8" i="67" s="1"/>
  <c r="B5" i="67"/>
  <c r="F36" i="66"/>
  <c r="F34" i="66"/>
  <c r="F13" i="66"/>
  <c r="F12" i="66"/>
  <c r="B9" i="66"/>
  <c r="B7" i="66"/>
  <c r="B6" i="66"/>
  <c r="B5" i="66"/>
  <c r="F36" i="65"/>
  <c r="F34" i="65"/>
  <c r="B32" i="65"/>
  <c r="F13" i="65"/>
  <c r="F12" i="65"/>
  <c r="B9" i="65"/>
  <c r="B18" i="65" s="1"/>
  <c r="B7" i="65"/>
  <c r="B6" i="65"/>
  <c r="B8" i="65" s="1"/>
  <c r="B5" i="65"/>
  <c r="F36" i="64"/>
  <c r="F34" i="64"/>
  <c r="B32" i="64"/>
  <c r="F13" i="64"/>
  <c r="F12" i="64"/>
  <c r="B9" i="64"/>
  <c r="B18" i="64" s="1"/>
  <c r="B7" i="64"/>
  <c r="B6" i="64"/>
  <c r="B8" i="64" s="1"/>
  <c r="B5" i="64"/>
  <c r="F36" i="63"/>
  <c r="F34" i="63"/>
  <c r="F13" i="63"/>
  <c r="F12" i="63"/>
  <c r="B9" i="63"/>
  <c r="B7" i="63"/>
  <c r="B6" i="63"/>
  <c r="B5" i="63"/>
  <c r="E16" i="25"/>
  <c r="F48" i="62"/>
  <c r="F43" i="62"/>
  <c r="B41" i="62"/>
  <c r="F17" i="62"/>
  <c r="F16" i="62"/>
  <c r="F15" i="62"/>
  <c r="F13" i="62"/>
  <c r="F12" i="62"/>
  <c r="B9" i="62"/>
  <c r="B24" i="62" s="1"/>
  <c r="B7" i="62"/>
  <c r="B6" i="62"/>
  <c r="B8" i="62" s="1"/>
  <c r="B38" i="62" s="1"/>
  <c r="B5" i="62"/>
  <c r="F48" i="61"/>
  <c r="F45" i="61"/>
  <c r="F43" i="61"/>
  <c r="B41" i="61"/>
  <c r="F17" i="61"/>
  <c r="F16" i="61"/>
  <c r="F15" i="61"/>
  <c r="F13" i="61"/>
  <c r="F12" i="61"/>
  <c r="B9" i="61"/>
  <c r="B24" i="61" s="1"/>
  <c r="B7" i="61"/>
  <c r="B6" i="61"/>
  <c r="B5" i="61"/>
  <c r="B41" i="60"/>
  <c r="F17" i="60"/>
  <c r="F16" i="60"/>
  <c r="F15" i="60"/>
  <c r="F13" i="60"/>
  <c r="F12" i="60"/>
  <c r="B9" i="60"/>
  <c r="B24" i="60" s="1"/>
  <c r="B7" i="60"/>
  <c r="B6" i="60"/>
  <c r="B5" i="60"/>
  <c r="F48" i="59"/>
  <c r="F43" i="59"/>
  <c r="B41" i="59"/>
  <c r="F17" i="59"/>
  <c r="F16" i="59"/>
  <c r="F15" i="59"/>
  <c r="F13" i="59"/>
  <c r="F12" i="59"/>
  <c r="B9" i="59"/>
  <c r="B24" i="59" s="1"/>
  <c r="B7" i="59"/>
  <c r="B6" i="59"/>
  <c r="B8" i="59" s="1"/>
  <c r="B38" i="59" s="1"/>
  <c r="B5" i="59"/>
  <c r="F48" i="58"/>
  <c r="F45" i="58"/>
  <c r="F43" i="58"/>
  <c r="B41" i="58"/>
  <c r="F17" i="58"/>
  <c r="F16" i="58"/>
  <c r="F15" i="58"/>
  <c r="F13" i="58"/>
  <c r="F12" i="58"/>
  <c r="B9" i="58"/>
  <c r="B24" i="58" s="1"/>
  <c r="B7" i="58"/>
  <c r="B6" i="58"/>
  <c r="B5" i="58"/>
  <c r="F48" i="57"/>
  <c r="F45" i="57"/>
  <c r="F43" i="57"/>
  <c r="B41" i="57"/>
  <c r="F17" i="57"/>
  <c r="F16" i="57"/>
  <c r="F15" i="57"/>
  <c r="F13" i="57"/>
  <c r="F12" i="57"/>
  <c r="B9" i="57"/>
  <c r="B24" i="57" s="1"/>
  <c r="B7" i="57"/>
  <c r="B6" i="57"/>
  <c r="B8" i="57" s="1"/>
  <c r="B38" i="57" s="1"/>
  <c r="B5" i="57"/>
  <c r="F48" i="56"/>
  <c r="F45" i="56"/>
  <c r="F43" i="56"/>
  <c r="B41" i="56"/>
  <c r="F17" i="56"/>
  <c r="F16" i="56"/>
  <c r="F15" i="56"/>
  <c r="F13" i="56"/>
  <c r="F12" i="56"/>
  <c r="B9" i="56"/>
  <c r="B24" i="56" s="1"/>
  <c r="B7" i="56"/>
  <c r="B6" i="56"/>
  <c r="B5" i="56"/>
  <c r="F48" i="54"/>
  <c r="F45" i="54"/>
  <c r="F43" i="54"/>
  <c r="B41" i="54"/>
  <c r="F17" i="54"/>
  <c r="F16" i="54"/>
  <c r="F15" i="54"/>
  <c r="F13" i="54"/>
  <c r="F12" i="54"/>
  <c r="B9" i="54"/>
  <c r="B24" i="54" s="1"/>
  <c r="B7" i="54"/>
  <c r="B6" i="54"/>
  <c r="B5" i="54"/>
  <c r="F48" i="53"/>
  <c r="F45" i="53"/>
  <c r="F43" i="53"/>
  <c r="B41" i="53"/>
  <c r="F17" i="53"/>
  <c r="F16" i="53"/>
  <c r="F15" i="53"/>
  <c r="F13" i="53"/>
  <c r="F12" i="53"/>
  <c r="B9" i="53"/>
  <c r="B24" i="53" s="1"/>
  <c r="B7" i="53"/>
  <c r="B6" i="53"/>
  <c r="B8" i="53" s="1"/>
  <c r="B38" i="53" s="1"/>
  <c r="B5" i="53"/>
  <c r="F48" i="52"/>
  <c r="F45" i="52"/>
  <c r="F43" i="52"/>
  <c r="B41" i="52"/>
  <c r="F17" i="52"/>
  <c r="F16" i="52"/>
  <c r="F15" i="52"/>
  <c r="F13" i="52"/>
  <c r="F12" i="52"/>
  <c r="B9" i="52"/>
  <c r="B24" i="52" s="1"/>
  <c r="B7" i="52"/>
  <c r="B6" i="52"/>
  <c r="B5" i="52"/>
  <c r="F48" i="51"/>
  <c r="F45" i="51"/>
  <c r="F43" i="51"/>
  <c r="B41" i="51"/>
  <c r="F17" i="51"/>
  <c r="F16" i="51"/>
  <c r="F15" i="51"/>
  <c r="F13" i="51"/>
  <c r="F12" i="51"/>
  <c r="B9" i="51"/>
  <c r="B7" i="51"/>
  <c r="B6" i="51"/>
  <c r="B8" i="51" s="1"/>
  <c r="B38" i="51" s="1"/>
  <c r="B5" i="51"/>
  <c r="F48" i="50"/>
  <c r="F45" i="50"/>
  <c r="F43" i="50"/>
  <c r="B41" i="50"/>
  <c r="F17" i="50"/>
  <c r="F16" i="50"/>
  <c r="F15" i="50"/>
  <c r="F13" i="50"/>
  <c r="F12" i="50"/>
  <c r="B9" i="50"/>
  <c r="B24" i="50" s="1"/>
  <c r="B7" i="50"/>
  <c r="B6" i="50"/>
  <c r="B5" i="50"/>
  <c r="F48" i="49"/>
  <c r="F45" i="49"/>
  <c r="F43" i="49"/>
  <c r="B41" i="49"/>
  <c r="F17" i="49"/>
  <c r="F16" i="49"/>
  <c r="F15" i="49"/>
  <c r="F13" i="49"/>
  <c r="F12" i="49"/>
  <c r="B9" i="49"/>
  <c r="B24" i="49" s="1"/>
  <c r="B7" i="49"/>
  <c r="B6" i="49"/>
  <c r="B5" i="49"/>
  <c r="F48" i="48"/>
  <c r="F45" i="48"/>
  <c r="F43" i="48"/>
  <c r="B41" i="48"/>
  <c r="F17" i="48"/>
  <c r="F16" i="48"/>
  <c r="F15" i="48"/>
  <c r="F13" i="48"/>
  <c r="F12" i="48"/>
  <c r="B9" i="48"/>
  <c r="B24" i="48" s="1"/>
  <c r="B7" i="48"/>
  <c r="B6" i="48"/>
  <c r="B8" i="48" s="1"/>
  <c r="B38" i="48" s="1"/>
  <c r="B5" i="48"/>
  <c r="F48" i="47"/>
  <c r="F45" i="47"/>
  <c r="F43" i="47"/>
  <c r="B41" i="47"/>
  <c r="F17" i="47"/>
  <c r="F16" i="47"/>
  <c r="F15" i="47"/>
  <c r="F13" i="47"/>
  <c r="F12" i="47"/>
  <c r="B9" i="47"/>
  <c r="B7" i="47"/>
  <c r="B6" i="47"/>
  <c r="B8" i="47" s="1"/>
  <c r="B38" i="47" s="1"/>
  <c r="B5" i="47"/>
  <c r="F48" i="46"/>
  <c r="F45" i="46"/>
  <c r="F43" i="46"/>
  <c r="B41" i="46"/>
  <c r="F17" i="46"/>
  <c r="F16" i="46"/>
  <c r="F15" i="46"/>
  <c r="F13" i="46"/>
  <c r="F12" i="46"/>
  <c r="B9" i="46"/>
  <c r="B24" i="46" s="1"/>
  <c r="B7" i="46"/>
  <c r="B6" i="46"/>
  <c r="B5" i="46"/>
  <c r="E21" i="4"/>
  <c r="E22" i="4"/>
  <c r="B29" i="65" l="1"/>
  <c r="D29" i="65" s="1"/>
  <c r="B19" i="65"/>
  <c r="B29" i="70"/>
  <c r="D29" i="70" s="1"/>
  <c r="B19" i="70"/>
  <c r="B29" i="67"/>
  <c r="E29" i="67" s="1"/>
  <c r="G29" i="67" s="1"/>
  <c r="B19" i="67"/>
  <c r="B29" i="64"/>
  <c r="E29" i="64" s="1"/>
  <c r="G29" i="64" s="1"/>
  <c r="B19" i="64"/>
  <c r="B29" i="68"/>
  <c r="E29" i="68" s="1"/>
  <c r="G29" i="68" s="1"/>
  <c r="B19" i="68"/>
  <c r="E22" i="76"/>
  <c r="E22" i="78"/>
  <c r="E22" i="73"/>
  <c r="E22" i="75"/>
  <c r="D41" i="57"/>
  <c r="E41" i="57"/>
  <c r="G41" i="57" s="1"/>
  <c r="H41" i="57" s="1"/>
  <c r="I41" i="57" s="1"/>
  <c r="E32" i="68"/>
  <c r="G32" i="68" s="1"/>
  <c r="D32" i="68"/>
  <c r="E41" i="61"/>
  <c r="G41" i="61" s="1"/>
  <c r="D41" i="61"/>
  <c r="E32" i="65"/>
  <c r="G32" i="65" s="1"/>
  <c r="D32" i="65"/>
  <c r="E41" i="54"/>
  <c r="G41" i="54" s="1"/>
  <c r="H41" i="54" s="1"/>
  <c r="I41" i="54" s="1"/>
  <c r="D41" i="54"/>
  <c r="E32" i="64"/>
  <c r="G32" i="64" s="1"/>
  <c r="H32" i="64" s="1"/>
  <c r="I32" i="64" s="1"/>
  <c r="D32" i="64"/>
  <c r="E41" i="58"/>
  <c r="G41" i="58" s="1"/>
  <c r="D41" i="58"/>
  <c r="E32" i="67"/>
  <c r="G32" i="67" s="1"/>
  <c r="D32" i="67"/>
  <c r="E41" i="60"/>
  <c r="G41" i="60" s="1"/>
  <c r="D41" i="60"/>
  <c r="H41" i="60" s="1"/>
  <c r="I41" i="60" s="1"/>
  <c r="E32" i="70"/>
  <c r="G32" i="70" s="1"/>
  <c r="D32" i="70"/>
  <c r="E41" i="52"/>
  <c r="G41" i="52" s="1"/>
  <c r="D41" i="52"/>
  <c r="D41" i="49"/>
  <c r="E41" i="49"/>
  <c r="G41" i="49" s="1"/>
  <c r="E41" i="46"/>
  <c r="G41" i="46" s="1"/>
  <c r="D41" i="46"/>
  <c r="G14" i="80"/>
  <c r="H14" i="80" s="1"/>
  <c r="I14" i="80" s="1"/>
  <c r="G14" i="76"/>
  <c r="H14" i="76" s="1"/>
  <c r="I14" i="76" s="1"/>
  <c r="G14" i="71"/>
  <c r="H14" i="71" s="1"/>
  <c r="I14" i="71" s="1"/>
  <c r="B13" i="75"/>
  <c r="B30" i="75"/>
  <c r="B13" i="79"/>
  <c r="B28" i="79"/>
  <c r="B13" i="78"/>
  <c r="B30" i="78"/>
  <c r="B13" i="73"/>
  <c r="B30" i="73"/>
  <c r="B13" i="81"/>
  <c r="B28" i="8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4"/>
  <c r="H14" i="74" s="1"/>
  <c r="I14" i="74" s="1"/>
  <c r="G14" i="78"/>
  <c r="H14" i="78" s="1"/>
  <c r="I14" i="78" s="1"/>
  <c r="E24" i="76"/>
  <c r="D33" i="76"/>
  <c r="E33" i="76"/>
  <c r="G33" i="76" s="1"/>
  <c r="E20" i="76"/>
  <c r="D20" i="76"/>
  <c r="E21" i="76"/>
  <c r="E25" i="76"/>
  <c r="E20" i="73"/>
  <c r="E21" i="73"/>
  <c r="E25" i="73"/>
  <c r="E24" i="73"/>
  <c r="E33" i="73"/>
  <c r="G33" i="73" s="1"/>
  <c r="H33" i="73" s="1"/>
  <c r="I33" i="73" s="1"/>
  <c r="D33" i="73"/>
  <c r="G14" i="81"/>
  <c r="H14" i="81" s="1"/>
  <c r="I14" i="81" s="1"/>
  <c r="G14" i="79"/>
  <c r="H14" i="79" s="1"/>
  <c r="I14" i="79" s="1"/>
  <c r="G14" i="77"/>
  <c r="H14" i="77" s="1"/>
  <c r="I14" i="77"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1" i="64"/>
  <c r="F21" i="64" s="1"/>
  <c r="B13" i="64"/>
  <c r="D13" i="64" s="1"/>
  <c r="B12" i="64"/>
  <c r="C21" i="65"/>
  <c r="F21" i="65" s="1"/>
  <c r="B13" i="65"/>
  <c r="D13" i="65" s="1"/>
  <c r="B12" i="65"/>
  <c r="B13" i="67"/>
  <c r="E13" i="67" s="1"/>
  <c r="G13" i="67" s="1"/>
  <c r="B12" i="67"/>
  <c r="B13" i="68"/>
  <c r="E13" i="68" s="1"/>
  <c r="G13" i="68" s="1"/>
  <c r="B12" i="68"/>
  <c r="C21" i="70"/>
  <c r="F21" i="70" s="1"/>
  <c r="B13" i="70"/>
  <c r="D13" i="70" s="1"/>
  <c r="B12" i="70"/>
  <c r="E41" i="62"/>
  <c r="G41" i="62" s="1"/>
  <c r="D41" i="62"/>
  <c r="H41" i="62" s="1"/>
  <c r="I41" i="62" s="1"/>
  <c r="D41" i="59"/>
  <c r="E41" i="59"/>
  <c r="G41" i="59" s="1"/>
  <c r="D31" i="81"/>
  <c r="E31" i="81"/>
  <c r="G31" i="81" s="1"/>
  <c r="E18" i="81"/>
  <c r="E19" i="81"/>
  <c r="E23" i="81"/>
  <c r="E20" i="81"/>
  <c r="E22" i="81"/>
  <c r="D31" i="79"/>
  <c r="E31" i="79"/>
  <c r="G31" i="79" s="1"/>
  <c r="E18" i="79"/>
  <c r="E19" i="79"/>
  <c r="E23" i="79"/>
  <c r="E20" i="79"/>
  <c r="E22" i="79"/>
  <c r="E33" i="78"/>
  <c r="G33" i="78" s="1"/>
  <c r="D33" i="78"/>
  <c r="E20" i="78"/>
  <c r="D20" i="78"/>
  <c r="E21" i="78"/>
  <c r="E25" i="78"/>
  <c r="E24" i="78"/>
  <c r="D33" i="75"/>
  <c r="E33" i="75"/>
  <c r="G33" i="75" s="1"/>
  <c r="E20" i="75"/>
  <c r="E21" i="75"/>
  <c r="E25" i="75"/>
  <c r="E24" i="75"/>
  <c r="E33" i="72"/>
  <c r="G33" i="72" s="1"/>
  <c r="D33" i="72"/>
  <c r="E24" i="72"/>
  <c r="E20" i="72"/>
  <c r="E21" i="72"/>
  <c r="E25" i="72"/>
  <c r="E18" i="64"/>
  <c r="E18" i="65"/>
  <c r="E18" i="67"/>
  <c r="E18" i="68"/>
  <c r="E18" i="70"/>
  <c r="E24" i="46"/>
  <c r="E24" i="48"/>
  <c r="E24" i="49"/>
  <c r="E24" i="50"/>
  <c r="E24" i="52"/>
  <c r="E24" i="53"/>
  <c r="E24" i="54"/>
  <c r="E24" i="56"/>
  <c r="E24" i="57"/>
  <c r="E24" i="58"/>
  <c r="E24" i="59"/>
  <c r="E24" i="60"/>
  <c r="E24" i="61"/>
  <c r="E24" i="62"/>
  <c r="C21" i="67"/>
  <c r="F21" i="67" s="1"/>
  <c r="C21" i="68"/>
  <c r="F21" i="68" s="1"/>
  <c r="B26" i="81"/>
  <c r="B27" i="81"/>
  <c r="H29" i="81"/>
  <c r="I29" i="81" s="1"/>
  <c r="H29" i="80"/>
  <c r="I29" i="80" s="1"/>
  <c r="B26" i="79"/>
  <c r="B27" i="79"/>
  <c r="H29" i="79"/>
  <c r="I29" i="79" s="1"/>
  <c r="E15" i="53"/>
  <c r="G15" i="53" s="1"/>
  <c r="E16" i="53"/>
  <c r="G16" i="53" s="1"/>
  <c r="E17" i="53"/>
  <c r="G17" i="53" s="1"/>
  <c r="D15" i="47"/>
  <c r="B23" i="49"/>
  <c r="E15" i="61"/>
  <c r="G15" i="61" s="1"/>
  <c r="E15" i="62"/>
  <c r="G15" i="62" s="1"/>
  <c r="E16" i="62"/>
  <c r="G16" i="62" s="1"/>
  <c r="E17" i="62"/>
  <c r="G17" i="62" s="1"/>
  <c r="B28" i="78"/>
  <c r="B29" i="78"/>
  <c r="H31" i="78"/>
  <c r="I31" i="78" s="1"/>
  <c r="H17" i="78"/>
  <c r="I17" i="78" s="1"/>
  <c r="H31" i="77"/>
  <c r="I31" i="77" s="1"/>
  <c r="H17" i="76"/>
  <c r="I17" i="76" s="1"/>
  <c r="B28" i="76"/>
  <c r="B29" i="76"/>
  <c r="H31" i="76"/>
  <c r="I31" i="76" s="1"/>
  <c r="B28" i="75"/>
  <c r="B29" i="75"/>
  <c r="H31" i="75"/>
  <c r="I31" i="75" s="1"/>
  <c r="H17" i="75"/>
  <c r="I17" i="75" s="1"/>
  <c r="H31" i="74"/>
  <c r="I31" i="74" s="1"/>
  <c r="H17" i="74"/>
  <c r="I17" i="74" s="1"/>
  <c r="H31" i="73"/>
  <c r="I31" i="73" s="1"/>
  <c r="B28" i="73"/>
  <c r="B29" i="73"/>
  <c r="H17" i="73"/>
  <c r="I17" i="73" s="1"/>
  <c r="H17" i="72"/>
  <c r="I17" i="72" s="1"/>
  <c r="H31" i="72"/>
  <c r="I31" i="72" s="1"/>
  <c r="B9" i="72"/>
  <c r="B22" i="72" s="1"/>
  <c r="H17" i="71"/>
  <c r="I17" i="71" s="1"/>
  <c r="H31" i="71"/>
  <c r="I31" i="71" s="1"/>
  <c r="B27" i="70"/>
  <c r="B23" i="70"/>
  <c r="B21" i="70"/>
  <c r="B28" i="70"/>
  <c r="B24" i="70"/>
  <c r="H30" i="70"/>
  <c r="I30" i="70" s="1"/>
  <c r="B17" i="70"/>
  <c r="H30" i="69"/>
  <c r="I30" i="69" s="1"/>
  <c r="B27" i="68"/>
  <c r="B23" i="68"/>
  <c r="B21" i="68"/>
  <c r="B28" i="68"/>
  <c r="B24" i="68"/>
  <c r="H30" i="68"/>
  <c r="I30" i="68" s="1"/>
  <c r="B17" i="68"/>
  <c r="B27" i="67"/>
  <c r="B23" i="67"/>
  <c r="B21" i="67"/>
  <c r="B28" i="67"/>
  <c r="B24" i="67"/>
  <c r="H30" i="67"/>
  <c r="I30" i="67" s="1"/>
  <c r="B17" i="67"/>
  <c r="H30" i="66"/>
  <c r="I30" i="66" s="1"/>
  <c r="B27" i="65"/>
  <c r="B23" i="65"/>
  <c r="B21" i="65"/>
  <c r="B28" i="65"/>
  <c r="B24" i="65"/>
  <c r="H30" i="65"/>
  <c r="I30" i="65" s="1"/>
  <c r="B17" i="65"/>
  <c r="B27" i="64"/>
  <c r="B23" i="64"/>
  <c r="B21" i="64"/>
  <c r="B28" i="64"/>
  <c r="B24" i="64"/>
  <c r="H30" i="64"/>
  <c r="I30" i="64" s="1"/>
  <c r="B17" i="64"/>
  <c r="H30" i="63"/>
  <c r="I30" i="63" s="1"/>
  <c r="B37" i="62"/>
  <c r="B36" i="62"/>
  <c r="B32" i="62"/>
  <c r="B31" i="62"/>
  <c r="B28" i="62"/>
  <c r="B27" i="62"/>
  <c r="H20" i="62"/>
  <c r="I20" i="62" s="1"/>
  <c r="B23" i="62"/>
  <c r="H39" i="62"/>
  <c r="I39" i="62" s="1"/>
  <c r="H26" i="62"/>
  <c r="I26" i="62" s="1"/>
  <c r="E17" i="61"/>
  <c r="G17" i="61" s="1"/>
  <c r="D17" i="61"/>
  <c r="B8" i="61"/>
  <c r="B38" i="61" s="1"/>
  <c r="H20" i="61"/>
  <c r="I20" i="61" s="1"/>
  <c r="B23" i="61"/>
  <c r="H39" i="61"/>
  <c r="I39" i="61" s="1"/>
  <c r="H26" i="61"/>
  <c r="I26" i="61" s="1"/>
  <c r="E17" i="60"/>
  <c r="G17" i="60" s="1"/>
  <c r="D17" i="60"/>
  <c r="H20" i="60"/>
  <c r="I20" i="60" s="1"/>
  <c r="B8" i="60"/>
  <c r="B38" i="60" s="1"/>
  <c r="B23" i="60"/>
  <c r="H39" i="60"/>
  <c r="I39" i="60" s="1"/>
  <c r="H26" i="60"/>
  <c r="I26" i="60" s="1"/>
  <c r="H20" i="59"/>
  <c r="I20" i="59" s="1"/>
  <c r="B37" i="59"/>
  <c r="B36" i="59"/>
  <c r="B32" i="59"/>
  <c r="B31" i="59"/>
  <c r="B28" i="59"/>
  <c r="B27" i="59"/>
  <c r="H39" i="59"/>
  <c r="I39" i="59" s="1"/>
  <c r="B23" i="59"/>
  <c r="H26" i="59"/>
  <c r="I26" i="59" s="1"/>
  <c r="E17" i="58"/>
  <c r="G17" i="58" s="1"/>
  <c r="D17" i="58"/>
  <c r="B8" i="58"/>
  <c r="B38" i="58" s="1"/>
  <c r="H20" i="58"/>
  <c r="I20" i="58" s="1"/>
  <c r="B23" i="58"/>
  <c r="H39" i="58"/>
  <c r="I39" i="58" s="1"/>
  <c r="H41" i="58"/>
  <c r="I41" i="58" s="1"/>
  <c r="H26" i="58"/>
  <c r="I26" i="58" s="1"/>
  <c r="E15" i="57"/>
  <c r="G15" i="57" s="1"/>
  <c r="E16" i="57"/>
  <c r="G16" i="57" s="1"/>
  <c r="E17" i="57"/>
  <c r="G17" i="57" s="1"/>
  <c r="B37" i="57"/>
  <c r="B36" i="57"/>
  <c r="B32" i="57"/>
  <c r="B31" i="57"/>
  <c r="B28" i="57"/>
  <c r="B27" i="57"/>
  <c r="H20" i="57"/>
  <c r="I20" i="57" s="1"/>
  <c r="B23" i="57"/>
  <c r="H39" i="57"/>
  <c r="I39" i="57" s="1"/>
  <c r="H26" i="57"/>
  <c r="I26" i="57" s="1"/>
  <c r="E17" i="56"/>
  <c r="G17" i="56" s="1"/>
  <c r="D17" i="56"/>
  <c r="H20" i="56"/>
  <c r="I20" i="56" s="1"/>
  <c r="B8" i="56"/>
  <c r="B38" i="56" s="1"/>
  <c r="B23" i="56"/>
  <c r="H26" i="56"/>
  <c r="I26" i="56" s="1"/>
  <c r="H39" i="56"/>
  <c r="I39" i="56" s="1"/>
  <c r="B23" i="54"/>
  <c r="E17" i="54"/>
  <c r="G17" i="54" s="1"/>
  <c r="D17" i="54"/>
  <c r="H20" i="54"/>
  <c r="I20" i="54" s="1"/>
  <c r="B8" i="54"/>
  <c r="B38" i="54" s="1"/>
  <c r="H39" i="54"/>
  <c r="I39" i="54" s="1"/>
  <c r="H26" i="54"/>
  <c r="I26" i="54" s="1"/>
  <c r="B37" i="53"/>
  <c r="B36" i="53"/>
  <c r="B32" i="53"/>
  <c r="B31" i="53"/>
  <c r="B28" i="53"/>
  <c r="B27" i="53"/>
  <c r="H20" i="53"/>
  <c r="I20" i="53" s="1"/>
  <c r="B23" i="53"/>
  <c r="H39" i="53"/>
  <c r="I39" i="53" s="1"/>
  <c r="H26" i="53"/>
  <c r="I26" i="53" s="1"/>
  <c r="E17" i="52"/>
  <c r="G17" i="52" s="1"/>
  <c r="D17" i="52"/>
  <c r="H20" i="52"/>
  <c r="I20" i="52" s="1"/>
  <c r="B8" i="52"/>
  <c r="B38" i="52" s="1"/>
  <c r="B23" i="52"/>
  <c r="H39" i="52"/>
  <c r="I39" i="52" s="1"/>
  <c r="H26" i="52"/>
  <c r="I26" i="52" s="1"/>
  <c r="H41" i="52"/>
  <c r="I41" i="52" s="1"/>
  <c r="D15" i="51"/>
  <c r="D16" i="51"/>
  <c r="D17" i="51"/>
  <c r="B37" i="51"/>
  <c r="B36" i="51"/>
  <c r="B32" i="51"/>
  <c r="B31" i="51"/>
  <c r="B28" i="51"/>
  <c r="B27" i="51"/>
  <c r="B24" i="51"/>
  <c r="H39" i="51"/>
  <c r="I39" i="51" s="1"/>
  <c r="H20" i="51"/>
  <c r="I20" i="51" s="1"/>
  <c r="B23" i="51"/>
  <c r="H26" i="51"/>
  <c r="I26" i="51" s="1"/>
  <c r="E17" i="50"/>
  <c r="G17" i="50" s="1"/>
  <c r="D17" i="50"/>
  <c r="H20" i="50"/>
  <c r="I20" i="50" s="1"/>
  <c r="B8" i="50"/>
  <c r="B38" i="50" s="1"/>
  <c r="B23" i="50"/>
  <c r="H39" i="50"/>
  <c r="I39" i="50" s="1"/>
  <c r="H26" i="50"/>
  <c r="I26" i="50" s="1"/>
  <c r="E17" i="49"/>
  <c r="G17" i="49" s="1"/>
  <c r="D17" i="49"/>
  <c r="H20" i="49"/>
  <c r="I20" i="49" s="1"/>
  <c r="B8" i="49"/>
  <c r="B38" i="49" s="1"/>
  <c r="H39" i="49"/>
  <c r="I39" i="49" s="1"/>
  <c r="H26" i="49"/>
  <c r="I26" i="49" s="1"/>
  <c r="E15" i="48"/>
  <c r="G15" i="48" s="1"/>
  <c r="E16" i="48"/>
  <c r="G16" i="48" s="1"/>
  <c r="E17" i="48"/>
  <c r="G17" i="48" s="1"/>
  <c r="B37" i="48"/>
  <c r="B36" i="48"/>
  <c r="B32" i="48"/>
  <c r="B31" i="48"/>
  <c r="B28" i="48"/>
  <c r="B27" i="48"/>
  <c r="H20" i="48"/>
  <c r="I20" i="48" s="1"/>
  <c r="B23" i="48"/>
  <c r="H39" i="48"/>
  <c r="I39" i="48" s="1"/>
  <c r="H26" i="48"/>
  <c r="I26" i="48" s="1"/>
  <c r="B37" i="47"/>
  <c r="B36" i="47"/>
  <c r="B32" i="47"/>
  <c r="B31" i="47"/>
  <c r="B28" i="47"/>
  <c r="B27" i="47"/>
  <c r="B24" i="47"/>
  <c r="H20" i="47"/>
  <c r="I20" i="47" s="1"/>
  <c r="B23" i="47"/>
  <c r="H39" i="47"/>
  <c r="I39" i="47" s="1"/>
  <c r="H26" i="47"/>
  <c r="I26" i="47" s="1"/>
  <c r="E17" i="46"/>
  <c r="G17" i="46" s="1"/>
  <c r="D17" i="46"/>
  <c r="H20" i="46"/>
  <c r="I20" i="46" s="1"/>
  <c r="B8" i="46"/>
  <c r="B38" i="46" s="1"/>
  <c r="B23" i="46"/>
  <c r="H39" i="46"/>
  <c r="I39" i="46" s="1"/>
  <c r="H26" i="46"/>
  <c r="I26" i="46" s="1"/>
  <c r="E29" i="65" l="1"/>
  <c r="G29" i="65" s="1"/>
  <c r="H29" i="65" s="1"/>
  <c r="I29" i="65" s="1"/>
  <c r="D29" i="64"/>
  <c r="H29" i="64" s="1"/>
  <c r="I29" i="64" s="1"/>
  <c r="H33" i="75"/>
  <c r="I33" i="75" s="1"/>
  <c r="H32" i="70"/>
  <c r="I32" i="70" s="1"/>
  <c r="H32" i="65"/>
  <c r="I32" i="65" s="1"/>
  <c r="H33" i="76"/>
  <c r="I33" i="76" s="1"/>
  <c r="D29" i="68"/>
  <c r="H29" i="68" s="1"/>
  <c r="I29" i="68" s="1"/>
  <c r="E29" i="70"/>
  <c r="G29" i="70" s="1"/>
  <c r="H29" i="70" s="1"/>
  <c r="I29" i="70" s="1"/>
  <c r="D29" i="67"/>
  <c r="H29" i="67" s="1"/>
  <c r="I29" i="67" s="1"/>
  <c r="H32" i="68"/>
  <c r="I32" i="68" s="1"/>
  <c r="H32" i="67"/>
  <c r="I32" i="67" s="1"/>
  <c r="H31" i="79"/>
  <c r="I31" i="79" s="1"/>
  <c r="H31" i="81"/>
  <c r="I31" i="81" s="1"/>
  <c r="E22" i="72"/>
  <c r="H33" i="78"/>
  <c r="I33" i="78" s="1"/>
  <c r="H41" i="61"/>
  <c r="I41" i="61" s="1"/>
  <c r="H41" i="49"/>
  <c r="I41" i="49" s="1"/>
  <c r="H41" i="51"/>
  <c r="I41" i="51" s="1"/>
  <c r="H41" i="46"/>
  <c r="I41" i="46" s="1"/>
  <c r="H41" i="50"/>
  <c r="I41" i="50" s="1"/>
  <c r="H41" i="53"/>
  <c r="I41" i="53" s="1"/>
  <c r="E30" i="76"/>
  <c r="G30" i="76" s="1"/>
  <c r="D30" i="76"/>
  <c r="E30" i="73"/>
  <c r="G30" i="73" s="1"/>
  <c r="D30" i="73"/>
  <c r="H38" i="53"/>
  <c r="I38" i="53" s="1"/>
  <c r="H38" i="48"/>
  <c r="I38" i="48" s="1"/>
  <c r="E28" i="81"/>
  <c r="G28" i="81" s="1"/>
  <c r="D28" i="81"/>
  <c r="E28" i="79"/>
  <c r="G28" i="79" s="1"/>
  <c r="D28" i="79"/>
  <c r="B13" i="72"/>
  <c r="B30" i="72"/>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I41" i="48" s="1"/>
  <c r="H41" i="56"/>
  <c r="I41" i="56" s="1"/>
  <c r="H41" i="47"/>
  <c r="I41" i="47" s="1"/>
  <c r="H41" i="59"/>
  <c r="I41" i="59" s="1"/>
  <c r="D13" i="68"/>
  <c r="H13" i="68" s="1"/>
  <c r="I13" i="68" s="1"/>
  <c r="D13" i="67"/>
  <c r="H13" i="67" s="1"/>
  <c r="I13" i="67" s="1"/>
  <c r="E13" i="56"/>
  <c r="G13" i="56" s="1"/>
  <c r="H13" i="56" s="1"/>
  <c r="I13" i="56" s="1"/>
  <c r="E13" i="70"/>
  <c r="G13" i="70" s="1"/>
  <c r="H13" i="70" s="1"/>
  <c r="I13" i="70" s="1"/>
  <c r="E13" i="64"/>
  <c r="G13" i="64" s="1"/>
  <c r="H13" i="64" s="1"/>
  <c r="I13" i="64" s="1"/>
  <c r="E23" i="46"/>
  <c r="E23" i="47"/>
  <c r="E27" i="47"/>
  <c r="G27" i="47" s="1"/>
  <c r="D27" i="47"/>
  <c r="E31" i="47"/>
  <c r="D36" i="47"/>
  <c r="E36" i="47"/>
  <c r="G36" i="47" s="1"/>
  <c r="E23" i="48"/>
  <c r="E27" i="48"/>
  <c r="G27" i="48" s="1"/>
  <c r="D27" i="48"/>
  <c r="E31" i="48"/>
  <c r="E36" i="48"/>
  <c r="G36" i="48" s="1"/>
  <c r="D36" i="48"/>
  <c r="E27" i="51"/>
  <c r="G27" i="51" s="1"/>
  <c r="D27" i="51"/>
  <c r="E31" i="51"/>
  <c r="D36" i="51"/>
  <c r="E36" i="51"/>
  <c r="G36" i="51" s="1"/>
  <c r="E28" i="53"/>
  <c r="G28" i="53" s="1"/>
  <c r="D28" i="53"/>
  <c r="E32" i="53"/>
  <c r="D37" i="53"/>
  <c r="E37" i="53"/>
  <c r="G37" i="53" s="1"/>
  <c r="E23" i="57"/>
  <c r="E27" i="57"/>
  <c r="G27" i="57" s="1"/>
  <c r="D27" i="57"/>
  <c r="E31" i="57"/>
  <c r="E36" i="57"/>
  <c r="G36" i="57" s="1"/>
  <c r="D36" i="57"/>
  <c r="E27" i="59"/>
  <c r="G27" i="59" s="1"/>
  <c r="D27" i="59"/>
  <c r="E31" i="59"/>
  <c r="E36" i="59"/>
  <c r="G36" i="59" s="1"/>
  <c r="D36" i="59"/>
  <c r="E23" i="62"/>
  <c r="E27" i="62"/>
  <c r="G27" i="62" s="1"/>
  <c r="D27" i="62"/>
  <c r="E31" i="62"/>
  <c r="D36" i="62"/>
  <c r="E36" i="62"/>
  <c r="G36" i="62" s="1"/>
  <c r="E17" i="64"/>
  <c r="E28" i="64"/>
  <c r="G28" i="64" s="1"/>
  <c r="D28" i="64"/>
  <c r="E23" i="64"/>
  <c r="E19" i="65"/>
  <c r="D28" i="65"/>
  <c r="E28" i="65"/>
  <c r="G28" i="65" s="1"/>
  <c r="E23" i="65"/>
  <c r="E24" i="67"/>
  <c r="E21" i="67"/>
  <c r="G21" i="67" s="1"/>
  <c r="D21" i="67"/>
  <c r="D27" i="67"/>
  <c r="E27" i="67"/>
  <c r="G27" i="67" s="1"/>
  <c r="E17" i="68"/>
  <c r="E24" i="68"/>
  <c r="E21" i="68"/>
  <c r="G21" i="68" s="1"/>
  <c r="D21" i="68"/>
  <c r="E27" i="68"/>
  <c r="G27" i="68" s="1"/>
  <c r="D27" i="68"/>
  <c r="E17" i="70"/>
  <c r="D28" i="70"/>
  <c r="E28" i="70"/>
  <c r="G28" i="70" s="1"/>
  <c r="E23" i="70"/>
  <c r="E29" i="73"/>
  <c r="G29" i="73" s="1"/>
  <c r="D29" i="73"/>
  <c r="E29" i="75"/>
  <c r="G29" i="75" s="1"/>
  <c r="D29" i="75"/>
  <c r="D29" i="76"/>
  <c r="E29" i="76"/>
  <c r="G29" i="76" s="1"/>
  <c r="D29" i="78"/>
  <c r="E29" i="78"/>
  <c r="G29" i="78" s="1"/>
  <c r="E27" i="79"/>
  <c r="G27" i="79" s="1"/>
  <c r="D27" i="79"/>
  <c r="D26" i="81"/>
  <c r="E26" i="81"/>
  <c r="G26" i="81" s="1"/>
  <c r="E24" i="47"/>
  <c r="E28" i="47"/>
  <c r="G28" i="47" s="1"/>
  <c r="D28" i="47"/>
  <c r="E32" i="47"/>
  <c r="D37" i="47"/>
  <c r="E37" i="47"/>
  <c r="G37" i="47" s="1"/>
  <c r="E28" i="48"/>
  <c r="G28" i="48" s="1"/>
  <c r="D28" i="48"/>
  <c r="E32" i="48"/>
  <c r="E37" i="48"/>
  <c r="G37" i="48" s="1"/>
  <c r="D37" i="48"/>
  <c r="E23" i="50"/>
  <c r="E23" i="51"/>
  <c r="E24" i="51"/>
  <c r="E28" i="51"/>
  <c r="G28" i="51" s="1"/>
  <c r="D28" i="51"/>
  <c r="E32" i="51"/>
  <c r="D37" i="51"/>
  <c r="E37" i="51"/>
  <c r="G37" i="51" s="1"/>
  <c r="E23" i="52"/>
  <c r="E23" i="53"/>
  <c r="E27" i="53"/>
  <c r="G27" i="53" s="1"/>
  <c r="D27" i="53"/>
  <c r="E31" i="53"/>
  <c r="D36" i="53"/>
  <c r="E36" i="53"/>
  <c r="G36" i="53" s="1"/>
  <c r="E23" i="54"/>
  <c r="E23" i="56"/>
  <c r="E28" i="57"/>
  <c r="G28" i="57" s="1"/>
  <c r="D28" i="57"/>
  <c r="E32" i="57"/>
  <c r="E37" i="57"/>
  <c r="G37" i="57" s="1"/>
  <c r="D37" i="57"/>
  <c r="E23" i="58"/>
  <c r="E23" i="59"/>
  <c r="E28" i="59"/>
  <c r="G28" i="59" s="1"/>
  <c r="D28" i="59"/>
  <c r="E32" i="59"/>
  <c r="E37" i="59"/>
  <c r="G37" i="59" s="1"/>
  <c r="D37" i="59"/>
  <c r="E23" i="60"/>
  <c r="E23" i="61"/>
  <c r="E28" i="62"/>
  <c r="G28" i="62" s="1"/>
  <c r="D28" i="62"/>
  <c r="E32" i="62"/>
  <c r="D37" i="62"/>
  <c r="E37" i="62"/>
  <c r="G37" i="62" s="1"/>
  <c r="E19" i="64"/>
  <c r="E24" i="64"/>
  <c r="E21" i="64"/>
  <c r="G21" i="64" s="1"/>
  <c r="D21" i="64"/>
  <c r="E27" i="64"/>
  <c r="G27" i="64" s="1"/>
  <c r="D27" i="64"/>
  <c r="E17" i="65"/>
  <c r="E24" i="65"/>
  <c r="E21" i="65"/>
  <c r="G21" i="65" s="1"/>
  <c r="D21" i="65"/>
  <c r="D27" i="65"/>
  <c r="E27" i="65"/>
  <c r="G27" i="65" s="1"/>
  <c r="E19" i="67"/>
  <c r="E17" i="67"/>
  <c r="D28" i="67"/>
  <c r="E28" i="67"/>
  <c r="G28" i="67" s="1"/>
  <c r="E23" i="67"/>
  <c r="E19" i="68"/>
  <c r="E28" i="68"/>
  <c r="G28" i="68" s="1"/>
  <c r="D28" i="68"/>
  <c r="E23" i="68"/>
  <c r="E19" i="70"/>
  <c r="E24" i="70"/>
  <c r="E21" i="70"/>
  <c r="G21" i="70" s="1"/>
  <c r="D21" i="70"/>
  <c r="D27" i="70"/>
  <c r="E27" i="70"/>
  <c r="G27" i="70" s="1"/>
  <c r="E28" i="73"/>
  <c r="G28" i="73" s="1"/>
  <c r="D28" i="73"/>
  <c r="E28" i="75"/>
  <c r="G28" i="75" s="1"/>
  <c r="D28" i="75"/>
  <c r="D28" i="76"/>
  <c r="E28" i="76"/>
  <c r="G28" i="76" s="1"/>
  <c r="D28" i="78"/>
  <c r="E28" i="78"/>
  <c r="G28" i="78" s="1"/>
  <c r="E23" i="49"/>
  <c r="E26" i="79"/>
  <c r="G26" i="79" s="1"/>
  <c r="D26" i="79"/>
  <c r="D27" i="81"/>
  <c r="E27" i="81"/>
  <c r="G27"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H33" i="72"/>
  <c r="I33" i="72" s="1"/>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D18" i="47" l="1"/>
  <c r="G13" i="75"/>
  <c r="G15" i="75" s="1"/>
  <c r="G30" i="79"/>
  <c r="H38" i="60"/>
  <c r="I38" i="60" s="1"/>
  <c r="H38" i="52"/>
  <c r="I38" i="52" s="1"/>
  <c r="H38" i="49"/>
  <c r="I38" i="49" s="1"/>
  <c r="H30" i="76"/>
  <c r="I30" i="76" s="1"/>
  <c r="D30" i="79"/>
  <c r="H30" i="75"/>
  <c r="I30" i="75" s="1"/>
  <c r="H28" i="79"/>
  <c r="I28" i="79" s="1"/>
  <c r="H28" i="81"/>
  <c r="I28"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D31" i="65"/>
  <c r="G31" i="65"/>
  <c r="G40" i="53"/>
  <c r="D14" i="59"/>
  <c r="D40" i="53"/>
  <c r="G32" i="78"/>
  <c r="D32" i="75"/>
  <c r="D32" i="73"/>
  <c r="G31" i="70"/>
  <c r="G31" i="64"/>
  <c r="G32" i="76"/>
  <c r="D32" i="78"/>
  <c r="D32" i="76"/>
  <c r="G32" i="75"/>
  <c r="G32" i="73"/>
  <c r="D31" i="70"/>
  <c r="D31" i="64"/>
  <c r="G18" i="51"/>
  <c r="H18" i="51" s="1"/>
  <c r="I18" i="51" s="1"/>
  <c r="E28" i="46"/>
  <c r="G28" i="46" s="1"/>
  <c r="D28" i="46"/>
  <c r="E32" i="46"/>
  <c r="E37" i="46"/>
  <c r="G37" i="46" s="1"/>
  <c r="D37" i="46"/>
  <c r="E28" i="49"/>
  <c r="G28" i="49" s="1"/>
  <c r="D28" i="49"/>
  <c r="E32" i="49"/>
  <c r="D37" i="49"/>
  <c r="E37" i="49"/>
  <c r="G37" i="49" s="1"/>
  <c r="E28" i="50"/>
  <c r="G28" i="50" s="1"/>
  <c r="D28" i="50"/>
  <c r="E32" i="50"/>
  <c r="E37" i="50"/>
  <c r="G37" i="50" s="1"/>
  <c r="D37" i="50"/>
  <c r="E27" i="52"/>
  <c r="G27" i="52" s="1"/>
  <c r="D27" i="52"/>
  <c r="E31" i="52"/>
  <c r="E36" i="52"/>
  <c r="G36" i="52" s="1"/>
  <c r="D36" i="52"/>
  <c r="E27" i="54"/>
  <c r="G27" i="54" s="1"/>
  <c r="D27" i="54"/>
  <c r="E31" i="54"/>
  <c r="D36" i="54"/>
  <c r="E36" i="54"/>
  <c r="G36" i="54" s="1"/>
  <c r="E28" i="56"/>
  <c r="G28" i="56" s="1"/>
  <c r="D28" i="56"/>
  <c r="E32" i="56"/>
  <c r="D37" i="56"/>
  <c r="E37" i="56"/>
  <c r="G37" i="56" s="1"/>
  <c r="E27" i="58"/>
  <c r="G27" i="58" s="1"/>
  <c r="D27" i="58"/>
  <c r="E31" i="58"/>
  <c r="D36" i="58"/>
  <c r="E36" i="58"/>
  <c r="G36" i="58" s="1"/>
  <c r="E27" i="60"/>
  <c r="G27" i="60" s="1"/>
  <c r="D27" i="60"/>
  <c r="E31" i="60"/>
  <c r="D36" i="60"/>
  <c r="E36" i="60"/>
  <c r="G36" i="60" s="1"/>
  <c r="E27" i="61"/>
  <c r="G27" i="61" s="1"/>
  <c r="D27" i="61"/>
  <c r="E31" i="61"/>
  <c r="E36" i="61"/>
  <c r="G36" i="61" s="1"/>
  <c r="D36" i="61"/>
  <c r="D29" i="72"/>
  <c r="E29" i="72"/>
  <c r="G29" i="72" s="1"/>
  <c r="G30" i="81"/>
  <c r="D31" i="68"/>
  <c r="G31" i="67"/>
  <c r="G40" i="62"/>
  <c r="D40" i="59"/>
  <c r="D40" i="57"/>
  <c r="G40" i="51"/>
  <c r="D40" i="48"/>
  <c r="G40" i="47"/>
  <c r="E27" i="46"/>
  <c r="G27" i="46" s="1"/>
  <c r="D27" i="46"/>
  <c r="E31" i="46"/>
  <c r="E36" i="46"/>
  <c r="G36" i="46" s="1"/>
  <c r="D36" i="46"/>
  <c r="E27" i="49"/>
  <c r="G27" i="49" s="1"/>
  <c r="D27" i="49"/>
  <c r="E31" i="49"/>
  <c r="D36" i="49"/>
  <c r="E36" i="49"/>
  <c r="G36" i="49" s="1"/>
  <c r="E27" i="50"/>
  <c r="G27" i="50" s="1"/>
  <c r="D27" i="50"/>
  <c r="E31" i="50"/>
  <c r="E36" i="50"/>
  <c r="G36" i="50" s="1"/>
  <c r="D36" i="50"/>
  <c r="E28" i="52"/>
  <c r="G28" i="52" s="1"/>
  <c r="D28" i="52"/>
  <c r="E32" i="52"/>
  <c r="E37" i="52"/>
  <c r="G37" i="52" s="1"/>
  <c r="D37" i="52"/>
  <c r="E28" i="54"/>
  <c r="G28" i="54" s="1"/>
  <c r="D28" i="54"/>
  <c r="E32" i="54"/>
  <c r="D37" i="54"/>
  <c r="E37" i="54"/>
  <c r="G37" i="54" s="1"/>
  <c r="E27" i="56"/>
  <c r="G27" i="56" s="1"/>
  <c r="D27" i="56"/>
  <c r="E31" i="56"/>
  <c r="D36" i="56"/>
  <c r="E36" i="56"/>
  <c r="G36" i="56" s="1"/>
  <c r="E28" i="58"/>
  <c r="G28" i="58" s="1"/>
  <c r="D28" i="58"/>
  <c r="E32" i="58"/>
  <c r="D37" i="58"/>
  <c r="E37" i="58"/>
  <c r="G37" i="58" s="1"/>
  <c r="E28" i="60"/>
  <c r="G28" i="60" s="1"/>
  <c r="D28" i="60"/>
  <c r="E32" i="60"/>
  <c r="D37" i="60"/>
  <c r="E37" i="60"/>
  <c r="G37" i="60" s="1"/>
  <c r="E28" i="61"/>
  <c r="G28" i="61" s="1"/>
  <c r="D28" i="61"/>
  <c r="E32" i="61"/>
  <c r="E37" i="61"/>
  <c r="G37" i="61" s="1"/>
  <c r="D37" i="61"/>
  <c r="D28" i="72"/>
  <c r="E28" i="72"/>
  <c r="G28" i="72" s="1"/>
  <c r="D30" i="81"/>
  <c r="G31" i="68"/>
  <c r="D31" i="67"/>
  <c r="D40" i="62"/>
  <c r="G40" i="59"/>
  <c r="G40" i="57"/>
  <c r="D40" i="51"/>
  <c r="G40" i="48"/>
  <c r="D40" i="47"/>
  <c r="D18" i="53"/>
  <c r="H18" i="53" s="1"/>
  <c r="I18" i="53" s="1"/>
  <c r="D18" i="62"/>
  <c r="H18" i="62" s="1"/>
  <c r="I18" i="62" s="1"/>
  <c r="D18" i="48"/>
  <c r="H18" i="48" s="1"/>
  <c r="I18" i="48" s="1"/>
  <c r="D18" i="49"/>
  <c r="D18" i="50"/>
  <c r="D18" i="60"/>
  <c r="H26" i="81"/>
  <c r="I26" i="81" s="1"/>
  <c r="G15" i="81"/>
  <c r="H13" i="81"/>
  <c r="I13" i="81" s="1"/>
  <c r="H27" i="81"/>
  <c r="I27" i="81" s="1"/>
  <c r="H26" i="79"/>
  <c r="I26" i="79" s="1"/>
  <c r="G15" i="79"/>
  <c r="H13" i="79"/>
  <c r="I13" i="79" s="1"/>
  <c r="H27" i="79"/>
  <c r="I27"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1" i="70"/>
  <c r="I21" i="70" s="1"/>
  <c r="H28" i="70"/>
  <c r="I28" i="70" s="1"/>
  <c r="H27" i="70"/>
  <c r="I27" i="70" s="1"/>
  <c r="G14" i="70"/>
  <c r="H12" i="70"/>
  <c r="I12" i="70" s="1"/>
  <c r="H21" i="68"/>
  <c r="I21" i="68" s="1"/>
  <c r="H28" i="68"/>
  <c r="I28" i="68" s="1"/>
  <c r="H27" i="68"/>
  <c r="I27" i="68" s="1"/>
  <c r="G14" i="68"/>
  <c r="H12" i="68"/>
  <c r="I12" i="68" s="1"/>
  <c r="H28" i="67"/>
  <c r="I28" i="67" s="1"/>
  <c r="H21" i="67"/>
  <c r="I21" i="67" s="1"/>
  <c r="H27" i="67"/>
  <c r="I27" i="67" s="1"/>
  <c r="G14" i="67"/>
  <c r="H12" i="67"/>
  <c r="I12" i="67" s="1"/>
  <c r="H21" i="65"/>
  <c r="I21" i="65" s="1"/>
  <c r="H28" i="65"/>
  <c r="I28" i="65" s="1"/>
  <c r="H27" i="65"/>
  <c r="I27" i="65" s="1"/>
  <c r="G14" i="65"/>
  <c r="H12" i="65"/>
  <c r="I12" i="65" s="1"/>
  <c r="H21" i="64"/>
  <c r="I21" i="64" s="1"/>
  <c r="H28" i="64"/>
  <c r="I28" i="64" s="1"/>
  <c r="H27" i="64"/>
  <c r="I27"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G15" i="72" s="1"/>
  <c r="H30" i="72"/>
  <c r="I30" i="72" s="1"/>
  <c r="D32" i="72"/>
  <c r="D40" i="56"/>
  <c r="G40" i="50"/>
  <c r="D40" i="49"/>
  <c r="G40" i="46"/>
  <c r="G32" i="72"/>
  <c r="G40" i="56"/>
  <c r="D40" i="50"/>
  <c r="G40" i="49"/>
  <c r="D40" i="46"/>
  <c r="D40" i="61"/>
  <c r="G40" i="60"/>
  <c r="G40" i="58"/>
  <c r="G40" i="54"/>
  <c r="D40" i="52"/>
  <c r="G40" i="61"/>
  <c r="D40" i="60"/>
  <c r="D40" i="58"/>
  <c r="D40" i="54"/>
  <c r="G40" i="52"/>
  <c r="H30" i="81"/>
  <c r="I30" i="81" s="1"/>
  <c r="H15" i="81"/>
  <c r="I15" i="81" s="1"/>
  <c r="H30" i="79"/>
  <c r="I30"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1" i="70"/>
  <c r="I31" i="70" s="1"/>
  <c r="H14" i="70"/>
  <c r="I14" i="70" s="1"/>
  <c r="H14" i="68"/>
  <c r="I14" i="68" s="1"/>
  <c r="H31" i="68"/>
  <c r="I31" i="68" s="1"/>
  <c r="H14" i="67"/>
  <c r="I14" i="67" s="1"/>
  <c r="H31" i="67"/>
  <c r="I31" i="67" s="1"/>
  <c r="H31" i="65"/>
  <c r="I31" i="65" s="1"/>
  <c r="H14" i="65"/>
  <c r="I14" i="65" s="1"/>
  <c r="H31" i="64"/>
  <c r="I31"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H13" i="72" l="1"/>
  <c r="I13" i="72" s="1"/>
  <c r="H32" i="72"/>
  <c r="I32" i="72" s="1"/>
  <c r="H15" i="72"/>
  <c r="I15" i="72" s="1"/>
  <c r="H40" i="61"/>
  <c r="I40" i="61" s="1"/>
  <c r="H40" i="60"/>
  <c r="I40" i="60" s="1"/>
  <c r="H40" i="58"/>
  <c r="I40" i="58" s="1"/>
  <c r="H40" i="56"/>
  <c r="I40" i="56" s="1"/>
  <c r="H40" i="54"/>
  <c r="I40" i="54" s="1"/>
  <c r="H40" i="52"/>
  <c r="I40" i="52" s="1"/>
  <c r="H40" i="50"/>
  <c r="I40" i="50" s="1"/>
  <c r="H40" i="49"/>
  <c r="I40" i="49" s="1"/>
  <c r="H40" i="46"/>
  <c r="I40" i="46" s="1"/>
  <c r="F37" i="5" l="1"/>
  <c r="F35" i="5"/>
  <c r="B25" i="5" l="1"/>
  <c r="B24" i="5"/>
  <c r="H17" i="5"/>
  <c r="I17" i="5" s="1"/>
  <c r="F14" i="5"/>
  <c r="F13" i="5"/>
  <c r="F36" i="25"/>
  <c r="F34" i="25"/>
  <c r="F32" i="25"/>
  <c r="B32" i="25"/>
  <c r="E32" i="25" s="1"/>
  <c r="F30" i="25"/>
  <c r="E30" i="25"/>
  <c r="D30" i="25"/>
  <c r="E15" i="25"/>
  <c r="F13" i="25"/>
  <c r="F12" i="25"/>
  <c r="G30" i="25" l="1"/>
  <c r="G32" i="25"/>
  <c r="E25" i="5"/>
  <c r="E24" i="5"/>
  <c r="H31" i="5"/>
  <c r="I31" i="5" s="1"/>
  <c r="H30" i="25"/>
  <c r="I30" i="25" s="1"/>
  <c r="D32" i="25"/>
  <c r="B9" i="4"/>
  <c r="C26" i="4"/>
  <c r="D26" i="4" s="1"/>
  <c r="C20" i="4"/>
  <c r="H32" i="25" l="1"/>
  <c r="I32" i="25" s="1"/>
  <c r="B23" i="4"/>
  <c r="B24" i="4"/>
  <c r="B9" i="25" l="1"/>
  <c r="B7" i="25"/>
  <c r="B6" i="25"/>
  <c r="B5" i="25"/>
  <c r="B13" i="25" l="1"/>
  <c r="B12" i="25"/>
  <c r="B18" i="25"/>
  <c r="B17" i="25"/>
  <c r="C21" i="25"/>
  <c r="F21" i="25" s="1"/>
  <c r="B8" i="25"/>
  <c r="B29" i="25" l="1"/>
  <c r="E29" i="25" s="1"/>
  <c r="G29" i="25" s="1"/>
  <c r="B19" i="25"/>
  <c r="E19" i="25" s="1"/>
  <c r="E13" i="25"/>
  <c r="G13" i="25" s="1"/>
  <c r="D13" i="25"/>
  <c r="E17" i="25"/>
  <c r="B28" i="25"/>
  <c r="B24" i="25"/>
  <c r="B27" i="25"/>
  <c r="B23" i="25"/>
  <c r="B21" i="25"/>
  <c r="E12" i="25"/>
  <c r="G12" i="25" s="1"/>
  <c r="D12" i="25"/>
  <c r="E18" i="25"/>
  <c r="D29" i="25" l="1"/>
  <c r="H29" i="25" s="1"/>
  <c r="I29" i="25" s="1"/>
  <c r="D14" i="25"/>
  <c r="D21" i="25"/>
  <c r="E21" i="25"/>
  <c r="G21" i="25" s="1"/>
  <c r="E23" i="25"/>
  <c r="E24" i="25"/>
  <c r="H12" i="25"/>
  <c r="I12" i="25" s="1"/>
  <c r="G14" i="25"/>
  <c r="E27" i="25"/>
  <c r="G27" i="25" s="1"/>
  <c r="D27" i="25"/>
  <c r="E28" i="25"/>
  <c r="G28" i="25" s="1"/>
  <c r="D28" i="25"/>
  <c r="H13" i="25"/>
  <c r="I13" i="25" s="1"/>
  <c r="B33" i="5"/>
  <c r="D33" i="5" l="1"/>
  <c r="E33" i="5"/>
  <c r="G33" i="5" s="1"/>
  <c r="H21" i="25"/>
  <c r="I21" i="25" s="1"/>
  <c r="G31" i="25"/>
  <c r="H27" i="25"/>
  <c r="I27" i="25" s="1"/>
  <c r="H28" i="25"/>
  <c r="I28" i="25" s="1"/>
  <c r="D31" i="25"/>
  <c r="H14" i="25"/>
  <c r="I14" i="25" s="1"/>
  <c r="H31" i="25" l="1"/>
  <c r="I31" i="25" s="1"/>
  <c r="H33" i="5"/>
  <c r="I33" i="5" s="1"/>
  <c r="B8" i="5" l="1"/>
  <c r="B6" i="5"/>
  <c r="B7" i="4"/>
  <c r="B6" i="4"/>
  <c r="B5" i="4"/>
  <c r="B13" i="4" l="1"/>
  <c r="B12" i="4"/>
  <c r="B21" i="5"/>
  <c r="B20" i="5"/>
  <c r="E14" i="5"/>
  <c r="G14" i="5" s="1"/>
  <c r="D14" i="5"/>
  <c r="F28" i="4"/>
  <c r="C27" i="4"/>
  <c r="F27" i="4" s="1"/>
  <c r="E24" i="4"/>
  <c r="E21" i="5" l="1"/>
  <c r="E20" i="5"/>
  <c r="H14" i="5"/>
  <c r="I14" i="5" s="1"/>
  <c r="B9" i="5"/>
  <c r="B22" i="5" s="1"/>
  <c r="E22" i="5" l="1"/>
  <c r="B13" i="5"/>
  <c r="E13" i="5" s="1"/>
  <c r="G13" i="5" s="1"/>
  <c r="B30" i="5"/>
  <c r="B28" i="5"/>
  <c r="B29" i="5"/>
  <c r="F48" i="4"/>
  <c r="F45" i="4"/>
  <c r="F43" i="4"/>
  <c r="F41" i="4"/>
  <c r="F39" i="4"/>
  <c r="E39" i="4"/>
  <c r="D39" i="4"/>
  <c r="E20" i="4"/>
  <c r="G20" i="4" s="1"/>
  <c r="D20" i="4"/>
  <c r="E19" i="4"/>
  <c r="F17" i="4"/>
  <c r="F16" i="4"/>
  <c r="F15" i="4"/>
  <c r="F13" i="4"/>
  <c r="F12" i="4"/>
  <c r="D13" i="5" l="1"/>
  <c r="D15" i="5" s="1"/>
  <c r="E30" i="5"/>
  <c r="G30" i="5" s="1"/>
  <c r="D30" i="5"/>
  <c r="D28" i="5"/>
  <c r="E28" i="5"/>
  <c r="G28" i="5" s="1"/>
  <c r="D29" i="5"/>
  <c r="E29" i="5"/>
  <c r="G29" i="5" s="1"/>
  <c r="G39" i="4"/>
  <c r="H39" i="4" s="1"/>
  <c r="I39" i="4" s="1"/>
  <c r="G15" i="5"/>
  <c r="E13" i="4"/>
  <c r="G13" i="4" s="1"/>
  <c r="D13" i="4"/>
  <c r="B41" i="4"/>
  <c r="B8" i="4"/>
  <c r="B38" i="4" s="1"/>
  <c r="H20" i="4"/>
  <c r="I20"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I41" i="4" s="1"/>
  <c r="H16" i="4"/>
  <c r="I16" i="4" s="1"/>
  <c r="H27" i="4" l="1"/>
  <c r="I27" i="4" s="1"/>
  <c r="H28" i="4"/>
  <c r="I28" i="4" s="1"/>
  <c r="D40" i="4"/>
  <c r="H37" i="4"/>
  <c r="I37" i="4" s="1"/>
  <c r="H14" i="4"/>
  <c r="I14" i="4" s="1"/>
  <c r="H36" i="4"/>
  <c r="I36" i="4" s="1"/>
  <c r="G40" i="4"/>
  <c r="H18" i="4"/>
  <c r="I18" i="4" s="1"/>
  <c r="H40" i="4" l="1"/>
  <c r="I40" i="4" s="1"/>
  <c r="G26" i="4" l="1"/>
  <c r="H26" i="4" s="1"/>
  <c r="I26" i="4" s="1"/>
  <c r="G21" i="59" l="1"/>
  <c r="G21" i="58"/>
  <c r="G21" i="57"/>
  <c r="G21" i="60"/>
  <c r="G21" i="62"/>
  <c r="G21" i="61"/>
  <c r="G21" i="46"/>
  <c r="G21" i="47"/>
  <c r="G21" i="4"/>
  <c r="G21" i="53"/>
  <c r="G21" i="52"/>
  <c r="G21" i="51"/>
  <c r="G21" i="50" l="1"/>
  <c r="G21" i="49"/>
  <c r="G21" i="48"/>
  <c r="G18" i="5"/>
  <c r="G18" i="72"/>
  <c r="G18" i="71"/>
  <c r="G18" i="78"/>
  <c r="G18" i="76"/>
  <c r="G18" i="75"/>
  <c r="G18" i="73"/>
  <c r="G18" i="74"/>
  <c r="G21" i="56"/>
  <c r="G21" i="54"/>
  <c r="C21" i="47" l="1"/>
  <c r="D21" i="47" s="1"/>
  <c r="C21" i="4"/>
  <c r="D21" i="4" s="1"/>
  <c r="C21" i="46"/>
  <c r="D21" i="46" s="1"/>
  <c r="C21" i="50"/>
  <c r="D21" i="50" s="1"/>
  <c r="C21" i="48"/>
  <c r="D21" i="48" s="1"/>
  <c r="C21" i="49"/>
  <c r="D21" i="49" s="1"/>
  <c r="C21" i="51"/>
  <c r="D21" i="51" s="1"/>
  <c r="C21" i="53"/>
  <c r="D21" i="53" s="1"/>
  <c r="C21" i="52"/>
  <c r="D21" i="52" s="1"/>
  <c r="C21" i="54"/>
  <c r="D21" i="54" s="1"/>
  <c r="C21" i="56"/>
  <c r="D21" i="56" s="1"/>
  <c r="C21" i="57"/>
  <c r="D21" i="57" s="1"/>
  <c r="C21" i="59"/>
  <c r="D21" i="59" s="1"/>
  <c r="C21" i="58"/>
  <c r="D21" i="58" s="1"/>
  <c r="C21" i="61"/>
  <c r="D21" i="61" s="1"/>
  <c r="C21" i="60"/>
  <c r="D21" i="60" s="1"/>
  <c r="C21" i="62"/>
  <c r="D21" i="62" s="1"/>
  <c r="C18" i="72"/>
  <c r="D18" i="72" s="1"/>
  <c r="C18" i="71"/>
  <c r="D18" i="71" s="1"/>
  <c r="C18" i="5"/>
  <c r="D18" i="5" s="1"/>
  <c r="C18" i="75"/>
  <c r="D18" i="75" s="1"/>
  <c r="C18" i="74"/>
  <c r="D18" i="74" s="1"/>
  <c r="C18" i="73"/>
  <c r="D18" i="73" s="1"/>
  <c r="C18" i="78"/>
  <c r="D18" i="78" s="1"/>
  <c r="C18" i="76"/>
  <c r="D18" i="76" s="1"/>
  <c r="D19" i="64"/>
  <c r="D19" i="25"/>
  <c r="D19" i="67"/>
  <c r="D19" i="65"/>
  <c r="D19" i="70"/>
  <c r="D19" i="68"/>
  <c r="H18" i="76" l="1"/>
  <c r="I18" i="76" s="1"/>
  <c r="H18" i="78"/>
  <c r="I18" i="78" s="1"/>
  <c r="H18" i="74"/>
  <c r="I18" i="74" s="1"/>
  <c r="H18" i="5"/>
  <c r="I18" i="5" s="1"/>
  <c r="H18" i="72"/>
  <c r="I18" i="72" s="1"/>
  <c r="H21" i="62"/>
  <c r="I21" i="62" s="1"/>
  <c r="H21" i="61"/>
  <c r="I21" i="61" s="1"/>
  <c r="H21" i="59"/>
  <c r="I21" i="59" s="1"/>
  <c r="H21" i="56"/>
  <c r="I21" i="56" s="1"/>
  <c r="H21" i="53"/>
  <c r="I21" i="53" s="1"/>
  <c r="H21" i="49"/>
  <c r="I21" i="49" s="1"/>
  <c r="H21" i="50"/>
  <c r="I21" i="50" s="1"/>
  <c r="H21" i="4"/>
  <c r="I21" i="4" s="1"/>
  <c r="H18" i="73"/>
  <c r="I18" i="73" s="1"/>
  <c r="H18" i="75"/>
  <c r="I18" i="75" s="1"/>
  <c r="H18" i="71"/>
  <c r="I18" i="71" s="1"/>
  <c r="H21" i="60"/>
  <c r="I21" i="60" s="1"/>
  <c r="H21" i="58"/>
  <c r="I21" i="58" s="1"/>
  <c r="H21" i="57"/>
  <c r="I21" i="57" s="1"/>
  <c r="H21" i="54"/>
  <c r="I21" i="54" s="1"/>
  <c r="H21" i="52"/>
  <c r="I21" i="52" s="1"/>
  <c r="H21" i="51"/>
  <c r="I21" i="51" s="1"/>
  <c r="H21" i="48"/>
  <c r="I21" i="48" s="1"/>
  <c r="H21" i="46"/>
  <c r="I21" i="46" s="1"/>
  <c r="H21" i="47"/>
  <c r="I21" i="47" s="1"/>
  <c r="C20" i="74" l="1"/>
  <c r="C20" i="75"/>
  <c r="D20" i="75" s="1"/>
  <c r="C20" i="73"/>
  <c r="D20" i="73" s="1"/>
  <c r="C20" i="5" l="1"/>
  <c r="D20" i="5" s="1"/>
  <c r="C20" i="72"/>
  <c r="D20" i="72" s="1"/>
  <c r="C20" i="71"/>
  <c r="G19" i="67" l="1"/>
  <c r="G19" i="65"/>
  <c r="G19" i="64"/>
  <c r="G19" i="25"/>
  <c r="G19" i="70"/>
  <c r="H19" i="70" s="1"/>
  <c r="I19" i="70" s="1"/>
  <c r="G19" i="68"/>
  <c r="H19" i="68" s="1"/>
  <c r="I19" i="68" s="1"/>
  <c r="H19" i="67" l="1"/>
  <c r="I19" i="67" s="1"/>
  <c r="H19" i="64"/>
  <c r="I19" i="64" s="1"/>
  <c r="H19" i="65"/>
  <c r="I19" i="65" s="1"/>
  <c r="H19" i="25"/>
  <c r="I19" i="25" s="1"/>
  <c r="B5" i="77" l="1"/>
  <c r="B5" i="74"/>
  <c r="B5" i="71"/>
  <c r="D41" i="7" l="1"/>
  <c r="B24" i="77"/>
  <c r="B21" i="77"/>
  <c r="B20" i="77"/>
  <c r="B25" i="77"/>
  <c r="D29" i="7"/>
  <c r="B20" i="74"/>
  <c r="B24" i="74"/>
  <c r="B25" i="74"/>
  <c r="B21" i="74"/>
  <c r="D26" i="7"/>
  <c r="B25" i="71"/>
  <c r="B20" i="71"/>
  <c r="B24" i="71"/>
  <c r="B21" i="71"/>
  <c r="B5" i="80"/>
  <c r="E21" i="74" l="1"/>
  <c r="E21" i="77"/>
  <c r="D44" i="7"/>
  <c r="B18" i="80"/>
  <c r="B19" i="80"/>
  <c r="B23" i="80"/>
  <c r="B22" i="80"/>
  <c r="E25" i="71"/>
  <c r="E25" i="74"/>
  <c r="E24" i="77"/>
  <c r="E21" i="71"/>
  <c r="E24" i="74"/>
  <c r="E25" i="77"/>
  <c r="E20" i="71"/>
  <c r="D20" i="71"/>
  <c r="E24" i="71"/>
  <c r="E20" i="74"/>
  <c r="D20" i="74"/>
  <c r="D20" i="77"/>
  <c r="E20" i="77"/>
  <c r="B4" i="80"/>
  <c r="B4" i="77"/>
  <c r="B4" i="69"/>
  <c r="B4" i="66"/>
  <c r="B4" i="63"/>
  <c r="B4" i="74"/>
  <c r="B4" i="116"/>
  <c r="B4" i="71"/>
  <c r="B4" i="117"/>
  <c r="B4" i="115"/>
  <c r="B4" i="114"/>
  <c r="B4" i="113"/>
  <c r="B4" i="112"/>
  <c r="C8" i="7" l="1"/>
  <c r="B15" i="113"/>
  <c r="C27" i="113"/>
  <c r="F27" i="113" s="1"/>
  <c r="B16" i="113"/>
  <c r="B12" i="113"/>
  <c r="B41" i="113"/>
  <c r="B24" i="113"/>
  <c r="B23" i="113"/>
  <c r="B13" i="113"/>
  <c r="B17" i="113"/>
  <c r="B8" i="113"/>
  <c r="B15" i="117"/>
  <c r="B24" i="117"/>
  <c r="C27" i="117"/>
  <c r="F27" i="117" s="1"/>
  <c r="B16" i="117"/>
  <c r="B17" i="117"/>
  <c r="C19" i="7"/>
  <c r="B8" i="117"/>
  <c r="B13" i="117"/>
  <c r="B41" i="117"/>
  <c r="B23" i="117"/>
  <c r="B12" i="117"/>
  <c r="C41" i="7"/>
  <c r="B7" i="77"/>
  <c r="B33" i="77"/>
  <c r="B9" i="77"/>
  <c r="E19" i="80"/>
  <c r="C29" i="7"/>
  <c r="B33" i="74"/>
  <c r="B7" i="74"/>
  <c r="B9" i="74"/>
  <c r="E18" i="80"/>
  <c r="B17" i="114"/>
  <c r="B8" i="114"/>
  <c r="B16" i="114"/>
  <c r="B13" i="114"/>
  <c r="B23" i="114"/>
  <c r="B15" i="114"/>
  <c r="B41" i="114"/>
  <c r="B12" i="114"/>
  <c r="B24" i="114"/>
  <c r="C27" i="114"/>
  <c r="F27" i="114" s="1"/>
  <c r="C12" i="7"/>
  <c r="B17" i="116"/>
  <c r="B8" i="116"/>
  <c r="B41" i="116"/>
  <c r="B12" i="116"/>
  <c r="B15" i="116"/>
  <c r="B24" i="116"/>
  <c r="B23" i="116"/>
  <c r="B13" i="116"/>
  <c r="C23" i="7"/>
  <c r="B16" i="116"/>
  <c r="C27" i="116"/>
  <c r="F27" i="116" s="1"/>
  <c r="E22" i="80"/>
  <c r="B41" i="115"/>
  <c r="B15" i="115"/>
  <c r="B12" i="115"/>
  <c r="B24" i="115"/>
  <c r="C15" i="7"/>
  <c r="B8" i="115"/>
  <c r="C27" i="115"/>
  <c r="F27" i="115" s="1"/>
  <c r="B16" i="115"/>
  <c r="B17" i="115"/>
  <c r="B13" i="115"/>
  <c r="B23" i="115"/>
  <c r="C32" i="7"/>
  <c r="B32" i="63"/>
  <c r="B18" i="63"/>
  <c r="B12" i="63"/>
  <c r="B17" i="63"/>
  <c r="C21" i="63"/>
  <c r="F21" i="63" s="1"/>
  <c r="B13" i="63"/>
  <c r="B8" i="63"/>
  <c r="B15" i="112"/>
  <c r="C27" i="112"/>
  <c r="F27" i="112" s="1"/>
  <c r="B24" i="112"/>
  <c r="B41" i="112"/>
  <c r="B16" i="112"/>
  <c r="B13" i="112"/>
  <c r="C4" i="7"/>
  <c r="B17" i="112"/>
  <c r="B23" i="112"/>
  <c r="B12" i="112"/>
  <c r="B8" i="112"/>
  <c r="C26" i="7"/>
  <c r="B33" i="71"/>
  <c r="B7" i="71"/>
  <c r="B9" i="71"/>
  <c r="C35" i="7"/>
  <c r="B32" i="66"/>
  <c r="B12" i="66"/>
  <c r="B18" i="66"/>
  <c r="B13" i="66"/>
  <c r="B17" i="66"/>
  <c r="B8" i="66"/>
  <c r="C21" i="66"/>
  <c r="F21" i="66" s="1"/>
  <c r="C38" i="7"/>
  <c r="B32" i="69"/>
  <c r="B8" i="69"/>
  <c r="C21" i="69"/>
  <c r="F21" i="69" s="1"/>
  <c r="B12" i="69"/>
  <c r="B13" i="69"/>
  <c r="B17" i="69"/>
  <c r="B18" i="69"/>
  <c r="C44" i="7"/>
  <c r="B31" i="80"/>
  <c r="B7" i="80"/>
  <c r="B9" i="80"/>
  <c r="E23" i="80"/>
  <c r="D32" i="69" l="1"/>
  <c r="E32" i="69"/>
  <c r="G32" i="69" s="1"/>
  <c r="E12" i="66"/>
  <c r="G12" i="66" s="1"/>
  <c r="D12" i="66"/>
  <c r="E17" i="112"/>
  <c r="G17" i="112" s="1"/>
  <c r="D17" i="112"/>
  <c r="E41" i="115"/>
  <c r="G41" i="115" s="1"/>
  <c r="D41" i="115"/>
  <c r="E12" i="114"/>
  <c r="G12" i="114" s="1"/>
  <c r="D12" i="114"/>
  <c r="D41" i="117"/>
  <c r="E41" i="117"/>
  <c r="G41" i="117" s="1"/>
  <c r="D17" i="117"/>
  <c r="E17" i="117"/>
  <c r="G17" i="117" s="1"/>
  <c r="D15" i="117"/>
  <c r="E15" i="117"/>
  <c r="G15" i="117" s="1"/>
  <c r="E23" i="113"/>
  <c r="B28" i="80"/>
  <c r="B26" i="80"/>
  <c r="B13" i="80"/>
  <c r="B20" i="80"/>
  <c r="B27" i="80"/>
  <c r="E12" i="69"/>
  <c r="G12" i="69" s="1"/>
  <c r="D12" i="69"/>
  <c r="E17" i="66"/>
  <c r="D32" i="66"/>
  <c r="E32" i="66"/>
  <c r="G32" i="66" s="1"/>
  <c r="B31" i="112"/>
  <c r="B27" i="112"/>
  <c r="B38" i="112"/>
  <c r="B28" i="112"/>
  <c r="B32" i="112"/>
  <c r="B37" i="112"/>
  <c r="B36" i="112"/>
  <c r="E24" i="112"/>
  <c r="B29" i="63"/>
  <c r="B21" i="63"/>
  <c r="B24" i="63"/>
  <c r="B19" i="63"/>
  <c r="B28" i="63"/>
  <c r="B27" i="63"/>
  <c r="B23" i="63"/>
  <c r="E12" i="63"/>
  <c r="G12" i="63" s="1"/>
  <c r="D12" i="63"/>
  <c r="D16" i="115"/>
  <c r="E16" i="115"/>
  <c r="G16" i="115" s="1"/>
  <c r="E24" i="115"/>
  <c r="D13" i="116"/>
  <c r="E13" i="116"/>
  <c r="G13" i="116" s="1"/>
  <c r="E12" i="116"/>
  <c r="G12" i="116" s="1"/>
  <c r="D12" i="116"/>
  <c r="D41" i="114"/>
  <c r="E41" i="114"/>
  <c r="G41" i="114" s="1"/>
  <c r="D16" i="114"/>
  <c r="E16" i="114"/>
  <c r="G16" i="114" s="1"/>
  <c r="E33" i="74"/>
  <c r="G33" i="74" s="1"/>
  <c r="D33" i="74"/>
  <c r="B13" i="77"/>
  <c r="B28" i="77"/>
  <c r="B29" i="77"/>
  <c r="B30" i="77"/>
  <c r="B22" i="77"/>
  <c r="E13" i="117"/>
  <c r="G13" i="117" s="1"/>
  <c r="D13" i="117"/>
  <c r="D16" i="117"/>
  <c r="E16" i="117"/>
  <c r="G16" i="117" s="1"/>
  <c r="B31" i="113"/>
  <c r="B28" i="113"/>
  <c r="B38" i="113"/>
  <c r="B36" i="113"/>
  <c r="B32" i="113"/>
  <c r="B27" i="113"/>
  <c r="B37" i="113"/>
  <c r="E24" i="113"/>
  <c r="E18" i="69"/>
  <c r="E13" i="66"/>
  <c r="G13" i="66" s="1"/>
  <c r="D13" i="66"/>
  <c r="D33" i="71"/>
  <c r="E33" i="71"/>
  <c r="G33" i="71" s="1"/>
  <c r="E12" i="112"/>
  <c r="G12" i="112" s="1"/>
  <c r="D12" i="112"/>
  <c r="D13" i="112"/>
  <c r="E13" i="112"/>
  <c r="G13" i="112" s="1"/>
  <c r="D13" i="63"/>
  <c r="E13" i="63"/>
  <c r="G13" i="63" s="1"/>
  <c r="E18" i="63"/>
  <c r="E23" i="115"/>
  <c r="D12" i="115"/>
  <c r="E12" i="115"/>
  <c r="G12" i="115" s="1"/>
  <c r="E23" i="116"/>
  <c r="E41" i="116"/>
  <c r="G41" i="116" s="1"/>
  <c r="D41" i="116"/>
  <c r="D15" i="114"/>
  <c r="E15" i="114"/>
  <c r="G15" i="114" s="1"/>
  <c r="B38" i="114"/>
  <c r="B28" i="114"/>
  <c r="B32" i="114"/>
  <c r="B31" i="114"/>
  <c r="B27" i="114"/>
  <c r="B37" i="114"/>
  <c r="B36" i="114"/>
  <c r="D33" i="77"/>
  <c r="E33" i="77"/>
  <c r="G33" i="77" s="1"/>
  <c r="D12" i="117"/>
  <c r="E12" i="117"/>
  <c r="G12" i="117" s="1"/>
  <c r="B37" i="117"/>
  <c r="B32" i="117"/>
  <c r="B38" i="117"/>
  <c r="B27" i="117"/>
  <c r="B28" i="117"/>
  <c r="B36" i="117"/>
  <c r="B31" i="117"/>
  <c r="E17" i="113"/>
  <c r="G17" i="113" s="1"/>
  <c r="D17" i="113"/>
  <c r="D41" i="113"/>
  <c r="E41" i="113"/>
  <c r="G41" i="113" s="1"/>
  <c r="E15" i="113"/>
  <c r="G15" i="113" s="1"/>
  <c r="D15" i="113"/>
  <c r="E13" i="69"/>
  <c r="G13" i="69" s="1"/>
  <c r="D13" i="69"/>
  <c r="B29" i="66"/>
  <c r="B28" i="66"/>
  <c r="B23" i="66"/>
  <c r="B21" i="66"/>
  <c r="B19" i="66"/>
  <c r="B27" i="66"/>
  <c r="B24" i="66"/>
  <c r="B22" i="71"/>
  <c r="B30" i="71"/>
  <c r="B28" i="71"/>
  <c r="B29" i="71"/>
  <c r="B13" i="71"/>
  <c r="E41" i="112"/>
  <c r="G41" i="112" s="1"/>
  <c r="D41" i="112"/>
  <c r="E17" i="63"/>
  <c r="D17" i="115"/>
  <c r="E17" i="115"/>
  <c r="G17" i="115" s="1"/>
  <c r="E15" i="116"/>
  <c r="G15" i="116" s="1"/>
  <c r="D15" i="116"/>
  <c r="E17" i="116"/>
  <c r="G17" i="116" s="1"/>
  <c r="D17" i="116"/>
  <c r="E13" i="114"/>
  <c r="G13" i="114" s="1"/>
  <c r="D13" i="114"/>
  <c r="D16" i="113"/>
  <c r="E16" i="113"/>
  <c r="G16" i="113" s="1"/>
  <c r="E31" i="80"/>
  <c r="G31" i="80" s="1"/>
  <c r="D31" i="80"/>
  <c r="E17" i="69"/>
  <c r="B27" i="69"/>
  <c r="B24" i="69"/>
  <c r="B29" i="69"/>
  <c r="B21" i="69"/>
  <c r="B19" i="69"/>
  <c r="B23" i="69"/>
  <c r="B28" i="69"/>
  <c r="E18" i="66"/>
  <c r="E23" i="112"/>
  <c r="D16" i="112"/>
  <c r="E16" i="112"/>
  <c r="G16" i="112" s="1"/>
  <c r="E15" i="112"/>
  <c r="G15" i="112" s="1"/>
  <c r="D15" i="112"/>
  <c r="D32" i="63"/>
  <c r="E32" i="63"/>
  <c r="G32" i="63" s="1"/>
  <c r="E13" i="115"/>
  <c r="G13" i="115" s="1"/>
  <c r="D13" i="115"/>
  <c r="B36" i="115"/>
  <c r="B28" i="115"/>
  <c r="B38" i="115"/>
  <c r="B27" i="115"/>
  <c r="B32" i="115"/>
  <c r="B37" i="115"/>
  <c r="B31" i="115"/>
  <c r="E15" i="115"/>
  <c r="G15" i="115" s="1"/>
  <c r="D15" i="115"/>
  <c r="D16" i="116"/>
  <c r="E16" i="116"/>
  <c r="G16" i="116" s="1"/>
  <c r="E24" i="116"/>
  <c r="B32" i="116"/>
  <c r="B38" i="116"/>
  <c r="B31" i="116"/>
  <c r="B37" i="116"/>
  <c r="B36" i="116"/>
  <c r="B27" i="116"/>
  <c r="B28" i="116"/>
  <c r="E24" i="114"/>
  <c r="E23" i="114"/>
  <c r="D17" i="114"/>
  <c r="E17" i="114"/>
  <c r="G17" i="114" s="1"/>
  <c r="B22" i="74"/>
  <c r="B29" i="74"/>
  <c r="B13" i="74"/>
  <c r="B30" i="74"/>
  <c r="B28" i="74"/>
  <c r="E23" i="117"/>
  <c r="E24" i="117"/>
  <c r="D13" i="113"/>
  <c r="E13" i="113"/>
  <c r="G13" i="113" s="1"/>
  <c r="D12" i="113"/>
  <c r="E12" i="113"/>
  <c r="G12" i="113" s="1"/>
  <c r="D14" i="117" l="1"/>
  <c r="D18" i="115"/>
  <c r="D18" i="116"/>
  <c r="D14" i="113"/>
  <c r="D18" i="117"/>
  <c r="D18" i="112"/>
  <c r="D14" i="112"/>
  <c r="D14" i="63"/>
  <c r="H13" i="69"/>
  <c r="I13" i="69" s="1"/>
  <c r="H13" i="66"/>
  <c r="I13" i="66" s="1"/>
  <c r="E31" i="116"/>
  <c r="D27" i="115"/>
  <c r="E27" i="115"/>
  <c r="G27" i="115" s="1"/>
  <c r="E29" i="69"/>
  <c r="G29" i="69" s="1"/>
  <c r="D29" i="69"/>
  <c r="H41" i="113"/>
  <c r="I41" i="113" s="1"/>
  <c r="E31" i="117"/>
  <c r="E38" i="117"/>
  <c r="G38" i="117" s="1"/>
  <c r="D38" i="117"/>
  <c r="E38" i="114"/>
  <c r="G38" i="114" s="1"/>
  <c r="D38" i="114"/>
  <c r="H13" i="117"/>
  <c r="I13" i="117" s="1"/>
  <c r="E28" i="63"/>
  <c r="G28" i="63" s="1"/>
  <c r="D28" i="63"/>
  <c r="E29" i="63"/>
  <c r="G29" i="63" s="1"/>
  <c r="D29" i="63"/>
  <c r="E27" i="112"/>
  <c r="G27" i="112" s="1"/>
  <c r="D27" i="112"/>
  <c r="D27" i="80"/>
  <c r="E27" i="80"/>
  <c r="G27" i="80" s="1"/>
  <c r="E28" i="80"/>
  <c r="G28" i="80" s="1"/>
  <c r="D28" i="80"/>
  <c r="H41" i="115"/>
  <c r="I41" i="115" s="1"/>
  <c r="E13" i="74"/>
  <c r="G13" i="74" s="1"/>
  <c r="D13" i="74"/>
  <c r="D15" i="74" s="1"/>
  <c r="H16" i="116"/>
  <c r="I16" i="116" s="1"/>
  <c r="H15" i="112"/>
  <c r="I15" i="112" s="1"/>
  <c r="G18" i="112"/>
  <c r="H15" i="116"/>
  <c r="I15" i="116" s="1"/>
  <c r="G18" i="116"/>
  <c r="E29" i="71"/>
  <c r="G29" i="71" s="1"/>
  <c r="D29" i="71"/>
  <c r="E24" i="66"/>
  <c r="E23" i="66"/>
  <c r="E32" i="117"/>
  <c r="H33" i="77"/>
  <c r="I33" i="77" s="1"/>
  <c r="E31" i="114"/>
  <c r="H15" i="114"/>
  <c r="I15" i="114" s="1"/>
  <c r="G18" i="114"/>
  <c r="H16" i="117"/>
  <c r="I16" i="117" s="1"/>
  <c r="E13" i="77"/>
  <c r="G13" i="77" s="1"/>
  <c r="D13" i="77"/>
  <c r="D15" i="77" s="1"/>
  <c r="E19" i="63"/>
  <c r="G19" i="63" s="1"/>
  <c r="D19" i="63"/>
  <c r="E32" i="112"/>
  <c r="E31" i="112"/>
  <c r="E20" i="80"/>
  <c r="H17" i="117"/>
  <c r="I17" i="117" s="1"/>
  <c r="D14" i="114"/>
  <c r="H32" i="69"/>
  <c r="I32" i="69" s="1"/>
  <c r="D29" i="74"/>
  <c r="E29" i="74"/>
  <c r="G29" i="74" s="1"/>
  <c r="H17" i="114"/>
  <c r="I17" i="114" s="1"/>
  <c r="D36" i="116"/>
  <c r="E36" i="116"/>
  <c r="G36" i="116" s="1"/>
  <c r="E32" i="116"/>
  <c r="D37" i="115"/>
  <c r="E37" i="115"/>
  <c r="G37" i="115" s="1"/>
  <c r="D28" i="115"/>
  <c r="E28" i="115"/>
  <c r="G28" i="115" s="1"/>
  <c r="H32" i="63"/>
  <c r="I32" i="63" s="1"/>
  <c r="H16" i="112"/>
  <c r="I16" i="112" s="1"/>
  <c r="E19" i="69"/>
  <c r="G19" i="69" s="1"/>
  <c r="D19" i="69"/>
  <c r="E27" i="69"/>
  <c r="G27" i="69" s="1"/>
  <c r="D27" i="69"/>
  <c r="H31" i="80"/>
  <c r="I31" i="80" s="1"/>
  <c r="H16" i="113"/>
  <c r="I16" i="113" s="1"/>
  <c r="H17" i="115"/>
  <c r="I17" i="115" s="1"/>
  <c r="H41" i="112"/>
  <c r="I41" i="112" s="1"/>
  <c r="E28" i="71"/>
  <c r="G28" i="71" s="1"/>
  <c r="D28" i="71"/>
  <c r="D27" i="66"/>
  <c r="E27" i="66"/>
  <c r="G27" i="66" s="1"/>
  <c r="E28" i="66"/>
  <c r="G28" i="66" s="1"/>
  <c r="D28" i="66"/>
  <c r="H15" i="113"/>
  <c r="I15" i="113" s="1"/>
  <c r="D18" i="113"/>
  <c r="H17" i="113"/>
  <c r="I17" i="113" s="1"/>
  <c r="D28" i="117"/>
  <c r="E28" i="117"/>
  <c r="G28" i="117" s="1"/>
  <c r="E37" i="117"/>
  <c r="G37" i="117" s="1"/>
  <c r="D37" i="117"/>
  <c r="D36" i="114"/>
  <c r="E36" i="114"/>
  <c r="G36" i="114" s="1"/>
  <c r="E32" i="114"/>
  <c r="G14" i="115"/>
  <c r="H12" i="115"/>
  <c r="I12" i="115" s="1"/>
  <c r="H13" i="112"/>
  <c r="I13" i="112" s="1"/>
  <c r="H33" i="71"/>
  <c r="I33" i="71" s="1"/>
  <c r="D37" i="113"/>
  <c r="E37" i="113"/>
  <c r="G37" i="113" s="1"/>
  <c r="D38" i="113"/>
  <c r="E38" i="113"/>
  <c r="G38" i="113" s="1"/>
  <c r="D30" i="77"/>
  <c r="E30" i="77"/>
  <c r="G30" i="77" s="1"/>
  <c r="H16" i="114"/>
  <c r="I16" i="114" s="1"/>
  <c r="D14" i="116"/>
  <c r="H16" i="115"/>
  <c r="I16" i="115" s="1"/>
  <c r="E23" i="63"/>
  <c r="E24" i="63"/>
  <c r="E28" i="112"/>
  <c r="G28" i="112" s="1"/>
  <c r="D28" i="112"/>
  <c r="H32" i="66"/>
  <c r="I32" i="66" s="1"/>
  <c r="D14" i="69"/>
  <c r="D13" i="80"/>
  <c r="D15" i="80" s="1"/>
  <c r="E13" i="80"/>
  <c r="G13" i="80" s="1"/>
  <c r="H12" i="114"/>
  <c r="I12" i="114" s="1"/>
  <c r="G14" i="114"/>
  <c r="H17" i="112"/>
  <c r="I17" i="112" s="1"/>
  <c r="D30" i="74"/>
  <c r="E30" i="74"/>
  <c r="G30" i="74" s="1"/>
  <c r="E28" i="116"/>
  <c r="G28" i="116" s="1"/>
  <c r="D28" i="116"/>
  <c r="H15" i="115"/>
  <c r="I15" i="115" s="1"/>
  <c r="G18" i="115"/>
  <c r="E28" i="69"/>
  <c r="G28" i="69" s="1"/>
  <c r="D28" i="69"/>
  <c r="E13" i="71"/>
  <c r="G13" i="71" s="1"/>
  <c r="D13" i="71"/>
  <c r="D15" i="71" s="1"/>
  <c r="E22" i="71"/>
  <c r="E21" i="66"/>
  <c r="G21" i="66" s="1"/>
  <c r="D21" i="66"/>
  <c r="D27" i="114"/>
  <c r="E27" i="114"/>
  <c r="G27" i="114" s="1"/>
  <c r="H41" i="116"/>
  <c r="I41" i="116" s="1"/>
  <c r="H13" i="63"/>
  <c r="I13" i="63" s="1"/>
  <c r="E32" i="113"/>
  <c r="E31" i="113"/>
  <c r="E28" i="77"/>
  <c r="G28" i="77" s="1"/>
  <c r="D28" i="77"/>
  <c r="H41" i="114"/>
  <c r="I41" i="114" s="1"/>
  <c r="H13" i="116"/>
  <c r="I13" i="116" s="1"/>
  <c r="E37" i="112"/>
  <c r="G37" i="112" s="1"/>
  <c r="D37" i="112"/>
  <c r="G14" i="66"/>
  <c r="H12" i="66"/>
  <c r="I12" i="66" s="1"/>
  <c r="H13" i="113"/>
  <c r="I13" i="113" s="1"/>
  <c r="D27" i="116"/>
  <c r="E27" i="116"/>
  <c r="G27" i="116" s="1"/>
  <c r="E38" i="116"/>
  <c r="G38" i="116" s="1"/>
  <c r="D38" i="116"/>
  <c r="E31" i="115"/>
  <c r="E38" i="115"/>
  <c r="G38" i="115" s="1"/>
  <c r="D38" i="115"/>
  <c r="H13" i="115"/>
  <c r="I13" i="115" s="1"/>
  <c r="E23" i="69"/>
  <c r="E24" i="69"/>
  <c r="H13" i="114"/>
  <c r="I13" i="114" s="1"/>
  <c r="E36" i="117"/>
  <c r="G36" i="117" s="1"/>
  <c r="D36" i="117"/>
  <c r="G14" i="112"/>
  <c r="H12" i="112"/>
  <c r="I12" i="112" s="1"/>
  <c r="E36" i="113"/>
  <c r="G36" i="113" s="1"/>
  <c r="D36" i="113"/>
  <c r="E22" i="77"/>
  <c r="H33" i="74"/>
  <c r="I33" i="74" s="1"/>
  <c r="H12" i="63"/>
  <c r="I12" i="63" s="1"/>
  <c r="G14" i="63"/>
  <c r="H12" i="113"/>
  <c r="I12" i="113" s="1"/>
  <c r="G14" i="113"/>
  <c r="E28" i="74"/>
  <c r="G28" i="74" s="1"/>
  <c r="D28" i="74"/>
  <c r="E22" i="74"/>
  <c r="D37" i="116"/>
  <c r="E37" i="116"/>
  <c r="G37" i="116" s="1"/>
  <c r="E32" i="115"/>
  <c r="E36" i="115"/>
  <c r="G36" i="115" s="1"/>
  <c r="D36" i="115"/>
  <c r="D21" i="69"/>
  <c r="E21" i="69"/>
  <c r="G21" i="69" s="1"/>
  <c r="H17" i="116"/>
  <c r="I17" i="116" s="1"/>
  <c r="D30" i="71"/>
  <c r="E30" i="71"/>
  <c r="G30" i="71" s="1"/>
  <c r="E19" i="66"/>
  <c r="G19" i="66" s="1"/>
  <c r="D19" i="66"/>
  <c r="E29" i="66"/>
  <c r="G29" i="66" s="1"/>
  <c r="D29" i="66"/>
  <c r="G18" i="113"/>
  <c r="D27" i="117"/>
  <c r="E27" i="117"/>
  <c r="G27" i="117" s="1"/>
  <c r="G14" i="117"/>
  <c r="H12" i="117"/>
  <c r="I12" i="117" s="1"/>
  <c r="D37" i="114"/>
  <c r="E37" i="114"/>
  <c r="G37" i="114" s="1"/>
  <c r="D28" i="114"/>
  <c r="E28" i="114"/>
  <c r="G28" i="114" s="1"/>
  <c r="D14" i="115"/>
  <c r="E27" i="113"/>
  <c r="G27" i="113" s="1"/>
  <c r="D27" i="113"/>
  <c r="E28" i="113"/>
  <c r="G28" i="113" s="1"/>
  <c r="D28" i="113"/>
  <c r="E29" i="77"/>
  <c r="G29" i="77" s="1"/>
  <c r="D29" i="77"/>
  <c r="D18" i="114"/>
  <c r="H12" i="116"/>
  <c r="I12" i="116" s="1"/>
  <c r="G14" i="116"/>
  <c r="D27" i="63"/>
  <c r="E27" i="63"/>
  <c r="G27" i="63" s="1"/>
  <c r="D21" i="63"/>
  <c r="E21" i="63"/>
  <c r="G21" i="63" s="1"/>
  <c r="E36" i="112"/>
  <c r="G36" i="112" s="1"/>
  <c r="D36" i="112"/>
  <c r="E38" i="112"/>
  <c r="G38" i="112" s="1"/>
  <c r="D38" i="112"/>
  <c r="H12" i="69"/>
  <c r="I12" i="69" s="1"/>
  <c r="G14" i="69"/>
  <c r="D26" i="80"/>
  <c r="E26" i="80"/>
  <c r="G26" i="80" s="1"/>
  <c r="H15" i="117"/>
  <c r="I15" i="117" s="1"/>
  <c r="G18" i="117"/>
  <c r="H41" i="117"/>
  <c r="I41" i="117" s="1"/>
  <c r="D14" i="66"/>
  <c r="H28" i="116" l="1"/>
  <c r="I28" i="116" s="1"/>
  <c r="H27" i="112"/>
  <c r="I27" i="112" s="1"/>
  <c r="H29" i="77"/>
  <c r="I29" i="77" s="1"/>
  <c r="D31" i="66"/>
  <c r="H38" i="112"/>
  <c r="I38" i="112" s="1"/>
  <c r="D32" i="74"/>
  <c r="H37" i="112"/>
  <c r="I37" i="112" s="1"/>
  <c r="D32" i="71"/>
  <c r="H29" i="69"/>
  <c r="I29" i="69" s="1"/>
  <c r="D31" i="63"/>
  <c r="D30" i="80"/>
  <c r="H29" i="66"/>
  <c r="I29" i="66" s="1"/>
  <c r="D40" i="113"/>
  <c r="H26" i="80"/>
  <c r="I26" i="80" s="1"/>
  <c r="G30" i="80"/>
  <c r="G40" i="112"/>
  <c r="H19" i="66"/>
  <c r="I19" i="66" s="1"/>
  <c r="G40" i="117"/>
  <c r="H28" i="117"/>
  <c r="I28" i="117" s="1"/>
  <c r="H37" i="115"/>
  <c r="I37" i="115" s="1"/>
  <c r="H36" i="116"/>
  <c r="I36" i="116" s="1"/>
  <c r="G40" i="116"/>
  <c r="H29" i="74"/>
  <c r="I29" i="74" s="1"/>
  <c r="H18" i="112"/>
  <c r="I18" i="112" s="1"/>
  <c r="H28" i="80"/>
  <c r="I28" i="80" s="1"/>
  <c r="H27" i="115"/>
  <c r="I27" i="115" s="1"/>
  <c r="H21" i="63"/>
  <c r="I21" i="63" s="1"/>
  <c r="H28" i="114"/>
  <c r="I28" i="114" s="1"/>
  <c r="H37" i="116"/>
  <c r="I37" i="116" s="1"/>
  <c r="H30" i="77"/>
  <c r="I30" i="77" s="1"/>
  <c r="D40" i="114"/>
  <c r="H18" i="116"/>
  <c r="I18" i="116" s="1"/>
  <c r="G15" i="74"/>
  <c r="H13" i="74"/>
  <c r="I13" i="74" s="1"/>
  <c r="H27" i="80"/>
  <c r="I27" i="80" s="1"/>
  <c r="H28" i="63"/>
  <c r="I28" i="63" s="1"/>
  <c r="H38" i="117"/>
  <c r="I38" i="117" s="1"/>
  <c r="H18" i="117"/>
  <c r="I18" i="117" s="1"/>
  <c r="H14" i="116"/>
  <c r="I14" i="116" s="1"/>
  <c r="H27" i="113"/>
  <c r="I27" i="113" s="1"/>
  <c r="H14" i="63"/>
  <c r="I14" i="63" s="1"/>
  <c r="D40" i="115"/>
  <c r="D40" i="116"/>
  <c r="H14" i="66"/>
  <c r="I14" i="66" s="1"/>
  <c r="H18" i="115"/>
  <c r="I18" i="115" s="1"/>
  <c r="H30" i="74"/>
  <c r="I30" i="74" s="1"/>
  <c r="H13" i="80"/>
  <c r="I13" i="80" s="1"/>
  <c r="G15" i="80"/>
  <c r="H28" i="66"/>
  <c r="I28" i="66" s="1"/>
  <c r="H28" i="71"/>
  <c r="I28" i="71" s="1"/>
  <c r="G32" i="71"/>
  <c r="D31" i="69"/>
  <c r="H28" i="115"/>
  <c r="I28" i="115" s="1"/>
  <c r="H18" i="114"/>
  <c r="I18" i="114" s="1"/>
  <c r="H27" i="117"/>
  <c r="I27" i="117" s="1"/>
  <c r="H18" i="113"/>
  <c r="I18" i="113" s="1"/>
  <c r="H21" i="69"/>
  <c r="I21" i="69" s="1"/>
  <c r="H14" i="112"/>
  <c r="I14" i="112" s="1"/>
  <c r="H27" i="116"/>
  <c r="I27" i="116" s="1"/>
  <c r="G32" i="77"/>
  <c r="H28" i="77"/>
  <c r="I28" i="77" s="1"/>
  <c r="H27" i="114"/>
  <c r="I27" i="114" s="1"/>
  <c r="H21" i="66"/>
  <c r="I21" i="66" s="1"/>
  <c r="G15" i="71"/>
  <c r="H13" i="71"/>
  <c r="I13" i="71" s="1"/>
  <c r="H14" i="114"/>
  <c r="I14" i="114" s="1"/>
  <c r="H36" i="114"/>
  <c r="I36" i="114" s="1"/>
  <c r="G40" i="114"/>
  <c r="H13" i="77"/>
  <c r="I13" i="77" s="1"/>
  <c r="G15" i="77"/>
  <c r="H30" i="71"/>
  <c r="I30" i="71" s="1"/>
  <c r="H36" i="115"/>
  <c r="I36" i="115" s="1"/>
  <c r="G40" i="115"/>
  <c r="G32" i="74"/>
  <c r="H28" i="74"/>
  <c r="I28" i="74" s="1"/>
  <c r="H36" i="113"/>
  <c r="I36" i="113" s="1"/>
  <c r="G40" i="113"/>
  <c r="H37" i="113"/>
  <c r="I37" i="113" s="1"/>
  <c r="H14" i="115"/>
  <c r="I14" i="115" s="1"/>
  <c r="H19" i="69"/>
  <c r="I19" i="69" s="1"/>
  <c r="H14" i="69"/>
  <c r="I14" i="69" s="1"/>
  <c r="H36" i="112"/>
  <c r="I36" i="112" s="1"/>
  <c r="D40" i="112"/>
  <c r="H27" i="63"/>
  <c r="I27" i="63" s="1"/>
  <c r="G31" i="63"/>
  <c r="H28" i="113"/>
  <c r="I28" i="113" s="1"/>
  <c r="H37" i="114"/>
  <c r="I37" i="114" s="1"/>
  <c r="H14" i="117"/>
  <c r="I14" i="117" s="1"/>
  <c r="H14" i="113"/>
  <c r="I14" i="113" s="1"/>
  <c r="H36" i="117"/>
  <c r="I36" i="117" s="1"/>
  <c r="D40" i="117"/>
  <c r="H38" i="115"/>
  <c r="I38" i="115" s="1"/>
  <c r="H38" i="116"/>
  <c r="I38" i="116" s="1"/>
  <c r="D32" i="77"/>
  <c r="H28" i="69"/>
  <c r="I28" i="69" s="1"/>
  <c r="H28" i="112"/>
  <c r="I28" i="112" s="1"/>
  <c r="H38" i="113"/>
  <c r="I38" i="113" s="1"/>
  <c r="H37" i="117"/>
  <c r="I37" i="117" s="1"/>
  <c r="G31" i="66"/>
  <c r="H27" i="66"/>
  <c r="I27" i="66" s="1"/>
  <c r="G31" i="69"/>
  <c r="H27" i="69"/>
  <c r="I27" i="69" s="1"/>
  <c r="H19" i="63"/>
  <c r="I19" i="63" s="1"/>
  <c r="H29" i="71"/>
  <c r="I29" i="71" s="1"/>
  <c r="H29" i="63"/>
  <c r="I29" i="63" s="1"/>
  <c r="H38" i="114"/>
  <c r="I38" i="114" s="1"/>
  <c r="H40" i="117" l="1"/>
  <c r="I40" i="117" s="1"/>
  <c r="H32" i="77"/>
  <c r="I32" i="77" s="1"/>
  <c r="H40" i="112"/>
  <c r="I40" i="112" s="1"/>
  <c r="H40" i="115"/>
  <c r="I40" i="115" s="1"/>
  <c r="H15" i="74"/>
  <c r="I15" i="74" s="1"/>
  <c r="H40" i="116"/>
  <c r="I40" i="116" s="1"/>
  <c r="H30" i="80"/>
  <c r="I30" i="80" s="1"/>
  <c r="H31" i="66"/>
  <c r="I31" i="66" s="1"/>
  <c r="H40" i="113"/>
  <c r="I40" i="113" s="1"/>
  <c r="H32" i="74"/>
  <c r="I32" i="74" s="1"/>
  <c r="H31" i="69"/>
  <c r="I31" i="69" s="1"/>
  <c r="H15" i="71"/>
  <c r="I15" i="71" s="1"/>
  <c r="H32" i="71"/>
  <c r="I32" i="71" s="1"/>
  <c r="H15" i="80"/>
  <c r="I15" i="80" s="1"/>
  <c r="H31" i="63"/>
  <c r="I31" i="63" s="1"/>
  <c r="H15" i="77"/>
  <c r="I15" i="77" s="1"/>
  <c r="H40" i="114"/>
  <c r="I40" i="114" s="1"/>
  <c r="F16" i="80" l="1"/>
  <c r="G16" i="80" s="1"/>
  <c r="F16" i="79"/>
  <c r="G16" i="79" s="1"/>
  <c r="F16" i="81"/>
  <c r="G16" i="81" s="1"/>
  <c r="F18" i="80" l="1"/>
  <c r="G18" i="80" s="1"/>
  <c r="F18" i="81"/>
  <c r="G18" i="81" s="1"/>
  <c r="F18" i="79"/>
  <c r="G18" i="79" s="1"/>
  <c r="F16" i="78" l="1"/>
  <c r="G16" i="78" s="1"/>
  <c r="F16" i="76"/>
  <c r="G16" i="76" s="1"/>
  <c r="F16" i="77"/>
  <c r="G16" i="77" s="1"/>
  <c r="F15" i="67" l="1"/>
  <c r="G15" i="67" s="1"/>
  <c r="F15" i="66"/>
  <c r="G15" i="66" s="1"/>
  <c r="F15" i="65"/>
  <c r="G15" i="65" s="1"/>
  <c r="F15" i="69"/>
  <c r="G15" i="69" s="1"/>
  <c r="F15" i="70"/>
  <c r="G15" i="70" s="1"/>
  <c r="F15" i="68"/>
  <c r="G15" i="68" s="1"/>
  <c r="F17" i="68" l="1"/>
  <c r="G17" i="68" s="1"/>
  <c r="F17" i="70"/>
  <c r="G17" i="70" s="1"/>
  <c r="F17" i="69"/>
  <c r="G17" i="69" s="1"/>
  <c r="F17" i="65" l="1"/>
  <c r="G17" i="65" s="1"/>
  <c r="F17" i="66"/>
  <c r="G17" i="66" s="1"/>
  <c r="F17" i="67"/>
  <c r="G17" i="67" s="1"/>
  <c r="F19" i="56" l="1"/>
  <c r="G19" i="56" s="1"/>
  <c r="F19" i="115"/>
  <c r="G19" i="115" s="1"/>
  <c r="F19" i="54"/>
  <c r="G19" i="54" s="1"/>
  <c r="F23" i="56" l="1"/>
  <c r="G23" i="56" s="1"/>
  <c r="F23" i="115"/>
  <c r="G23" i="115" s="1"/>
  <c r="F23" i="54"/>
  <c r="G23" i="54" s="1"/>
  <c r="F15" i="25" l="1"/>
  <c r="G15" i="25" s="1"/>
  <c r="F15" i="63"/>
  <c r="G15" i="63" s="1"/>
  <c r="F15" i="64"/>
  <c r="G15" i="64" s="1"/>
  <c r="F19" i="60"/>
  <c r="G19" i="60" s="1"/>
  <c r="F19" i="62"/>
  <c r="G19" i="62" s="1"/>
  <c r="F19" i="61"/>
  <c r="G19" i="61" s="1"/>
  <c r="F19" i="116"/>
  <c r="G19" i="116" s="1"/>
  <c r="F16" i="72"/>
  <c r="G16" i="72" s="1"/>
  <c r="F16" i="5"/>
  <c r="G16" i="5" s="1"/>
  <c r="F16" i="71"/>
  <c r="G16" i="71" s="1"/>
  <c r="F19" i="4" l="1"/>
  <c r="G19" i="4" s="1"/>
  <c r="F19" i="47"/>
  <c r="G19" i="47" s="1"/>
  <c r="F19" i="46"/>
  <c r="G19" i="46" s="1"/>
  <c r="F19" i="112"/>
  <c r="G19" i="112" s="1"/>
  <c r="F19" i="53"/>
  <c r="G19" i="53" s="1"/>
  <c r="F19" i="52"/>
  <c r="G19" i="52" s="1"/>
  <c r="F19" i="114"/>
  <c r="G19" i="114" s="1"/>
  <c r="F19" i="51"/>
  <c r="G19" i="51" s="1"/>
  <c r="F19" i="48"/>
  <c r="G19" i="48" s="1"/>
  <c r="F19" i="50"/>
  <c r="G19" i="50" s="1"/>
  <c r="F19" i="113"/>
  <c r="G19" i="113" s="1"/>
  <c r="F19" i="49"/>
  <c r="G19" i="49" s="1"/>
  <c r="F19" i="59"/>
  <c r="G19" i="59" s="1"/>
  <c r="F19" i="57"/>
  <c r="G19" i="57" s="1"/>
  <c r="F19" i="58"/>
  <c r="G19" i="58" s="1"/>
  <c r="F19" i="117"/>
  <c r="G19" i="117" s="1"/>
  <c r="F16" i="74"/>
  <c r="G16" i="74" s="1"/>
  <c r="F16" i="73"/>
  <c r="G16" i="73" s="1"/>
  <c r="F16" i="75"/>
  <c r="G16" i="75" s="1"/>
  <c r="F20" i="75" l="1"/>
  <c r="G20" i="75" s="1"/>
  <c r="F20" i="74"/>
  <c r="G20" i="74" s="1"/>
  <c r="F20" i="73"/>
  <c r="G20" i="73" s="1"/>
  <c r="F20" i="5"/>
  <c r="G20" i="5" s="1"/>
  <c r="F20" i="72"/>
  <c r="G20" i="72" s="1"/>
  <c r="F20" i="71"/>
  <c r="G20" i="71" s="1"/>
  <c r="F23" i="57"/>
  <c r="G23" i="57" s="1"/>
  <c r="F23" i="58"/>
  <c r="G23" i="58" s="1"/>
  <c r="F23" i="117"/>
  <c r="G23" i="117" s="1"/>
  <c r="F23" i="59"/>
  <c r="G23" i="59" s="1"/>
  <c r="F23" i="52"/>
  <c r="G23" i="52" s="1"/>
  <c r="F23" i="53"/>
  <c r="G23" i="53" s="1"/>
  <c r="F23" i="114"/>
  <c r="G23" i="114" s="1"/>
  <c r="F23" i="51"/>
  <c r="G23" i="51" s="1"/>
  <c r="F23" i="60"/>
  <c r="G23" i="60" s="1"/>
  <c r="F23" i="61"/>
  <c r="G23" i="61" s="1"/>
  <c r="F23" i="116"/>
  <c r="G23" i="116" s="1"/>
  <c r="F23" i="62"/>
  <c r="G23" i="62" s="1"/>
  <c r="F17" i="63"/>
  <c r="G17" i="63" s="1"/>
  <c r="F17" i="25"/>
  <c r="G17" i="25" s="1"/>
  <c r="F17" i="64"/>
  <c r="G17" i="64" s="1"/>
  <c r="H20" i="72" l="1"/>
  <c r="I20" i="72" s="1"/>
  <c r="H20" i="75"/>
  <c r="I20" i="75" s="1"/>
  <c r="H20" i="5"/>
  <c r="I20" i="5" s="1"/>
  <c r="H20" i="73"/>
  <c r="I20" i="73" s="1"/>
  <c r="H20" i="71"/>
  <c r="I20" i="71" s="1"/>
  <c r="H20" i="74"/>
  <c r="I20" i="74" s="1"/>
  <c r="F23" i="49" l="1"/>
  <c r="G23" i="49" s="1"/>
  <c r="F23" i="50"/>
  <c r="G23" i="50" s="1"/>
  <c r="F23" i="48"/>
  <c r="G23" i="48" s="1"/>
  <c r="F23" i="113"/>
  <c r="G23" i="113" s="1"/>
  <c r="F23" i="112"/>
  <c r="G23" i="112" s="1"/>
  <c r="F23" i="46"/>
  <c r="G23" i="46" s="1"/>
  <c r="F23" i="4"/>
  <c r="G23" i="4" s="1"/>
  <c r="F23" i="47"/>
  <c r="G23" i="47" s="1"/>
  <c r="C23" i="80" l="1"/>
  <c r="D23" i="80" s="1"/>
  <c r="Y18" i="3"/>
  <c r="C23" i="79"/>
  <c r="D23" i="79" s="1"/>
  <c r="C23" i="81"/>
  <c r="D23" i="81" s="1"/>
  <c r="Y15" i="3"/>
  <c r="C25" i="5"/>
  <c r="D25" i="5" s="1"/>
  <c r="C25" i="72"/>
  <c r="D25" i="72" s="1"/>
  <c r="C25" i="71"/>
  <c r="D25" i="71" s="1"/>
  <c r="C31" i="53"/>
  <c r="D31" i="53" s="1"/>
  <c r="C31" i="114"/>
  <c r="D31" i="114" s="1"/>
  <c r="C31" i="52"/>
  <c r="D31" i="52" s="1"/>
  <c r="X8" i="3"/>
  <c r="C31" i="51"/>
  <c r="D31" i="51" s="1"/>
  <c r="C31" i="116"/>
  <c r="D31" i="116" s="1"/>
  <c r="X11" i="3"/>
  <c r="C31" i="61"/>
  <c r="D31" i="61" s="1"/>
  <c r="C31" i="60"/>
  <c r="D31" i="60" s="1"/>
  <c r="C31" i="62"/>
  <c r="D31" i="62" s="1"/>
  <c r="Y12" i="3"/>
  <c r="C24" i="25"/>
  <c r="D24" i="25" s="1"/>
  <c r="C24" i="64"/>
  <c r="D24" i="64" s="1"/>
  <c r="C24" i="63"/>
  <c r="D24" i="63" s="1"/>
  <c r="X17" i="3"/>
  <c r="C24" i="78"/>
  <c r="D24" i="78" s="1"/>
  <c r="C24" i="77"/>
  <c r="D24" i="77" s="1"/>
  <c r="C24" i="76"/>
  <c r="D24" i="76" s="1"/>
  <c r="C25" i="73"/>
  <c r="D25" i="73" s="1"/>
  <c r="Y16" i="3"/>
  <c r="C25" i="75"/>
  <c r="D25" i="75" s="1"/>
  <c r="C25" i="74"/>
  <c r="D25" i="74" s="1"/>
  <c r="C32" i="60"/>
  <c r="D32" i="60" s="1"/>
  <c r="Y11" i="3"/>
  <c r="C32" i="62"/>
  <c r="D32" i="62" s="1"/>
  <c r="C32" i="116"/>
  <c r="D32" i="116" s="1"/>
  <c r="C32" i="61"/>
  <c r="D32" i="61" s="1"/>
  <c r="Y7" i="3"/>
  <c r="C32" i="48"/>
  <c r="D32" i="48" s="1"/>
  <c r="C32" i="49"/>
  <c r="D32" i="49" s="1"/>
  <c r="C32" i="113"/>
  <c r="D32" i="113" s="1"/>
  <c r="C32" i="50"/>
  <c r="D32" i="50" s="1"/>
  <c r="C32" i="117"/>
  <c r="D32" i="117" s="1"/>
  <c r="C32" i="57"/>
  <c r="D32" i="57" s="1"/>
  <c r="Y10" i="3"/>
  <c r="C32" i="58"/>
  <c r="D32" i="58" s="1"/>
  <c r="C32" i="59"/>
  <c r="D32" i="59" s="1"/>
  <c r="C24" i="5"/>
  <c r="D24" i="5" s="1"/>
  <c r="D26" i="5" s="1"/>
  <c r="C24" i="72"/>
  <c r="D24" i="72" s="1"/>
  <c r="C24" i="71"/>
  <c r="D24" i="71" s="1"/>
  <c r="X15" i="3"/>
  <c r="X18" i="3"/>
  <c r="C22" i="81"/>
  <c r="D22" i="81" s="1"/>
  <c r="C22" i="79"/>
  <c r="D22" i="79" s="1"/>
  <c r="C22" i="80"/>
  <c r="D22" i="80" s="1"/>
  <c r="D24" i="80" s="1"/>
  <c r="X14" i="3"/>
  <c r="C23" i="68"/>
  <c r="D23" i="68" s="1"/>
  <c r="C23" i="69"/>
  <c r="D23" i="69" s="1"/>
  <c r="C23" i="70"/>
  <c r="D23" i="70" s="1"/>
  <c r="X9" i="3"/>
  <c r="C31" i="56"/>
  <c r="D31" i="56" s="1"/>
  <c r="C31" i="54"/>
  <c r="D31" i="54" s="1"/>
  <c r="C31" i="115"/>
  <c r="D31" i="115" s="1"/>
  <c r="Y17" i="3"/>
  <c r="C25" i="77"/>
  <c r="D25" i="77" s="1"/>
  <c r="C25" i="76"/>
  <c r="D25" i="76" s="1"/>
  <c r="C25" i="78"/>
  <c r="D25" i="78" s="1"/>
  <c r="Y8" i="3"/>
  <c r="C32" i="53"/>
  <c r="D32" i="53" s="1"/>
  <c r="C32" i="114"/>
  <c r="D32" i="114" s="1"/>
  <c r="C32" i="51"/>
  <c r="D32" i="51" s="1"/>
  <c r="C32" i="52"/>
  <c r="D32" i="52" s="1"/>
  <c r="C23" i="63"/>
  <c r="D23" i="63" s="1"/>
  <c r="C23" i="25"/>
  <c r="D23" i="25" s="1"/>
  <c r="X12" i="3"/>
  <c r="C23" i="64"/>
  <c r="D23" i="64" s="1"/>
  <c r="C31" i="46"/>
  <c r="D31" i="46" s="1"/>
  <c r="X6" i="3"/>
  <c r="C31" i="4"/>
  <c r="D31" i="4" s="1"/>
  <c r="C31" i="47"/>
  <c r="D31" i="47" s="1"/>
  <c r="C31" i="112"/>
  <c r="D31" i="112" s="1"/>
  <c r="C24" i="68"/>
  <c r="D24" i="68" s="1"/>
  <c r="C24" i="70"/>
  <c r="D24" i="70" s="1"/>
  <c r="C24" i="69"/>
  <c r="D24" i="69" s="1"/>
  <c r="Y14" i="3"/>
  <c r="Y9" i="3"/>
  <c r="C32" i="54"/>
  <c r="D32" i="54" s="1"/>
  <c r="C32" i="56"/>
  <c r="D32" i="56" s="1"/>
  <c r="C32" i="115"/>
  <c r="D32" i="115" s="1"/>
  <c r="C32" i="46"/>
  <c r="D32" i="46" s="1"/>
  <c r="C32" i="4"/>
  <c r="D32" i="4" s="1"/>
  <c r="Y6" i="3"/>
  <c r="C32" i="47"/>
  <c r="D32" i="47" s="1"/>
  <c r="C32" i="112"/>
  <c r="D32" i="112" s="1"/>
  <c r="X16" i="3"/>
  <c r="C24" i="74"/>
  <c r="D24" i="74" s="1"/>
  <c r="C24" i="75"/>
  <c r="D24" i="75" s="1"/>
  <c r="C24" i="73"/>
  <c r="D24" i="73" s="1"/>
  <c r="C31" i="50"/>
  <c r="D31" i="50" s="1"/>
  <c r="C31" i="48"/>
  <c r="D31" i="48" s="1"/>
  <c r="X7" i="3"/>
  <c r="C31" i="49"/>
  <c r="D31" i="49" s="1"/>
  <c r="C31" i="113"/>
  <c r="D31" i="113" s="1"/>
  <c r="C31" i="117"/>
  <c r="D31" i="117" s="1"/>
  <c r="X10" i="3"/>
  <c r="C31" i="59"/>
  <c r="D31" i="59" s="1"/>
  <c r="C31" i="58"/>
  <c r="D31" i="58" s="1"/>
  <c r="C31" i="57"/>
  <c r="D31" i="57" s="1"/>
  <c r="D33" i="49" l="1"/>
  <c r="D33" i="113"/>
  <c r="D25" i="64"/>
  <c r="D26" i="75"/>
  <c r="D26" i="73"/>
  <c r="D33" i="4"/>
  <c r="D25" i="63"/>
  <c r="D33" i="59"/>
  <c r="D33" i="115"/>
  <c r="D33" i="61"/>
  <c r="D33" i="52"/>
  <c r="D33" i="58"/>
  <c r="D33" i="50"/>
  <c r="F31" i="51"/>
  <c r="G31" i="51" s="1"/>
  <c r="F31" i="114"/>
  <c r="G31" i="114" s="1"/>
  <c r="F31" i="52"/>
  <c r="G31" i="52" s="1"/>
  <c r="F31" i="53"/>
  <c r="G31" i="53" s="1"/>
  <c r="F31" i="117"/>
  <c r="G31" i="117" s="1"/>
  <c r="F31" i="58"/>
  <c r="G31" i="58" s="1"/>
  <c r="F31" i="59"/>
  <c r="G31" i="59" s="1"/>
  <c r="F31" i="57"/>
  <c r="G31" i="57" s="1"/>
  <c r="F31" i="50"/>
  <c r="G31" i="50" s="1"/>
  <c r="F31" i="48"/>
  <c r="G31" i="48" s="1"/>
  <c r="F31" i="49"/>
  <c r="G31" i="49" s="1"/>
  <c r="F31" i="113"/>
  <c r="G31" i="113" s="1"/>
  <c r="F31" i="47"/>
  <c r="G31" i="47" s="1"/>
  <c r="F31" i="4"/>
  <c r="G31" i="4" s="1"/>
  <c r="F31" i="112"/>
  <c r="G31" i="112" s="1"/>
  <c r="F31" i="46"/>
  <c r="G31" i="46" s="1"/>
  <c r="D25" i="70"/>
  <c r="D33" i="57"/>
  <c r="D33" i="117"/>
  <c r="D33" i="48"/>
  <c r="D26" i="74"/>
  <c r="F32" i="4"/>
  <c r="G32" i="4" s="1"/>
  <c r="F32" i="46"/>
  <c r="G32" i="46" s="1"/>
  <c r="F32" i="47"/>
  <c r="G32" i="47" s="1"/>
  <c r="F32" i="112"/>
  <c r="G32" i="112" s="1"/>
  <c r="F24" i="69"/>
  <c r="G24" i="69" s="1"/>
  <c r="F24" i="68"/>
  <c r="G24" i="68" s="1"/>
  <c r="F24" i="70"/>
  <c r="G24" i="70" s="1"/>
  <c r="D33" i="112"/>
  <c r="D33" i="46"/>
  <c r="D33" i="56"/>
  <c r="D25" i="69"/>
  <c r="D24" i="79"/>
  <c r="D26" i="71"/>
  <c r="F32" i="49"/>
  <c r="G32" i="49" s="1"/>
  <c r="F32" i="50"/>
  <c r="G32" i="50" s="1"/>
  <c r="F32" i="48"/>
  <c r="G32" i="48" s="1"/>
  <c r="F32" i="113"/>
  <c r="G32" i="113" s="1"/>
  <c r="F32" i="62"/>
  <c r="G32" i="62" s="1"/>
  <c r="F32" i="61"/>
  <c r="G32" i="61" s="1"/>
  <c r="F32" i="116"/>
  <c r="G32" i="116" s="1"/>
  <c r="F32" i="60"/>
  <c r="G32" i="60" s="1"/>
  <c r="F25" i="73"/>
  <c r="G25" i="73" s="1"/>
  <c r="F25" i="75"/>
  <c r="G25" i="75" s="1"/>
  <c r="F25" i="74"/>
  <c r="G25" i="74" s="1"/>
  <c r="D26" i="76"/>
  <c r="D33" i="62"/>
  <c r="D33" i="116"/>
  <c r="D33" i="114"/>
  <c r="F23" i="79"/>
  <c r="G23" i="79" s="1"/>
  <c r="F23" i="81"/>
  <c r="G23" i="81" s="1"/>
  <c r="F23" i="80"/>
  <c r="G23" i="80" s="1"/>
  <c r="F23" i="64"/>
  <c r="G23" i="64" s="1"/>
  <c r="F23" i="25"/>
  <c r="G23" i="25" s="1"/>
  <c r="F23" i="63"/>
  <c r="G23" i="63" s="1"/>
  <c r="F23" i="70"/>
  <c r="G23" i="70" s="1"/>
  <c r="F23" i="69"/>
  <c r="G23" i="69" s="1"/>
  <c r="F23" i="68"/>
  <c r="G23" i="68" s="1"/>
  <c r="F22" i="81"/>
  <c r="G22" i="81" s="1"/>
  <c r="F22" i="80"/>
  <c r="G22" i="80" s="1"/>
  <c r="F22" i="79"/>
  <c r="G22" i="79" s="1"/>
  <c r="D26" i="78"/>
  <c r="F32" i="115"/>
  <c r="G32" i="115" s="1"/>
  <c r="F32" i="56"/>
  <c r="G32" i="56" s="1"/>
  <c r="F32" i="54"/>
  <c r="G32" i="54" s="1"/>
  <c r="D25" i="25"/>
  <c r="D33" i="54"/>
  <c r="F24" i="71"/>
  <c r="G24" i="71" s="1"/>
  <c r="F24" i="72"/>
  <c r="G24" i="72" s="1"/>
  <c r="F24" i="5"/>
  <c r="G24" i="5" s="1"/>
  <c r="F24" i="76"/>
  <c r="G24" i="76" s="1"/>
  <c r="F24" i="77"/>
  <c r="G24" i="77" s="1"/>
  <c r="F24" i="78"/>
  <c r="G24" i="78" s="1"/>
  <c r="F24" i="63"/>
  <c r="G24" i="63" s="1"/>
  <c r="F24" i="25"/>
  <c r="G24" i="25" s="1"/>
  <c r="F24" i="64"/>
  <c r="G24" i="64" s="1"/>
  <c r="F31" i="116"/>
  <c r="G31" i="116" s="1"/>
  <c r="F31" i="61"/>
  <c r="G31" i="61" s="1"/>
  <c r="F31" i="60"/>
  <c r="G31" i="60" s="1"/>
  <c r="F31" i="62"/>
  <c r="G31" i="62" s="1"/>
  <c r="F24" i="73"/>
  <c r="G24" i="73" s="1"/>
  <c r="F24" i="74"/>
  <c r="G24" i="74" s="1"/>
  <c r="F24" i="75"/>
  <c r="G24" i="75" s="1"/>
  <c r="D33" i="47"/>
  <c r="F32" i="53"/>
  <c r="G32" i="53" s="1"/>
  <c r="F32" i="52"/>
  <c r="G32" i="52" s="1"/>
  <c r="F32" i="51"/>
  <c r="G32" i="51" s="1"/>
  <c r="F32" i="114"/>
  <c r="G32" i="114" s="1"/>
  <c r="F25" i="78"/>
  <c r="G25" i="78" s="1"/>
  <c r="H25" i="78" s="1"/>
  <c r="I25" i="78" s="1"/>
  <c r="F25" i="77"/>
  <c r="G25" i="77" s="1"/>
  <c r="H25" i="77" s="1"/>
  <c r="I25" i="77" s="1"/>
  <c r="F25" i="76"/>
  <c r="G25" i="76" s="1"/>
  <c r="H25" i="76" s="1"/>
  <c r="I25" i="76" s="1"/>
  <c r="F31" i="56"/>
  <c r="G31" i="56" s="1"/>
  <c r="F31" i="54"/>
  <c r="G31" i="54" s="1"/>
  <c r="F31" i="115"/>
  <c r="G31" i="115" s="1"/>
  <c r="D25" i="68"/>
  <c r="D24" i="81"/>
  <c r="D26" i="72"/>
  <c r="F32" i="58"/>
  <c r="G32" i="58" s="1"/>
  <c r="F32" i="57"/>
  <c r="G32" i="57" s="1"/>
  <c r="F32" i="59"/>
  <c r="G32" i="59" s="1"/>
  <c r="F32" i="117"/>
  <c r="G32" i="117" s="1"/>
  <c r="D26" i="77"/>
  <c r="D33" i="60"/>
  <c r="D33" i="51"/>
  <c r="D33" i="53"/>
  <c r="F25" i="71"/>
  <c r="G25" i="71" s="1"/>
  <c r="F25" i="72"/>
  <c r="G25" i="72" s="1"/>
  <c r="F25" i="5"/>
  <c r="G25" i="5" s="1"/>
  <c r="G26" i="75" l="1"/>
  <c r="H24" i="75"/>
  <c r="I24" i="75" s="1"/>
  <c r="H31" i="116"/>
  <c r="I31" i="116" s="1"/>
  <c r="G33" i="116"/>
  <c r="H24" i="72"/>
  <c r="I24" i="72" s="1"/>
  <c r="G26" i="72"/>
  <c r="H22" i="81"/>
  <c r="I22" i="81" s="1"/>
  <c r="G24" i="81"/>
  <c r="H23" i="79"/>
  <c r="I23" i="79" s="1"/>
  <c r="H32" i="113"/>
  <c r="I32" i="113" s="1"/>
  <c r="H24" i="69"/>
  <c r="I24" i="69" s="1"/>
  <c r="H31" i="4"/>
  <c r="I31" i="4" s="1"/>
  <c r="G33" i="4"/>
  <c r="G33" i="52"/>
  <c r="H31" i="52"/>
  <c r="I31" i="52" s="1"/>
  <c r="H32" i="117"/>
  <c r="I32" i="117" s="1"/>
  <c r="H31" i="54"/>
  <c r="I31" i="54" s="1"/>
  <c r="G33" i="54"/>
  <c r="H32" i="52"/>
  <c r="I32" i="52" s="1"/>
  <c r="G33" i="62"/>
  <c r="H31" i="62"/>
  <c r="I31" i="62" s="1"/>
  <c r="G26" i="77"/>
  <c r="H26" i="77" s="1"/>
  <c r="I26" i="77" s="1"/>
  <c r="H24" i="77"/>
  <c r="I24" i="77" s="1"/>
  <c r="H23" i="25"/>
  <c r="I23" i="25" s="1"/>
  <c r="G25" i="25"/>
  <c r="H32" i="116"/>
  <c r="I32" i="116" s="1"/>
  <c r="H31" i="50"/>
  <c r="I31" i="50" s="1"/>
  <c r="G33" i="50"/>
  <c r="H31" i="114"/>
  <c r="I31" i="114" s="1"/>
  <c r="G33" i="114"/>
  <c r="H25" i="5"/>
  <c r="I25" i="5" s="1"/>
  <c r="H32" i="59"/>
  <c r="I32" i="59" s="1"/>
  <c r="G33" i="56"/>
  <c r="H31" i="56"/>
  <c r="I31" i="56" s="1"/>
  <c r="H32" i="53"/>
  <c r="I32" i="53" s="1"/>
  <c r="G26" i="73"/>
  <c r="H24" i="73"/>
  <c r="I24" i="73" s="1"/>
  <c r="H31" i="60"/>
  <c r="I31" i="60" s="1"/>
  <c r="G33" i="60"/>
  <c r="H24" i="25"/>
  <c r="I24" i="25" s="1"/>
  <c r="H24" i="76"/>
  <c r="I24" i="76" s="1"/>
  <c r="G26" i="76"/>
  <c r="H26" i="76" s="1"/>
  <c r="I26" i="76" s="1"/>
  <c r="H32" i="56"/>
  <c r="I32" i="56" s="1"/>
  <c r="G24" i="79"/>
  <c r="H22" i="79"/>
  <c r="I22" i="79" s="1"/>
  <c r="G25" i="69"/>
  <c r="H23" i="69"/>
  <c r="I23" i="69" s="1"/>
  <c r="G25" i="64"/>
  <c r="H23" i="64"/>
  <c r="I23" i="64" s="1"/>
  <c r="H23" i="80"/>
  <c r="I23" i="80" s="1"/>
  <c r="H25" i="75"/>
  <c r="I25" i="75" s="1"/>
  <c r="H32" i="61"/>
  <c r="I32" i="61" s="1"/>
  <c r="H32" i="50"/>
  <c r="I32" i="50" s="1"/>
  <c r="H24" i="70"/>
  <c r="I24" i="70" s="1"/>
  <c r="H32" i="47"/>
  <c r="I32" i="47" s="1"/>
  <c r="G33" i="46"/>
  <c r="H31" i="46"/>
  <c r="I31" i="46" s="1"/>
  <c r="H31" i="113"/>
  <c r="I31" i="113" s="1"/>
  <c r="G33" i="113"/>
  <c r="G33" i="57"/>
  <c r="H31" i="57"/>
  <c r="I31" i="57" s="1"/>
  <c r="H31" i="51"/>
  <c r="I31" i="51" s="1"/>
  <c r="G33" i="51"/>
  <c r="H25" i="71"/>
  <c r="I25" i="71" s="1"/>
  <c r="H32" i="58"/>
  <c r="I32" i="58" s="1"/>
  <c r="H31" i="115"/>
  <c r="I31" i="115" s="1"/>
  <c r="G33" i="115"/>
  <c r="H32" i="51"/>
  <c r="I32" i="51" s="1"/>
  <c r="G26" i="78"/>
  <c r="H26" i="78" s="1"/>
  <c r="I26" i="78" s="1"/>
  <c r="H24" i="78"/>
  <c r="I24" i="78" s="1"/>
  <c r="H32" i="54"/>
  <c r="I32" i="54" s="1"/>
  <c r="H23" i="63"/>
  <c r="I23" i="63" s="1"/>
  <c r="G25" i="63"/>
  <c r="H32" i="60"/>
  <c r="I32" i="60" s="1"/>
  <c r="H32" i="4"/>
  <c r="I32" i="4" s="1"/>
  <c r="G33" i="48"/>
  <c r="H31" i="48"/>
  <c r="I31" i="48" s="1"/>
  <c r="H31" i="58"/>
  <c r="I31" i="58" s="1"/>
  <c r="G33" i="58"/>
  <c r="H24" i="74"/>
  <c r="I24" i="74" s="1"/>
  <c r="G26" i="74"/>
  <c r="H24" i="64"/>
  <c r="I24" i="64" s="1"/>
  <c r="G26" i="71"/>
  <c r="H24" i="71"/>
  <c r="I24" i="71" s="1"/>
  <c r="G25" i="68"/>
  <c r="H23" i="68"/>
  <c r="I23" i="68" s="1"/>
  <c r="H25" i="74"/>
  <c r="I25" i="74" s="1"/>
  <c r="H32" i="48"/>
  <c r="I32" i="48" s="1"/>
  <c r="H32" i="112"/>
  <c r="I32" i="112" s="1"/>
  <c r="G33" i="47"/>
  <c r="H31" i="47"/>
  <c r="I31" i="47" s="1"/>
  <c r="H31" i="117"/>
  <c r="I31" i="117" s="1"/>
  <c r="G33" i="117"/>
  <c r="H25" i="72"/>
  <c r="I25" i="72" s="1"/>
  <c r="H32" i="57"/>
  <c r="I32" i="57" s="1"/>
  <c r="H32" i="114"/>
  <c r="I32" i="114" s="1"/>
  <c r="H31" i="61"/>
  <c r="I31" i="61" s="1"/>
  <c r="G33" i="61"/>
  <c r="H24" i="63"/>
  <c r="I24" i="63" s="1"/>
  <c r="G26" i="5"/>
  <c r="H24" i="5"/>
  <c r="I24" i="5" s="1"/>
  <c r="H32" i="115"/>
  <c r="I32" i="115" s="1"/>
  <c r="G24" i="80"/>
  <c r="H22" i="80"/>
  <c r="I22" i="80" s="1"/>
  <c r="G25" i="70"/>
  <c r="H23" i="70"/>
  <c r="I23" i="70" s="1"/>
  <c r="H23" i="81"/>
  <c r="I23" i="81" s="1"/>
  <c r="H25" i="73"/>
  <c r="I25" i="73" s="1"/>
  <c r="H32" i="62"/>
  <c r="I32" i="62" s="1"/>
  <c r="H32" i="49"/>
  <c r="I32" i="49" s="1"/>
  <c r="H24" i="68"/>
  <c r="I24" i="68" s="1"/>
  <c r="H32" i="46"/>
  <c r="I32" i="46" s="1"/>
  <c r="H31" i="112"/>
  <c r="I31" i="112" s="1"/>
  <c r="G33" i="112"/>
  <c r="G33" i="49"/>
  <c r="H31" i="49"/>
  <c r="I31" i="49" s="1"/>
  <c r="H31" i="59"/>
  <c r="I31" i="59" s="1"/>
  <c r="G33" i="59"/>
  <c r="G33" i="53"/>
  <c r="H31" i="53"/>
  <c r="I31" i="53" s="1"/>
  <c r="H26" i="5" l="1"/>
  <c r="I26" i="5" s="1"/>
  <c r="H33" i="51"/>
  <c r="I33" i="51" s="1"/>
  <c r="H33" i="113"/>
  <c r="I33" i="113" s="1"/>
  <c r="H25" i="64"/>
  <c r="I25" i="64" s="1"/>
  <c r="H33" i="56"/>
  <c r="I33" i="56" s="1"/>
  <c r="H33" i="59"/>
  <c r="I33" i="59" s="1"/>
  <c r="H26" i="71"/>
  <c r="I26" i="71" s="1"/>
  <c r="H33" i="57"/>
  <c r="I33" i="57" s="1"/>
  <c r="H33" i="46"/>
  <c r="I33" i="46" s="1"/>
  <c r="H26" i="73"/>
  <c r="I26" i="73" s="1"/>
  <c r="H33" i="62"/>
  <c r="I33" i="62" s="1"/>
  <c r="H33" i="53"/>
  <c r="I33" i="53" s="1"/>
  <c r="H33" i="49"/>
  <c r="I33" i="49" s="1"/>
  <c r="H25" i="70"/>
  <c r="I25" i="70" s="1"/>
  <c r="H33" i="117"/>
  <c r="I33" i="117" s="1"/>
  <c r="H25" i="68"/>
  <c r="I25" i="68" s="1"/>
  <c r="H33" i="48"/>
  <c r="I33" i="48" s="1"/>
  <c r="H24" i="79"/>
  <c r="I24" i="79" s="1"/>
  <c r="H33" i="4"/>
  <c r="I33" i="4" s="1"/>
  <c r="H24" i="81"/>
  <c r="I24" i="81" s="1"/>
  <c r="H33" i="112"/>
  <c r="I33" i="112" s="1"/>
  <c r="H24" i="80"/>
  <c r="I24" i="80" s="1"/>
  <c r="H33" i="61"/>
  <c r="I33" i="61" s="1"/>
  <c r="H26" i="74"/>
  <c r="I26" i="74" s="1"/>
  <c r="H33" i="58"/>
  <c r="I33" i="58" s="1"/>
  <c r="H33" i="60"/>
  <c r="I33" i="60" s="1"/>
  <c r="H33" i="114"/>
  <c r="I33" i="114" s="1"/>
  <c r="H33" i="50"/>
  <c r="I33" i="50" s="1"/>
  <c r="H33" i="47"/>
  <c r="I33" i="47" s="1"/>
  <c r="H25" i="63"/>
  <c r="I25" i="63" s="1"/>
  <c r="H33" i="115"/>
  <c r="I33" i="115" s="1"/>
  <c r="H25" i="69"/>
  <c r="I25" i="69" s="1"/>
  <c r="H25" i="25"/>
  <c r="I25" i="25" s="1"/>
  <c r="H33" i="54"/>
  <c r="I33" i="54" s="1"/>
  <c r="H33" i="52"/>
  <c r="I33" i="52" s="1"/>
  <c r="H26" i="72"/>
  <c r="I26" i="72" s="1"/>
  <c r="H33" i="116"/>
  <c r="I33" i="116" s="1"/>
  <c r="H26" i="75"/>
  <c r="I26" i="75" s="1"/>
  <c r="X13" i="3" l="1"/>
  <c r="C23" i="66"/>
  <c r="D23" i="66" s="1"/>
  <c r="C23" i="65"/>
  <c r="D23" i="65" s="1"/>
  <c r="C23" i="67"/>
  <c r="D23" i="67" s="1"/>
  <c r="Y13" i="3"/>
  <c r="C24" i="66"/>
  <c r="D24" i="66" s="1"/>
  <c r="C24" i="65"/>
  <c r="D24" i="65" s="1"/>
  <c r="C24" i="67"/>
  <c r="D24" i="67" s="1"/>
  <c r="D25" i="65" l="1"/>
  <c r="D25" i="67"/>
  <c r="D25" i="66"/>
  <c r="F24" i="67"/>
  <c r="G24" i="67" s="1"/>
  <c r="F24" i="66"/>
  <c r="G24" i="66" s="1"/>
  <c r="F24" i="65"/>
  <c r="G24" i="65" s="1"/>
  <c r="F23" i="65"/>
  <c r="G23" i="65" s="1"/>
  <c r="F23" i="67"/>
  <c r="G23" i="67" s="1"/>
  <c r="F23" i="66"/>
  <c r="G23" i="66" s="1"/>
  <c r="G25" i="67" l="1"/>
  <c r="H23" i="67"/>
  <c r="I23" i="67" s="1"/>
  <c r="H24" i="67"/>
  <c r="I24" i="67" s="1"/>
  <c r="G25" i="65"/>
  <c r="H23" i="65"/>
  <c r="I23" i="65" s="1"/>
  <c r="H24" i="65"/>
  <c r="I24" i="65" s="1"/>
  <c r="H23" i="66"/>
  <c r="I23" i="66" s="1"/>
  <c r="G25" i="66"/>
  <c r="H24" i="66"/>
  <c r="I24" i="66" s="1"/>
  <c r="H25" i="65" l="1"/>
  <c r="I25" i="65" s="1"/>
  <c r="H25" i="66"/>
  <c r="I25" i="66" s="1"/>
  <c r="H25" i="67"/>
  <c r="I25" i="67" s="1"/>
  <c r="C15" i="66" l="1"/>
  <c r="D15" i="66" s="1"/>
  <c r="C15" i="65"/>
  <c r="D15" i="65" s="1"/>
  <c r="C15" i="67"/>
  <c r="D15" i="67" s="1"/>
  <c r="C17" i="70"/>
  <c r="D17" i="70" s="1"/>
  <c r="H17" i="70" s="1"/>
  <c r="I17" i="70" s="1"/>
  <c r="C17" i="68"/>
  <c r="D17" i="68" s="1"/>
  <c r="H17" i="68" s="1"/>
  <c r="I17" i="68" s="1"/>
  <c r="C17" i="69"/>
  <c r="D17" i="69" s="1"/>
  <c r="H17" i="69" s="1"/>
  <c r="I17" i="69" s="1"/>
  <c r="C15" i="68"/>
  <c r="D15" i="68" s="1"/>
  <c r="C15" i="70"/>
  <c r="D15" i="70" s="1"/>
  <c r="C15" i="69"/>
  <c r="D15" i="69" s="1"/>
  <c r="C19" i="115"/>
  <c r="D19" i="115" s="1"/>
  <c r="C19" i="54"/>
  <c r="D19" i="54" s="1"/>
  <c r="C19" i="56"/>
  <c r="D19" i="56" s="1"/>
  <c r="C17" i="67"/>
  <c r="D17" i="67" s="1"/>
  <c r="H17" i="67" s="1"/>
  <c r="I17" i="67" s="1"/>
  <c r="C17" i="65"/>
  <c r="D17" i="65" s="1"/>
  <c r="H17" i="65" s="1"/>
  <c r="I17" i="65" s="1"/>
  <c r="C17" i="66"/>
  <c r="D17" i="66" s="1"/>
  <c r="H17" i="66" s="1"/>
  <c r="I17" i="66" s="1"/>
  <c r="H19" i="115" l="1"/>
  <c r="I19" i="115" s="1"/>
  <c r="H15" i="70"/>
  <c r="I15" i="70" s="1"/>
  <c r="H15" i="65"/>
  <c r="I15" i="65" s="1"/>
  <c r="H19" i="56"/>
  <c r="I19" i="56" s="1"/>
  <c r="H15" i="69"/>
  <c r="I15" i="69" s="1"/>
  <c r="H15" i="67"/>
  <c r="I15" i="67" s="1"/>
  <c r="H19" i="54"/>
  <c r="I19" i="54" s="1"/>
  <c r="H15" i="68"/>
  <c r="I15" i="68" s="1"/>
  <c r="C16" i="77"/>
  <c r="D16" i="77" s="1"/>
  <c r="H16" i="77" s="1"/>
  <c r="I16" i="77" s="1"/>
  <c r="C16" i="78"/>
  <c r="D16" i="78" s="1"/>
  <c r="C16" i="76"/>
  <c r="D16" i="76" s="1"/>
  <c r="H15" i="66"/>
  <c r="I15" i="66" s="1"/>
  <c r="H16" i="78" l="1"/>
  <c r="I16" i="78" s="1"/>
  <c r="C23" i="115"/>
  <c r="D23" i="115" s="1"/>
  <c r="H23" i="115" s="1"/>
  <c r="I23" i="115" s="1"/>
  <c r="C23" i="56"/>
  <c r="D23" i="56" s="1"/>
  <c r="H23" i="56" s="1"/>
  <c r="I23" i="56" s="1"/>
  <c r="C23" i="54"/>
  <c r="D23" i="54" s="1"/>
  <c r="H23" i="54" s="1"/>
  <c r="I23" i="54" s="1"/>
  <c r="H16" i="76"/>
  <c r="I16" i="76" s="1"/>
  <c r="C23" i="116" l="1"/>
  <c r="D23" i="116" s="1"/>
  <c r="H23" i="116" s="1"/>
  <c r="I23" i="116" s="1"/>
  <c r="C23" i="60"/>
  <c r="D23" i="60" s="1"/>
  <c r="H23" i="60" s="1"/>
  <c r="I23" i="60" s="1"/>
  <c r="C23" i="61"/>
  <c r="D23" i="61" s="1"/>
  <c r="H23" i="61" s="1"/>
  <c r="I23" i="61" s="1"/>
  <c r="C23" i="62"/>
  <c r="D23" i="62" s="1"/>
  <c r="H23" i="62" s="1"/>
  <c r="I23" i="62" s="1"/>
  <c r="C17" i="63"/>
  <c r="D17" i="63" s="1"/>
  <c r="H17" i="63" s="1"/>
  <c r="I17" i="63" s="1"/>
  <c r="C17" i="25"/>
  <c r="D17" i="25" s="1"/>
  <c r="H17" i="25" s="1"/>
  <c r="I17" i="25" s="1"/>
  <c r="C17" i="64"/>
  <c r="D17" i="64" s="1"/>
  <c r="H17" i="64" s="1"/>
  <c r="I17" i="64" s="1"/>
  <c r="C16" i="74" l="1"/>
  <c r="D16" i="74" s="1"/>
  <c r="H16" i="74" s="1"/>
  <c r="I16" i="74" s="1"/>
  <c r="C16" i="75"/>
  <c r="D16" i="75" s="1"/>
  <c r="C16" i="73"/>
  <c r="D16" i="73" s="1"/>
  <c r="C19" i="116"/>
  <c r="D19" i="116" s="1"/>
  <c r="C19" i="60"/>
  <c r="D19" i="60" s="1"/>
  <c r="C19" i="62"/>
  <c r="D19" i="62" s="1"/>
  <c r="C19" i="61"/>
  <c r="D19" i="61" s="1"/>
  <c r="C19" i="117"/>
  <c r="D19" i="117" s="1"/>
  <c r="C19" i="59"/>
  <c r="D19" i="59" s="1"/>
  <c r="C19" i="58"/>
  <c r="D19" i="58" s="1"/>
  <c r="C19" i="57"/>
  <c r="D19" i="57" s="1"/>
  <c r="C19" i="113"/>
  <c r="D19" i="113" s="1"/>
  <c r="C19" i="48"/>
  <c r="D19" i="48" s="1"/>
  <c r="C19" i="49"/>
  <c r="D19" i="49" s="1"/>
  <c r="C19" i="50"/>
  <c r="D19" i="50" s="1"/>
  <c r="C15" i="63"/>
  <c r="D15" i="63" s="1"/>
  <c r="C15" i="25"/>
  <c r="D15" i="25" s="1"/>
  <c r="C15" i="64"/>
  <c r="D15" i="64" s="1"/>
  <c r="C23" i="117"/>
  <c r="D23" i="117" s="1"/>
  <c r="H23" i="117" s="1"/>
  <c r="I23" i="117" s="1"/>
  <c r="C23" i="59"/>
  <c r="D23" i="59" s="1"/>
  <c r="H23" i="59" s="1"/>
  <c r="I23" i="59" s="1"/>
  <c r="C23" i="58"/>
  <c r="D23" i="58" s="1"/>
  <c r="H23" i="58" s="1"/>
  <c r="I23" i="58" s="1"/>
  <c r="C23" i="57"/>
  <c r="D23" i="57" s="1"/>
  <c r="H23" i="57" s="1"/>
  <c r="I23" i="57" s="1"/>
  <c r="C16" i="5"/>
  <c r="D16" i="5" s="1"/>
  <c r="C16" i="72"/>
  <c r="D16" i="72" s="1"/>
  <c r="C16" i="71"/>
  <c r="D16" i="71" s="1"/>
  <c r="H16" i="71" s="1"/>
  <c r="I16" i="71" s="1"/>
  <c r="C19" i="51"/>
  <c r="D19" i="51" s="1"/>
  <c r="C19" i="114"/>
  <c r="D19" i="114" s="1"/>
  <c r="C19" i="52"/>
  <c r="D19" i="52" s="1"/>
  <c r="C19" i="53"/>
  <c r="D19" i="53" s="1"/>
  <c r="H19" i="49" l="1"/>
  <c r="I19" i="49" s="1"/>
  <c r="H19" i="58"/>
  <c r="I19" i="58" s="1"/>
  <c r="H19" i="116"/>
  <c r="I19" i="116" s="1"/>
  <c r="H15" i="25"/>
  <c r="I15" i="25" s="1"/>
  <c r="H19" i="48"/>
  <c r="I19" i="48" s="1"/>
  <c r="H19" i="59"/>
  <c r="I19" i="59" s="1"/>
  <c r="H19" i="61"/>
  <c r="I19" i="61" s="1"/>
  <c r="H16" i="73"/>
  <c r="I16" i="73" s="1"/>
  <c r="C19" i="112"/>
  <c r="D19" i="112" s="1"/>
  <c r="C19" i="47"/>
  <c r="D19" i="47" s="1"/>
  <c r="C19" i="4"/>
  <c r="D19" i="4" s="1"/>
  <c r="C19" i="46"/>
  <c r="D19" i="46" s="1"/>
  <c r="H15" i="63"/>
  <c r="I15" i="63" s="1"/>
  <c r="H19" i="113"/>
  <c r="I19" i="113" s="1"/>
  <c r="H19" i="117"/>
  <c r="I19" i="117" s="1"/>
  <c r="H19" i="62"/>
  <c r="I19" i="62" s="1"/>
  <c r="H16" i="75"/>
  <c r="I16" i="75" s="1"/>
  <c r="H16" i="72"/>
  <c r="I16" i="72" s="1"/>
  <c r="H15" i="64"/>
  <c r="I15" i="64" s="1"/>
  <c r="H16" i="5"/>
  <c r="I16" i="5" s="1"/>
  <c r="H19" i="50"/>
  <c r="I19" i="50" s="1"/>
  <c r="H19" i="57"/>
  <c r="I19" i="57" s="1"/>
  <c r="C16" i="79"/>
  <c r="D16" i="79" s="1"/>
  <c r="C16" i="80"/>
  <c r="D16" i="80" s="1"/>
  <c r="H16" i="80" s="1"/>
  <c r="I16" i="80" s="1"/>
  <c r="C16" i="81"/>
  <c r="D16" i="81" s="1"/>
  <c r="H19" i="60"/>
  <c r="I19" i="60" s="1"/>
  <c r="H19" i="53"/>
  <c r="I19" i="53" s="1"/>
  <c r="H19" i="114"/>
  <c r="I19" i="114" s="1"/>
  <c r="H19" i="52"/>
  <c r="I19" i="52" s="1"/>
  <c r="H19" i="51"/>
  <c r="I19" i="51" s="1"/>
  <c r="H19" i="46" l="1"/>
  <c r="I19" i="46" s="1"/>
  <c r="H16" i="81"/>
  <c r="I16" i="81" s="1"/>
  <c r="H19" i="47"/>
  <c r="I19" i="47" s="1"/>
  <c r="C23" i="114"/>
  <c r="D23" i="114" s="1"/>
  <c r="H23" i="114" s="1"/>
  <c r="I23" i="114" s="1"/>
  <c r="C23" i="53"/>
  <c r="D23" i="53" s="1"/>
  <c r="H23" i="53" s="1"/>
  <c r="I23" i="53" s="1"/>
  <c r="C23" i="52"/>
  <c r="D23" i="52" s="1"/>
  <c r="H23" i="52" s="1"/>
  <c r="I23" i="52" s="1"/>
  <c r="C23" i="51"/>
  <c r="D23" i="51" s="1"/>
  <c r="H23" i="51" s="1"/>
  <c r="I23" i="51" s="1"/>
  <c r="C23" i="113"/>
  <c r="D23" i="113" s="1"/>
  <c r="H23" i="113" s="1"/>
  <c r="I23" i="113" s="1"/>
  <c r="C23" i="50"/>
  <c r="D23" i="50" s="1"/>
  <c r="H23" i="50" s="1"/>
  <c r="I23" i="50" s="1"/>
  <c r="C23" i="49"/>
  <c r="D23" i="49" s="1"/>
  <c r="H23" i="49" s="1"/>
  <c r="I23" i="49" s="1"/>
  <c r="C23" i="48"/>
  <c r="D23" i="48" s="1"/>
  <c r="H23" i="48" s="1"/>
  <c r="I23" i="48" s="1"/>
  <c r="H19" i="4"/>
  <c r="I19" i="4" s="1"/>
  <c r="H16" i="79"/>
  <c r="I16" i="79" s="1"/>
  <c r="H19" i="112"/>
  <c r="I19" i="112" s="1"/>
  <c r="C23" i="112" l="1"/>
  <c r="D23" i="112" s="1"/>
  <c r="H23" i="112" s="1"/>
  <c r="I23" i="112" s="1"/>
  <c r="C23" i="47"/>
  <c r="D23" i="47" s="1"/>
  <c r="H23" i="47" s="1"/>
  <c r="I23" i="47" s="1"/>
  <c r="C23" i="4"/>
  <c r="D23" i="4" s="1"/>
  <c r="H23" i="4" s="1"/>
  <c r="I23" i="4" s="1"/>
  <c r="C23" i="46"/>
  <c r="D23" i="46" s="1"/>
  <c r="H23" i="46" s="1"/>
  <c r="I23" i="46" s="1"/>
  <c r="C18" i="81" l="1"/>
  <c r="D18" i="81" s="1"/>
  <c r="H18" i="81" s="1"/>
  <c r="I18" i="81" s="1"/>
  <c r="C18" i="80"/>
  <c r="D18" i="80" s="1"/>
  <c r="H18" i="80" s="1"/>
  <c r="I18" i="80" s="1"/>
  <c r="C18" i="79"/>
  <c r="D18" i="79" s="1"/>
  <c r="H18" i="79" s="1"/>
  <c r="I18" i="79" s="1"/>
  <c r="U13" i="3" l="1"/>
  <c r="U14" i="3"/>
  <c r="U12" i="3"/>
  <c r="U10" i="3" l="1"/>
  <c r="U11" i="3"/>
  <c r="U17" i="3" l="1"/>
  <c r="C22" i="77"/>
  <c r="D22" i="77" s="1"/>
  <c r="C22" i="76"/>
  <c r="D22" i="76" s="1"/>
  <c r="C22" i="78"/>
  <c r="D22" i="78" s="1"/>
  <c r="U18" i="3"/>
  <c r="C20" i="80"/>
  <c r="D20" i="80" s="1"/>
  <c r="C20" i="81"/>
  <c r="D20" i="81" s="1"/>
  <c r="C20" i="79"/>
  <c r="D20" i="79" s="1"/>
  <c r="U15" i="3"/>
  <c r="C22" i="71"/>
  <c r="D22" i="71" s="1"/>
  <c r="C22" i="5"/>
  <c r="D22" i="5" s="1"/>
  <c r="C22" i="72"/>
  <c r="D22" i="72" s="1"/>
  <c r="U16" i="3"/>
  <c r="C22" i="74"/>
  <c r="D22" i="74" s="1"/>
  <c r="C22" i="73"/>
  <c r="D22" i="73" s="1"/>
  <c r="C22" i="75"/>
  <c r="D22" i="75" s="1"/>
  <c r="F22" i="73" l="1"/>
  <c r="G22" i="73" s="1"/>
  <c r="F22" i="74"/>
  <c r="G22" i="74" s="1"/>
  <c r="F22" i="75"/>
  <c r="G22" i="75" s="1"/>
  <c r="F22" i="71"/>
  <c r="G22" i="71" s="1"/>
  <c r="F22" i="72"/>
  <c r="G22" i="72" s="1"/>
  <c r="F22" i="5"/>
  <c r="G22" i="5" s="1"/>
  <c r="F20" i="79"/>
  <c r="G20" i="79" s="1"/>
  <c r="F20" i="80"/>
  <c r="G20" i="80" s="1"/>
  <c r="F20" i="81"/>
  <c r="G20" i="81" s="1"/>
  <c r="F22" i="77"/>
  <c r="G22" i="77" s="1"/>
  <c r="H22" i="77" s="1"/>
  <c r="I22" i="77" s="1"/>
  <c r="F22" i="78"/>
  <c r="G22" i="78" s="1"/>
  <c r="H22" i="78" s="1"/>
  <c r="I22" i="78" s="1"/>
  <c r="F22" i="76"/>
  <c r="G22" i="76" s="1"/>
  <c r="H22" i="76" s="1"/>
  <c r="I22" i="76" s="1"/>
  <c r="H22" i="74" l="1"/>
  <c r="I22" i="74" s="1"/>
  <c r="H20" i="81"/>
  <c r="I20" i="81" s="1"/>
  <c r="H22" i="73"/>
  <c r="I22" i="73" s="1"/>
  <c r="H20" i="80"/>
  <c r="I20" i="80" s="1"/>
  <c r="H22" i="71"/>
  <c r="I22" i="71" s="1"/>
  <c r="H22" i="5"/>
  <c r="I22" i="5" s="1"/>
  <c r="H22" i="72"/>
  <c r="I22" i="72" s="1"/>
  <c r="H20" i="79"/>
  <c r="I20" i="79" s="1"/>
  <c r="H22" i="75"/>
  <c r="I22" i="75" s="1"/>
  <c r="C16" i="64" l="1"/>
  <c r="D16" i="64" s="1"/>
  <c r="C16" i="63"/>
  <c r="D16" i="63" s="1"/>
  <c r="V12" i="3"/>
  <c r="C16" i="25"/>
  <c r="D16" i="25" s="1"/>
  <c r="V13" i="3"/>
  <c r="C16" i="65"/>
  <c r="D16" i="65" s="1"/>
  <c r="C16" i="67"/>
  <c r="D16" i="67" s="1"/>
  <c r="C16" i="66"/>
  <c r="D16" i="66" s="1"/>
  <c r="V10" i="3"/>
  <c r="C22" i="117"/>
  <c r="D22" i="117" s="1"/>
  <c r="C22" i="57"/>
  <c r="D22" i="57" s="1"/>
  <c r="C22" i="58"/>
  <c r="D22" i="58" s="1"/>
  <c r="C22" i="59"/>
  <c r="D22" i="59" s="1"/>
  <c r="W15" i="3"/>
  <c r="C21" i="5"/>
  <c r="D21" i="5" s="1"/>
  <c r="C21" i="72"/>
  <c r="D21" i="72" s="1"/>
  <c r="C21" i="71"/>
  <c r="D21" i="71" s="1"/>
  <c r="W7" i="3"/>
  <c r="C24" i="113"/>
  <c r="D24" i="113" s="1"/>
  <c r="C24" i="49"/>
  <c r="D24" i="49" s="1"/>
  <c r="C24" i="50"/>
  <c r="D24" i="50" s="1"/>
  <c r="C24" i="48"/>
  <c r="D24" i="48" s="1"/>
  <c r="W16" i="3"/>
  <c r="C21" i="75"/>
  <c r="D21" i="75" s="1"/>
  <c r="C21" i="73"/>
  <c r="D21" i="73" s="1"/>
  <c r="C21" i="74"/>
  <c r="D21" i="74" s="1"/>
  <c r="W14" i="3"/>
  <c r="C18" i="70"/>
  <c r="D18" i="70" s="1"/>
  <c r="C18" i="68"/>
  <c r="D18" i="68" s="1"/>
  <c r="C18" i="69"/>
  <c r="D18" i="69" s="1"/>
  <c r="V14" i="3"/>
  <c r="C16" i="68"/>
  <c r="D16" i="68" s="1"/>
  <c r="C16" i="69"/>
  <c r="D16" i="69" s="1"/>
  <c r="C16" i="70"/>
  <c r="D16" i="70" s="1"/>
  <c r="V7" i="3"/>
  <c r="C22" i="113"/>
  <c r="D22" i="113" s="1"/>
  <c r="C22" i="50"/>
  <c r="D22" i="50" s="1"/>
  <c r="C22" i="48"/>
  <c r="D22" i="48" s="1"/>
  <c r="C22" i="49"/>
  <c r="D22" i="49" s="1"/>
  <c r="W13" i="3"/>
  <c r="C18" i="66"/>
  <c r="D18" i="66" s="1"/>
  <c r="C18" i="65"/>
  <c r="D18" i="65" s="1"/>
  <c r="C18" i="67"/>
  <c r="D18" i="67" s="1"/>
  <c r="W11" i="3"/>
  <c r="C24" i="116"/>
  <c r="D24" i="116" s="1"/>
  <c r="C24" i="62"/>
  <c r="D24" i="62" s="1"/>
  <c r="C24" i="61"/>
  <c r="D24" i="61" s="1"/>
  <c r="C24" i="60"/>
  <c r="D24" i="60" s="1"/>
  <c r="V16" i="3"/>
  <c r="C19" i="75"/>
  <c r="D19" i="75" s="1"/>
  <c r="C19" i="73"/>
  <c r="D19" i="73" s="1"/>
  <c r="C19" i="74"/>
  <c r="D19" i="74" s="1"/>
  <c r="V17" i="3"/>
  <c r="C19" i="78"/>
  <c r="D19" i="78" s="1"/>
  <c r="C19" i="77"/>
  <c r="D19" i="77" s="1"/>
  <c r="C19" i="76"/>
  <c r="D19" i="76" s="1"/>
  <c r="W17" i="3"/>
  <c r="C21" i="76"/>
  <c r="D21" i="76" s="1"/>
  <c r="C21" i="77"/>
  <c r="D21" i="77" s="1"/>
  <c r="C21" i="78"/>
  <c r="D21" i="78" s="1"/>
  <c r="W10" i="3"/>
  <c r="C24" i="117"/>
  <c r="D24" i="117" s="1"/>
  <c r="C24" i="58"/>
  <c r="D24" i="58" s="1"/>
  <c r="C24" i="57"/>
  <c r="D24" i="57" s="1"/>
  <c r="C24" i="59"/>
  <c r="D24" i="59" s="1"/>
  <c r="V18" i="3"/>
  <c r="C17" i="80"/>
  <c r="D17" i="80" s="1"/>
  <c r="C17" i="81"/>
  <c r="D17" i="81" s="1"/>
  <c r="C17" i="79"/>
  <c r="D17" i="79" s="1"/>
  <c r="W12" i="3"/>
  <c r="C18" i="64"/>
  <c r="D18" i="64" s="1"/>
  <c r="C18" i="25"/>
  <c r="D18" i="25" s="1"/>
  <c r="C18" i="63"/>
  <c r="D18" i="63" s="1"/>
  <c r="V8" i="3"/>
  <c r="C22" i="114"/>
  <c r="D22" i="114" s="1"/>
  <c r="C22" i="52"/>
  <c r="D22" i="52" s="1"/>
  <c r="C22" i="51"/>
  <c r="D22" i="51" s="1"/>
  <c r="C22" i="53"/>
  <c r="D22" i="53" s="1"/>
  <c r="W8" i="3"/>
  <c r="C24" i="114"/>
  <c r="D24" i="114" s="1"/>
  <c r="C24" i="52"/>
  <c r="D24" i="52" s="1"/>
  <c r="C24" i="53"/>
  <c r="D24" i="53" s="1"/>
  <c r="C24" i="51"/>
  <c r="D24" i="51" s="1"/>
  <c r="W9" i="3"/>
  <c r="C24" i="115"/>
  <c r="D24" i="115" s="1"/>
  <c r="C24" i="56"/>
  <c r="D24" i="56" s="1"/>
  <c r="C24" i="54"/>
  <c r="D24" i="54" s="1"/>
  <c r="V15" i="3"/>
  <c r="C19" i="71"/>
  <c r="D19" i="71" s="1"/>
  <c r="C19" i="72"/>
  <c r="D19" i="72" s="1"/>
  <c r="C19" i="5"/>
  <c r="D19" i="5" s="1"/>
  <c r="V9" i="3"/>
  <c r="C22" i="115"/>
  <c r="D22" i="115" s="1"/>
  <c r="C22" i="56"/>
  <c r="D22" i="56" s="1"/>
  <c r="D25" i="56" s="1"/>
  <c r="C22" i="54"/>
  <c r="D22" i="54" s="1"/>
  <c r="D25" i="54" s="1"/>
  <c r="V11" i="3"/>
  <c r="C22" i="116"/>
  <c r="D22" i="116" s="1"/>
  <c r="C22" i="60"/>
  <c r="D22" i="60" s="1"/>
  <c r="C22" i="62"/>
  <c r="D22" i="62" s="1"/>
  <c r="C22" i="61"/>
  <c r="D22" i="61" s="1"/>
  <c r="D20" i="64" l="1"/>
  <c r="D22" i="64" s="1"/>
  <c r="D26" i="64" s="1"/>
  <c r="D20" i="63"/>
  <c r="D22" i="63" s="1"/>
  <c r="D33" i="63" s="1"/>
  <c r="D25" i="60"/>
  <c r="D47" i="60" s="1"/>
  <c r="D23" i="72"/>
  <c r="D27" i="72" s="1"/>
  <c r="D25" i="116"/>
  <c r="D42" i="116" s="1"/>
  <c r="D25" i="49"/>
  <c r="D30" i="49" s="1"/>
  <c r="D35" i="49" s="1"/>
  <c r="D23" i="5"/>
  <c r="D34" i="5" s="1"/>
  <c r="D25" i="52"/>
  <c r="D30" i="52" s="1"/>
  <c r="D35" i="52" s="1"/>
  <c r="D25" i="113"/>
  <c r="D30" i="113" s="1"/>
  <c r="D35" i="113" s="1"/>
  <c r="D20" i="68"/>
  <c r="D22" i="68" s="1"/>
  <c r="D33" i="68" s="1"/>
  <c r="D25" i="117"/>
  <c r="D29" i="117" s="1"/>
  <c r="D34" i="117" s="1"/>
  <c r="D20" i="65"/>
  <c r="D22" i="65" s="1"/>
  <c r="D26" i="65" s="1"/>
  <c r="D23" i="73"/>
  <c r="D34" i="73" s="1"/>
  <c r="D23" i="71"/>
  <c r="D34" i="71" s="1"/>
  <c r="D25" i="115"/>
  <c r="D30" i="115" s="1"/>
  <c r="D35" i="115" s="1"/>
  <c r="D25" i="53"/>
  <c r="D47" i="53" s="1"/>
  <c r="D23" i="78"/>
  <c r="D34" i="78" s="1"/>
  <c r="D23" i="75"/>
  <c r="D27" i="75" s="1"/>
  <c r="D20" i="70"/>
  <c r="D22" i="70" s="1"/>
  <c r="D33" i="70" s="1"/>
  <c r="D25" i="59"/>
  <c r="D30" i="59" s="1"/>
  <c r="D35" i="59" s="1"/>
  <c r="D25" i="114"/>
  <c r="D42" i="114" s="1"/>
  <c r="D30" i="56"/>
  <c r="D35" i="56" s="1"/>
  <c r="D29" i="56"/>
  <c r="D34" i="56" s="1"/>
  <c r="D42" i="56"/>
  <c r="D47" i="56"/>
  <c r="F24" i="113"/>
  <c r="G24" i="113" s="1"/>
  <c r="F24" i="49"/>
  <c r="G24" i="49" s="1"/>
  <c r="F24" i="48"/>
  <c r="G24" i="48" s="1"/>
  <c r="F24" i="50"/>
  <c r="G24" i="50" s="1"/>
  <c r="F21" i="71"/>
  <c r="G21" i="71" s="1"/>
  <c r="F21" i="5"/>
  <c r="G21" i="5" s="1"/>
  <c r="F21" i="72"/>
  <c r="G21" i="72" s="1"/>
  <c r="F22" i="51"/>
  <c r="G22" i="51" s="1"/>
  <c r="F22" i="53"/>
  <c r="G22" i="53" s="1"/>
  <c r="F22" i="52"/>
  <c r="G22" i="52" s="1"/>
  <c r="F22" i="114"/>
  <c r="G22" i="114" s="1"/>
  <c r="F18" i="64"/>
  <c r="G18" i="64" s="1"/>
  <c r="F18" i="25"/>
  <c r="G18" i="25" s="1"/>
  <c r="F18" i="63"/>
  <c r="G18" i="63" s="1"/>
  <c r="F17" i="79"/>
  <c r="G17" i="79" s="1"/>
  <c r="F17" i="80"/>
  <c r="G17" i="80" s="1"/>
  <c r="F17" i="81"/>
  <c r="G17" i="81" s="1"/>
  <c r="D25" i="48"/>
  <c r="F22" i="59"/>
  <c r="G22" i="59" s="1"/>
  <c r="F22" i="57"/>
  <c r="G22" i="57" s="1"/>
  <c r="F22" i="117"/>
  <c r="G22" i="117" s="1"/>
  <c r="F22" i="58"/>
  <c r="G22" i="58" s="1"/>
  <c r="F16" i="65"/>
  <c r="G16" i="65" s="1"/>
  <c r="F16" i="67"/>
  <c r="G16" i="67" s="1"/>
  <c r="F16" i="66"/>
  <c r="G16" i="66" s="1"/>
  <c r="D25" i="62"/>
  <c r="F22" i="54"/>
  <c r="G22" i="54" s="1"/>
  <c r="F22" i="115"/>
  <c r="G22" i="115" s="1"/>
  <c r="F22" i="56"/>
  <c r="G22" i="56" s="1"/>
  <c r="F19" i="71"/>
  <c r="G19" i="71" s="1"/>
  <c r="F19" i="72"/>
  <c r="G19" i="72" s="1"/>
  <c r="F19" i="5"/>
  <c r="G19" i="5" s="1"/>
  <c r="D25" i="51"/>
  <c r="F24" i="58"/>
  <c r="G24" i="58" s="1"/>
  <c r="F24" i="117"/>
  <c r="G24" i="117" s="1"/>
  <c r="F24" i="57"/>
  <c r="G24" i="57" s="1"/>
  <c r="F24" i="59"/>
  <c r="G24" i="59" s="1"/>
  <c r="F21" i="78"/>
  <c r="G21" i="78" s="1"/>
  <c r="H21" i="78" s="1"/>
  <c r="I21" i="78" s="1"/>
  <c r="F21" i="76"/>
  <c r="G21" i="76" s="1"/>
  <c r="H21" i="76" s="1"/>
  <c r="I21" i="76" s="1"/>
  <c r="F21" i="77"/>
  <c r="G21" i="77" s="1"/>
  <c r="H21" i="77" s="1"/>
  <c r="I21" i="77" s="1"/>
  <c r="F19" i="77"/>
  <c r="G19" i="77" s="1"/>
  <c r="H19" i="77" s="1"/>
  <c r="I19" i="77" s="1"/>
  <c r="F19" i="76"/>
  <c r="G19" i="76" s="1"/>
  <c r="H19" i="76" s="1"/>
  <c r="I19" i="76" s="1"/>
  <c r="F19" i="78"/>
  <c r="G19" i="78" s="1"/>
  <c r="H19" i="78" s="1"/>
  <c r="I19" i="78" s="1"/>
  <c r="F19" i="74"/>
  <c r="G19" i="74" s="1"/>
  <c r="F19" i="75"/>
  <c r="G19" i="75" s="1"/>
  <c r="F19" i="73"/>
  <c r="G19" i="73" s="1"/>
  <c r="D25" i="50"/>
  <c r="D20" i="69"/>
  <c r="D22" i="69" s="1"/>
  <c r="D25" i="58"/>
  <c r="D20" i="66"/>
  <c r="D22" i="66" s="1"/>
  <c r="D20" i="25"/>
  <c r="D22" i="25" s="1"/>
  <c r="F24" i="52"/>
  <c r="G24" i="52" s="1"/>
  <c r="F24" i="114"/>
  <c r="G24" i="114" s="1"/>
  <c r="F24" i="51"/>
  <c r="G24" i="51" s="1"/>
  <c r="F24" i="53"/>
  <c r="G24" i="53" s="1"/>
  <c r="D23" i="77"/>
  <c r="F22" i="113"/>
  <c r="G22" i="113" s="1"/>
  <c r="F22" i="50"/>
  <c r="G22" i="50" s="1"/>
  <c r="F22" i="49"/>
  <c r="G22" i="49" s="1"/>
  <c r="F22" i="48"/>
  <c r="G22" i="48" s="1"/>
  <c r="F16" i="69"/>
  <c r="G16" i="69" s="1"/>
  <c r="F16" i="68"/>
  <c r="G16" i="68" s="1"/>
  <c r="F16" i="70"/>
  <c r="G16" i="70" s="1"/>
  <c r="F18" i="68"/>
  <c r="G18" i="68" s="1"/>
  <c r="F18" i="70"/>
  <c r="G18" i="70" s="1"/>
  <c r="F18" i="69"/>
  <c r="G18" i="69" s="1"/>
  <c r="F21" i="73"/>
  <c r="G21" i="73" s="1"/>
  <c r="F21" i="75"/>
  <c r="G21" i="75" s="1"/>
  <c r="F21" i="74"/>
  <c r="G21" i="74" s="1"/>
  <c r="D25" i="61"/>
  <c r="F22" i="61"/>
  <c r="G22" i="61" s="1"/>
  <c r="F22" i="116"/>
  <c r="G22" i="116" s="1"/>
  <c r="F22" i="62"/>
  <c r="G22" i="62" s="1"/>
  <c r="F22" i="60"/>
  <c r="G22" i="60" s="1"/>
  <c r="D29" i="54"/>
  <c r="D34" i="54" s="1"/>
  <c r="D30" i="54"/>
  <c r="D35" i="54" s="1"/>
  <c r="D47" i="54"/>
  <c r="D42" i="54"/>
  <c r="F24" i="115"/>
  <c r="G24" i="115" s="1"/>
  <c r="F24" i="56"/>
  <c r="G24" i="56" s="1"/>
  <c r="F24" i="54"/>
  <c r="G24" i="54" s="1"/>
  <c r="D23" i="76"/>
  <c r="D23" i="74"/>
  <c r="F24" i="61"/>
  <c r="G24" i="61" s="1"/>
  <c r="F24" i="60"/>
  <c r="G24" i="60" s="1"/>
  <c r="F24" i="62"/>
  <c r="G24" i="62" s="1"/>
  <c r="F24" i="116"/>
  <c r="G24" i="116" s="1"/>
  <c r="F18" i="66"/>
  <c r="G18" i="66" s="1"/>
  <c r="F18" i="65"/>
  <c r="G18" i="65" s="1"/>
  <c r="F18" i="67"/>
  <c r="G18" i="67" s="1"/>
  <c r="D25" i="57"/>
  <c r="D20" i="67"/>
  <c r="D22" i="67" s="1"/>
  <c r="F16" i="63"/>
  <c r="G16" i="63" s="1"/>
  <c r="F16" i="25"/>
  <c r="G16" i="25" s="1"/>
  <c r="F16" i="64"/>
  <c r="G16" i="64" s="1"/>
  <c r="D34" i="72" l="1"/>
  <c r="D35" i="72" s="1"/>
  <c r="D36" i="72" s="1"/>
  <c r="D26" i="63"/>
  <c r="D33" i="64"/>
  <c r="D34" i="64" s="1"/>
  <c r="D35" i="64" s="1"/>
  <c r="D47" i="116"/>
  <c r="D50" i="116" s="1"/>
  <c r="D30" i="60"/>
  <c r="D35" i="60" s="1"/>
  <c r="D27" i="73"/>
  <c r="D42" i="117"/>
  <c r="D45" i="117" s="1"/>
  <c r="D29" i="60"/>
  <c r="D34" i="60" s="1"/>
  <c r="D42" i="60"/>
  <c r="D45" i="60" s="1"/>
  <c r="D42" i="49"/>
  <c r="D45" i="49" s="1"/>
  <c r="D47" i="49"/>
  <c r="D48" i="49" s="1"/>
  <c r="D49" i="49" s="1"/>
  <c r="D29" i="49"/>
  <c r="D34" i="49" s="1"/>
  <c r="D30" i="116"/>
  <c r="D35" i="116" s="1"/>
  <c r="D26" i="68"/>
  <c r="D34" i="75"/>
  <c r="D37" i="75" s="1"/>
  <c r="D42" i="113"/>
  <c r="D45" i="113" s="1"/>
  <c r="D29" i="116"/>
  <c r="D34" i="116" s="1"/>
  <c r="D29" i="113"/>
  <c r="D34" i="113" s="1"/>
  <c r="D42" i="52"/>
  <c r="D45" i="52" s="1"/>
  <c r="D33" i="65"/>
  <c r="D36" i="65" s="1"/>
  <c r="D42" i="115"/>
  <c r="D45" i="115" s="1"/>
  <c r="D29" i="53"/>
  <c r="D34" i="53" s="1"/>
  <c r="D29" i="59"/>
  <c r="D34" i="59" s="1"/>
  <c r="D47" i="117"/>
  <c r="D50" i="117" s="1"/>
  <c r="D29" i="52"/>
  <c r="D34" i="52" s="1"/>
  <c r="D47" i="52"/>
  <c r="D48" i="52" s="1"/>
  <c r="D27" i="5"/>
  <c r="D29" i="115"/>
  <c r="D34" i="115" s="1"/>
  <c r="D30" i="117"/>
  <c r="D35" i="117" s="1"/>
  <c r="D47" i="115"/>
  <c r="D48" i="115" s="1"/>
  <c r="D49" i="115" s="1"/>
  <c r="D47" i="113"/>
  <c r="D48" i="113" s="1"/>
  <c r="D49" i="113" s="1"/>
  <c r="D26" i="70"/>
  <c r="D27" i="71"/>
  <c r="D42" i="53"/>
  <c r="D45" i="53" s="1"/>
  <c r="D42" i="59"/>
  <c r="D43" i="59" s="1"/>
  <c r="D44" i="59" s="1"/>
  <c r="D30" i="53"/>
  <c r="D35" i="53" s="1"/>
  <c r="D47" i="59"/>
  <c r="D50" i="59" s="1"/>
  <c r="D29" i="114"/>
  <c r="D34" i="114" s="1"/>
  <c r="D47" i="114"/>
  <c r="D48" i="114" s="1"/>
  <c r="D27" i="78"/>
  <c r="D30" i="114"/>
  <c r="D35" i="114" s="1"/>
  <c r="H24" i="62"/>
  <c r="I24" i="62" s="1"/>
  <c r="D45" i="54"/>
  <c r="D43" i="54"/>
  <c r="D44" i="54" s="1"/>
  <c r="V6" i="3"/>
  <c r="C22" i="112"/>
  <c r="D22" i="112" s="1"/>
  <c r="C22" i="4"/>
  <c r="D22" i="4" s="1"/>
  <c r="C22" i="46"/>
  <c r="D22" i="46" s="1"/>
  <c r="C22" i="47"/>
  <c r="D22" i="47" s="1"/>
  <c r="H22" i="60"/>
  <c r="I22" i="60" s="1"/>
  <c r="G25" i="60"/>
  <c r="H16" i="70"/>
  <c r="I16" i="70" s="1"/>
  <c r="G20" i="70"/>
  <c r="H22" i="49"/>
  <c r="I22" i="49" s="1"/>
  <c r="G25" i="49"/>
  <c r="H24" i="114"/>
  <c r="I24" i="114" s="1"/>
  <c r="D33" i="25"/>
  <c r="D26" i="25"/>
  <c r="D30" i="50"/>
  <c r="D35" i="50" s="1"/>
  <c r="D29" i="50"/>
  <c r="D34" i="50" s="1"/>
  <c r="D47" i="50"/>
  <c r="D42" i="50"/>
  <c r="H19" i="71"/>
  <c r="I19" i="71" s="1"/>
  <c r="G23" i="71"/>
  <c r="W6" i="3"/>
  <c r="C24" i="112"/>
  <c r="D24" i="112" s="1"/>
  <c r="C24" i="47"/>
  <c r="D24" i="47" s="1"/>
  <c r="C24" i="4"/>
  <c r="D24" i="4" s="1"/>
  <c r="C24" i="46"/>
  <c r="D24" i="46" s="1"/>
  <c r="H22" i="59"/>
  <c r="I22" i="59" s="1"/>
  <c r="G25" i="59"/>
  <c r="H18" i="25"/>
  <c r="I18" i="25" s="1"/>
  <c r="H16" i="64"/>
  <c r="I16" i="64" s="1"/>
  <c r="G20" i="64"/>
  <c r="D30" i="57"/>
  <c r="D35" i="57" s="1"/>
  <c r="D29" i="57"/>
  <c r="D34" i="57" s="1"/>
  <c r="D47" i="57"/>
  <c r="D42" i="57"/>
  <c r="H18" i="65"/>
  <c r="I18" i="65" s="1"/>
  <c r="H24" i="115"/>
  <c r="I24" i="115" s="1"/>
  <c r="D48" i="60"/>
  <c r="D49" i="60" s="1"/>
  <c r="D50" i="60"/>
  <c r="H18" i="69"/>
  <c r="I18" i="69" s="1"/>
  <c r="H22" i="50"/>
  <c r="I22" i="50" s="1"/>
  <c r="G25" i="50"/>
  <c r="D43" i="116"/>
  <c r="D44" i="116" s="1"/>
  <c r="D45" i="116"/>
  <c r="H19" i="73"/>
  <c r="I19" i="73" s="1"/>
  <c r="G23" i="73"/>
  <c r="H22" i="56"/>
  <c r="I22" i="56" s="1"/>
  <c r="G25" i="56"/>
  <c r="D29" i="48"/>
  <c r="D34" i="48" s="1"/>
  <c r="D30" i="48"/>
  <c r="D35" i="48" s="1"/>
  <c r="D47" i="48"/>
  <c r="D42" i="48"/>
  <c r="H18" i="64"/>
  <c r="I18" i="64" s="1"/>
  <c r="H16" i="25"/>
  <c r="I16" i="25" s="1"/>
  <c r="G20" i="25"/>
  <c r="D34" i="68"/>
  <c r="D35" i="68" s="1"/>
  <c r="D36" i="68"/>
  <c r="H18" i="66"/>
  <c r="I18" i="66" s="1"/>
  <c r="H24" i="61"/>
  <c r="I24" i="61" s="1"/>
  <c r="D48" i="53"/>
  <c r="D49" i="53" s="1"/>
  <c r="D50" i="53"/>
  <c r="D35" i="71"/>
  <c r="D36" i="71" s="1"/>
  <c r="D37" i="71"/>
  <c r="H22" i="116"/>
  <c r="I22" i="116" s="1"/>
  <c r="G25" i="116"/>
  <c r="W18" i="3"/>
  <c r="C19" i="79"/>
  <c r="D19" i="79" s="1"/>
  <c r="D21" i="79" s="1"/>
  <c r="C19" i="81"/>
  <c r="D19" i="81" s="1"/>
  <c r="D21" i="81" s="1"/>
  <c r="C19" i="80"/>
  <c r="D19" i="80" s="1"/>
  <c r="D21" i="80" s="1"/>
  <c r="H21" i="74"/>
  <c r="I21" i="74" s="1"/>
  <c r="H18" i="70"/>
  <c r="I18" i="70" s="1"/>
  <c r="H16" i="69"/>
  <c r="I16" i="69" s="1"/>
  <c r="G20" i="69"/>
  <c r="H22" i="113"/>
  <c r="I22" i="113" s="1"/>
  <c r="G25" i="113"/>
  <c r="H24" i="53"/>
  <c r="I24" i="53" s="1"/>
  <c r="D30" i="58"/>
  <c r="D35" i="58" s="1"/>
  <c r="D29" i="58"/>
  <c r="D34" i="58" s="1"/>
  <c r="D47" i="58"/>
  <c r="D42" i="58"/>
  <c r="H19" i="75"/>
  <c r="I19" i="75" s="1"/>
  <c r="G23" i="75"/>
  <c r="H24" i="59"/>
  <c r="I24" i="59" s="1"/>
  <c r="H19" i="5"/>
  <c r="I19" i="5" s="1"/>
  <c r="G23" i="5"/>
  <c r="H22" i="115"/>
  <c r="I22" i="115" s="1"/>
  <c r="G25" i="115"/>
  <c r="D29" i="62"/>
  <c r="D34" i="62" s="1"/>
  <c r="D30" i="62"/>
  <c r="D35" i="62" s="1"/>
  <c r="D42" i="62"/>
  <c r="D47" i="62"/>
  <c r="H16" i="66"/>
  <c r="I16" i="66" s="1"/>
  <c r="G20" i="66"/>
  <c r="H22" i="117"/>
  <c r="I22" i="117" s="1"/>
  <c r="G25" i="117"/>
  <c r="H17" i="79"/>
  <c r="I17" i="79" s="1"/>
  <c r="H22" i="114"/>
  <c r="I22" i="114" s="1"/>
  <c r="G25" i="114"/>
  <c r="H21" i="72"/>
  <c r="I21" i="72" s="1"/>
  <c r="H24" i="48"/>
  <c r="I24" i="48" s="1"/>
  <c r="D35" i="73"/>
  <c r="D36" i="73" s="1"/>
  <c r="D37" i="73"/>
  <c r="D26" i="67"/>
  <c r="D33" i="67"/>
  <c r="H18" i="67"/>
  <c r="I18" i="67" s="1"/>
  <c r="D34" i="76"/>
  <c r="D27" i="76"/>
  <c r="H24" i="56"/>
  <c r="I24" i="56" s="1"/>
  <c r="D30" i="61"/>
  <c r="D35" i="61" s="1"/>
  <c r="D29" i="61"/>
  <c r="D34" i="61" s="1"/>
  <c r="D47" i="61"/>
  <c r="D42" i="61"/>
  <c r="H21" i="73"/>
  <c r="I21" i="73" s="1"/>
  <c r="H24" i="117"/>
  <c r="I24" i="117" s="1"/>
  <c r="H16" i="65"/>
  <c r="I16" i="65" s="1"/>
  <c r="G20" i="65"/>
  <c r="H17" i="81"/>
  <c r="I17" i="81" s="1"/>
  <c r="H22" i="53"/>
  <c r="I22" i="53" s="1"/>
  <c r="G25" i="53"/>
  <c r="H21" i="71"/>
  <c r="I21" i="71" s="1"/>
  <c r="H24" i="113"/>
  <c r="I24" i="113" s="1"/>
  <c r="D50" i="56"/>
  <c r="D48" i="56"/>
  <c r="D49" i="56" s="1"/>
  <c r="H24" i="60"/>
  <c r="I24" i="60" s="1"/>
  <c r="D50" i="54"/>
  <c r="D48" i="54"/>
  <c r="D49" i="54" s="1"/>
  <c r="D37" i="78"/>
  <c r="D35" i="78"/>
  <c r="D36" i="78" s="1"/>
  <c r="H22" i="62"/>
  <c r="I22" i="62" s="1"/>
  <c r="G25" i="62"/>
  <c r="H16" i="68"/>
  <c r="I16" i="68" s="1"/>
  <c r="G20" i="68"/>
  <c r="H24" i="52"/>
  <c r="I24" i="52" s="1"/>
  <c r="D26" i="66"/>
  <c r="D33" i="66"/>
  <c r="H24" i="58"/>
  <c r="I24" i="58" s="1"/>
  <c r="D42" i="51"/>
  <c r="D30" i="51"/>
  <c r="D35" i="51" s="1"/>
  <c r="D47" i="51"/>
  <c r="D29" i="51"/>
  <c r="D34" i="51" s="1"/>
  <c r="H22" i="58"/>
  <c r="I22" i="58" s="1"/>
  <c r="G25" i="58"/>
  <c r="H17" i="80"/>
  <c r="I17" i="80" s="1"/>
  <c r="H22" i="51"/>
  <c r="I22" i="51" s="1"/>
  <c r="G25" i="51"/>
  <c r="H24" i="50"/>
  <c r="I24" i="50" s="1"/>
  <c r="D45" i="56"/>
  <c r="D43" i="56"/>
  <c r="D44" i="56" s="1"/>
  <c r="H16" i="63"/>
  <c r="I16" i="63" s="1"/>
  <c r="G20" i="63"/>
  <c r="H24" i="116"/>
  <c r="I24" i="116" s="1"/>
  <c r="D27" i="74"/>
  <c r="D34" i="74"/>
  <c r="H24" i="54"/>
  <c r="I24" i="54" s="1"/>
  <c r="D37" i="5"/>
  <c r="D35" i="5"/>
  <c r="D36" i="5" s="1"/>
  <c r="D34" i="70"/>
  <c r="D35" i="70" s="1"/>
  <c r="D36" i="70"/>
  <c r="H22" i="61"/>
  <c r="I22" i="61" s="1"/>
  <c r="G25" i="61"/>
  <c r="H21" i="75"/>
  <c r="I21" i="75" s="1"/>
  <c r="H18" i="68"/>
  <c r="I18" i="68" s="1"/>
  <c r="H22" i="48"/>
  <c r="I22" i="48" s="1"/>
  <c r="G25" i="48"/>
  <c r="D34" i="77"/>
  <c r="D27" i="77"/>
  <c r="H24" i="51"/>
  <c r="I24" i="51" s="1"/>
  <c r="D26" i="69"/>
  <c r="D33" i="69"/>
  <c r="H19" i="74"/>
  <c r="I19" i="74" s="1"/>
  <c r="G23" i="74"/>
  <c r="H24" i="57"/>
  <c r="I24" i="57" s="1"/>
  <c r="D36" i="63"/>
  <c r="D34" i="63"/>
  <c r="D35" i="63" s="1"/>
  <c r="H19" i="72"/>
  <c r="I19" i="72" s="1"/>
  <c r="G23" i="72"/>
  <c r="H22" i="54"/>
  <c r="I22" i="54" s="1"/>
  <c r="G25" i="54"/>
  <c r="H16" i="67"/>
  <c r="I16" i="67" s="1"/>
  <c r="G20" i="67"/>
  <c r="H22" i="57"/>
  <c r="I22" i="57" s="1"/>
  <c r="G25" i="57"/>
  <c r="H18" i="63"/>
  <c r="I18" i="63" s="1"/>
  <c r="H22" i="52"/>
  <c r="I22" i="52" s="1"/>
  <c r="G25" i="52"/>
  <c r="H21" i="5"/>
  <c r="I21" i="5" s="1"/>
  <c r="H24" i="49"/>
  <c r="I24" i="49" s="1"/>
  <c r="D45" i="114"/>
  <c r="D43" i="114"/>
  <c r="D44" i="114" s="1"/>
  <c r="D37" i="72" l="1"/>
  <c r="D38" i="72" s="1"/>
  <c r="E27" i="7" s="1"/>
  <c r="D48" i="116"/>
  <c r="D49" i="116" s="1"/>
  <c r="D51" i="116" s="1"/>
  <c r="E23" i="7" s="1"/>
  <c r="D36" i="64"/>
  <c r="D43" i="60"/>
  <c r="D44" i="60" s="1"/>
  <c r="D46" i="60" s="1"/>
  <c r="D43" i="49"/>
  <c r="D44" i="49" s="1"/>
  <c r="D46" i="49" s="1"/>
  <c r="D43" i="117"/>
  <c r="D44" i="117" s="1"/>
  <c r="D46" i="117" s="1"/>
  <c r="D50" i="49"/>
  <c r="D51" i="49" s="1"/>
  <c r="E7" i="7" s="1"/>
  <c r="D35" i="75"/>
  <c r="D36" i="75" s="1"/>
  <c r="D38" i="75" s="1"/>
  <c r="E30" i="7" s="1"/>
  <c r="D48" i="117"/>
  <c r="D49" i="117" s="1"/>
  <c r="D50" i="115"/>
  <c r="D51" i="115" s="1"/>
  <c r="E15" i="7" s="1"/>
  <c r="D43" i="113"/>
  <c r="D44" i="113" s="1"/>
  <c r="D46" i="113" s="1"/>
  <c r="D34" i="65"/>
  <c r="D35" i="65" s="1"/>
  <c r="D37" i="65" s="1"/>
  <c r="E34" i="7" s="1"/>
  <c r="D48" i="59"/>
  <c r="D49" i="59" s="1"/>
  <c r="D51" i="59" s="1"/>
  <c r="E20" i="7" s="1"/>
  <c r="D45" i="59"/>
  <c r="D46" i="59" s="1"/>
  <c r="D43" i="52"/>
  <c r="D44" i="52" s="1"/>
  <c r="D46" i="52" s="1"/>
  <c r="D50" i="113"/>
  <c r="D51" i="113" s="1"/>
  <c r="E8" i="7" s="1"/>
  <c r="D43" i="115"/>
  <c r="D44" i="115" s="1"/>
  <c r="D46" i="115" s="1"/>
  <c r="D50" i="52"/>
  <c r="D49" i="114"/>
  <c r="D43" i="53"/>
  <c r="D44" i="53" s="1"/>
  <c r="D46" i="53" s="1"/>
  <c r="D50" i="114"/>
  <c r="D37" i="68"/>
  <c r="E37" i="7" s="1"/>
  <c r="D25" i="47"/>
  <c r="D29" i="47" s="1"/>
  <c r="D34" i="47" s="1"/>
  <c r="D37" i="70"/>
  <c r="E39" i="7" s="1"/>
  <c r="D51" i="117"/>
  <c r="E19" i="7" s="1"/>
  <c r="D51" i="53"/>
  <c r="E13" i="7" s="1"/>
  <c r="D38" i="5"/>
  <c r="E25" i="7" s="1"/>
  <c r="D38" i="78"/>
  <c r="E42" i="7" s="1"/>
  <c r="D38" i="71"/>
  <c r="E26" i="7" s="1"/>
  <c r="D46" i="116"/>
  <c r="G27" i="72"/>
  <c r="H23" i="72"/>
  <c r="G34" i="72"/>
  <c r="G34" i="74"/>
  <c r="H23" i="74"/>
  <c r="G27" i="74"/>
  <c r="D43" i="62"/>
  <c r="D44" i="62" s="1"/>
  <c r="D45" i="62"/>
  <c r="H23" i="5"/>
  <c r="G34" i="5"/>
  <c r="G27" i="5"/>
  <c r="D45" i="58"/>
  <c r="D43" i="58"/>
  <c r="D44" i="58" s="1"/>
  <c r="D48" i="57"/>
  <c r="D49" i="57" s="1"/>
  <c r="D50" i="57"/>
  <c r="D25" i="112"/>
  <c r="H25" i="61"/>
  <c r="G30" i="61"/>
  <c r="G29" i="61"/>
  <c r="G42" i="61"/>
  <c r="G47" i="61"/>
  <c r="D43" i="61"/>
  <c r="D44" i="61" s="1"/>
  <c r="D45" i="61"/>
  <c r="G47" i="114"/>
  <c r="G30" i="114"/>
  <c r="G29" i="114"/>
  <c r="G42" i="114"/>
  <c r="H25" i="114"/>
  <c r="D48" i="58"/>
  <c r="D49" i="58" s="1"/>
  <c r="D50" i="58"/>
  <c r="G34" i="73"/>
  <c r="G27" i="73"/>
  <c r="H23" i="73"/>
  <c r="D51" i="60"/>
  <c r="E21" i="7" s="1"/>
  <c r="F24" i="4"/>
  <c r="G24" i="4" s="1"/>
  <c r="F24" i="47"/>
  <c r="G24" i="47" s="1"/>
  <c r="F24" i="46"/>
  <c r="G24" i="46" s="1"/>
  <c r="F24" i="112"/>
  <c r="G24" i="112" s="1"/>
  <c r="G29" i="52"/>
  <c r="G30" i="52"/>
  <c r="G42" i="52"/>
  <c r="G47" i="52"/>
  <c r="H25" i="52"/>
  <c r="G42" i="57"/>
  <c r="G30" i="57"/>
  <c r="G47" i="57"/>
  <c r="H25" i="57"/>
  <c r="G29" i="57"/>
  <c r="D37" i="63"/>
  <c r="E32" i="7" s="1"/>
  <c r="D34" i="69"/>
  <c r="D35" i="69" s="1"/>
  <c r="D36" i="69"/>
  <c r="D37" i="77"/>
  <c r="D35" i="77"/>
  <c r="D36" i="77" s="1"/>
  <c r="D35" i="74"/>
  <c r="D36" i="74" s="1"/>
  <c r="D37" i="74"/>
  <c r="D46" i="56"/>
  <c r="G30" i="58"/>
  <c r="G42" i="58"/>
  <c r="G29" i="58"/>
  <c r="G47" i="58"/>
  <c r="H25" i="58"/>
  <c r="D37" i="64"/>
  <c r="E33" i="7" s="1"/>
  <c r="D48" i="61"/>
  <c r="D49" i="61" s="1"/>
  <c r="D50" i="61"/>
  <c r="D38" i="73"/>
  <c r="E28" i="7" s="1"/>
  <c r="H25" i="117"/>
  <c r="G29" i="117"/>
  <c r="G42" i="117"/>
  <c r="G30" i="117"/>
  <c r="G47" i="117"/>
  <c r="H23" i="75"/>
  <c r="G34" i="75"/>
  <c r="G27" i="75"/>
  <c r="D32" i="80"/>
  <c r="D25" i="80"/>
  <c r="D49" i="52"/>
  <c r="D43" i="48"/>
  <c r="D44" i="48" s="1"/>
  <c r="D45" i="48"/>
  <c r="D48" i="50"/>
  <c r="D49" i="50" s="1"/>
  <c r="D50" i="50"/>
  <c r="D36" i="25"/>
  <c r="D34" i="25"/>
  <c r="D35" i="25" s="1"/>
  <c r="H20" i="70"/>
  <c r="G22" i="70"/>
  <c r="D25" i="46"/>
  <c r="D46" i="54"/>
  <c r="D46" i="114"/>
  <c r="H20" i="67"/>
  <c r="G22" i="67"/>
  <c r="G22" i="63"/>
  <c r="H20" i="63"/>
  <c r="H20" i="68"/>
  <c r="G22" i="68"/>
  <c r="G47" i="53"/>
  <c r="G42" i="53"/>
  <c r="G30" i="53"/>
  <c r="G29" i="53"/>
  <c r="H25" i="53"/>
  <c r="D37" i="76"/>
  <c r="D35" i="76"/>
  <c r="D36" i="76" s="1"/>
  <c r="G22" i="66"/>
  <c r="H20" i="66"/>
  <c r="D25" i="79"/>
  <c r="D32" i="79"/>
  <c r="H25" i="116"/>
  <c r="G47" i="116"/>
  <c r="G42" i="116"/>
  <c r="G29" i="116"/>
  <c r="G30" i="116"/>
  <c r="G29" i="56"/>
  <c r="H25" i="56"/>
  <c r="G30" i="56"/>
  <c r="G47" i="56"/>
  <c r="G42" i="56"/>
  <c r="H20" i="64"/>
  <c r="G22" i="64"/>
  <c r="G42" i="49"/>
  <c r="G29" i="49"/>
  <c r="H25" i="49"/>
  <c r="G47" i="49"/>
  <c r="G30" i="49"/>
  <c r="H25" i="48"/>
  <c r="G42" i="48"/>
  <c r="G47" i="48"/>
  <c r="G30" i="48"/>
  <c r="G29" i="48"/>
  <c r="D48" i="51"/>
  <c r="D49" i="51" s="1"/>
  <c r="D50" i="51"/>
  <c r="G22" i="65"/>
  <c r="H20" i="65"/>
  <c r="G29" i="113"/>
  <c r="H25" i="113"/>
  <c r="G47" i="113"/>
  <c r="G30" i="113"/>
  <c r="G42" i="113"/>
  <c r="F19" i="81"/>
  <c r="G19" i="81" s="1"/>
  <c r="F19" i="80"/>
  <c r="G19" i="80" s="1"/>
  <c r="F19" i="79"/>
  <c r="G19" i="79" s="1"/>
  <c r="H20" i="25"/>
  <c r="G22" i="25"/>
  <c r="D43" i="50"/>
  <c r="D44" i="50" s="1"/>
  <c r="D45" i="50"/>
  <c r="F22" i="46"/>
  <c r="G22" i="46" s="1"/>
  <c r="F22" i="47"/>
  <c r="G22" i="47" s="1"/>
  <c r="F22" i="4"/>
  <c r="G22" i="4" s="1"/>
  <c r="F22" i="112"/>
  <c r="G22" i="112" s="1"/>
  <c r="G30" i="54"/>
  <c r="H25" i="54"/>
  <c r="G29" i="54"/>
  <c r="G47" i="54"/>
  <c r="G42" i="54"/>
  <c r="G42" i="51"/>
  <c r="G30" i="51"/>
  <c r="G47" i="51"/>
  <c r="G29" i="51"/>
  <c r="H25" i="51"/>
  <c r="D43" i="51"/>
  <c r="D44" i="51" s="1"/>
  <c r="D45" i="51"/>
  <c r="D34" i="66"/>
  <c r="D35" i="66" s="1"/>
  <c r="D36" i="66"/>
  <c r="G30" i="62"/>
  <c r="G47" i="62"/>
  <c r="H25" i="62"/>
  <c r="G42" i="62"/>
  <c r="G29" i="62"/>
  <c r="D51" i="54"/>
  <c r="E14" i="7" s="1"/>
  <c r="D51" i="56"/>
  <c r="E16" i="7" s="1"/>
  <c r="D34" i="67"/>
  <c r="D35" i="67" s="1"/>
  <c r="D36" i="67"/>
  <c r="D50" i="62"/>
  <c r="D48" i="62"/>
  <c r="D49" i="62" s="1"/>
  <c r="G29" i="115"/>
  <c r="H25" i="115"/>
  <c r="G30" i="115"/>
  <c r="G42" i="115"/>
  <c r="G47" i="115"/>
  <c r="G22" i="69"/>
  <c r="H20" i="69"/>
  <c r="D25" i="81"/>
  <c r="D32" i="81"/>
  <c r="D48" i="48"/>
  <c r="D49" i="48" s="1"/>
  <c r="D50" i="48"/>
  <c r="G29" i="50"/>
  <c r="G42" i="50"/>
  <c r="G47" i="50"/>
  <c r="H25" i="50"/>
  <c r="G30" i="50"/>
  <c r="D45" i="57"/>
  <c r="D43" i="57"/>
  <c r="D44" i="57" s="1"/>
  <c r="G30" i="59"/>
  <c r="G47" i="59"/>
  <c r="G29" i="59"/>
  <c r="G42" i="59"/>
  <c r="H25" i="59"/>
  <c r="G34" i="71"/>
  <c r="H23" i="71"/>
  <c r="G27" i="71"/>
  <c r="G30" i="60"/>
  <c r="H25" i="60"/>
  <c r="G42" i="60"/>
  <c r="G29" i="60"/>
  <c r="G47" i="60"/>
  <c r="D25" i="4"/>
  <c r="D47" i="47" l="1"/>
  <c r="D48" i="47" s="1"/>
  <c r="D49" i="47" s="1"/>
  <c r="D51" i="52"/>
  <c r="E11" i="7" s="1"/>
  <c r="D30" i="47"/>
  <c r="D35" i="47" s="1"/>
  <c r="D42" i="47"/>
  <c r="D43" i="47" s="1"/>
  <c r="D44" i="47" s="1"/>
  <c r="D51" i="114"/>
  <c r="E12" i="7" s="1"/>
  <c r="D51" i="48"/>
  <c r="E6" i="7" s="1"/>
  <c r="D51" i="57"/>
  <c r="E17" i="7" s="1"/>
  <c r="D46" i="58"/>
  <c r="D38" i="76"/>
  <c r="E40" i="7" s="1"/>
  <c r="D51" i="58"/>
  <c r="E18" i="7" s="1"/>
  <c r="D51" i="51"/>
  <c r="E10" i="7" s="1"/>
  <c r="D46" i="51"/>
  <c r="D46" i="61"/>
  <c r="H27" i="71"/>
  <c r="I27" i="71" s="1"/>
  <c r="I25" i="115"/>
  <c r="G15" i="7" s="1"/>
  <c r="F15" i="7"/>
  <c r="G43" i="54"/>
  <c r="H42" i="54"/>
  <c r="I42" i="54" s="1"/>
  <c r="G45" i="54"/>
  <c r="H45" i="54" s="1"/>
  <c r="I45" i="54" s="1"/>
  <c r="H30" i="54"/>
  <c r="I30" i="54" s="1"/>
  <c r="G35" i="54"/>
  <c r="H19" i="81"/>
  <c r="I19" i="81" s="1"/>
  <c r="G21" i="81"/>
  <c r="G33" i="64"/>
  <c r="G26" i="64"/>
  <c r="H22" i="64"/>
  <c r="I22" i="64" s="1"/>
  <c r="D33" i="79"/>
  <c r="D34" i="79" s="1"/>
  <c r="D35" i="79"/>
  <c r="G50" i="53"/>
  <c r="G48" i="53"/>
  <c r="H47" i="53"/>
  <c r="I47" i="53" s="1"/>
  <c r="H34" i="75"/>
  <c r="I34" i="75" s="1"/>
  <c r="G37" i="75"/>
  <c r="G35" i="75"/>
  <c r="G36" i="75" s="1"/>
  <c r="I25" i="117"/>
  <c r="G19" i="7" s="1"/>
  <c r="F19" i="7"/>
  <c r="H29" i="58"/>
  <c r="I29" i="58" s="1"/>
  <c r="G34" i="58"/>
  <c r="H30" i="57"/>
  <c r="I30" i="57" s="1"/>
  <c r="G35" i="57"/>
  <c r="G35" i="52"/>
  <c r="H30" i="52"/>
  <c r="I30" i="52" s="1"/>
  <c r="G35" i="114"/>
  <c r="H30" i="114"/>
  <c r="I30" i="114" s="1"/>
  <c r="H47" i="61"/>
  <c r="I47" i="61" s="1"/>
  <c r="G50" i="61"/>
  <c r="G48" i="61"/>
  <c r="G49" i="61" s="1"/>
  <c r="H27" i="5"/>
  <c r="I27" i="5" s="1"/>
  <c r="F21" i="7"/>
  <c r="I25" i="60"/>
  <c r="G21" i="7" s="1"/>
  <c r="F20" i="7"/>
  <c r="I25" i="59"/>
  <c r="G20" i="7" s="1"/>
  <c r="G43" i="50"/>
  <c r="H42" i="50"/>
  <c r="I42" i="50" s="1"/>
  <c r="G45" i="50"/>
  <c r="I20" i="69"/>
  <c r="G38" i="7" s="1"/>
  <c r="F38" i="7"/>
  <c r="D37" i="67"/>
  <c r="E36" i="7" s="1"/>
  <c r="I25" i="62"/>
  <c r="G24" i="7" s="1"/>
  <c r="F24" i="7"/>
  <c r="H22" i="112"/>
  <c r="I22" i="112" s="1"/>
  <c r="G25" i="112"/>
  <c r="G50" i="113"/>
  <c r="H47" i="113"/>
  <c r="I47" i="113" s="1"/>
  <c r="G48" i="113"/>
  <c r="G49" i="113" s="1"/>
  <c r="F34" i="7"/>
  <c r="I20" i="65"/>
  <c r="G34" i="7" s="1"/>
  <c r="H29" i="48"/>
  <c r="I29" i="48" s="1"/>
  <c r="G34" i="48"/>
  <c r="H29" i="49"/>
  <c r="I29" i="49" s="1"/>
  <c r="G34" i="49"/>
  <c r="I20" i="64"/>
  <c r="G33" i="7" s="1"/>
  <c r="F33" i="7"/>
  <c r="H42" i="116"/>
  <c r="I42" i="116" s="1"/>
  <c r="G43" i="116"/>
  <c r="G44" i="116" s="1"/>
  <c r="G45" i="116"/>
  <c r="G34" i="53"/>
  <c r="H29" i="53"/>
  <c r="I29" i="53" s="1"/>
  <c r="D35" i="80"/>
  <c r="D33" i="80"/>
  <c r="D34" i="80" s="1"/>
  <c r="I23" i="75"/>
  <c r="G30" i="7" s="1"/>
  <c r="F30" i="7"/>
  <c r="G45" i="58"/>
  <c r="G43" i="58"/>
  <c r="H42" i="58"/>
  <c r="I42" i="58" s="1"/>
  <c r="D37" i="69"/>
  <c r="E38" i="7" s="1"/>
  <c r="H29" i="57"/>
  <c r="I29" i="57" s="1"/>
  <c r="G34" i="57"/>
  <c r="G34" i="52"/>
  <c r="H29" i="52"/>
  <c r="I29" i="52" s="1"/>
  <c r="H42" i="61"/>
  <c r="I42" i="61" s="1"/>
  <c r="G43" i="61"/>
  <c r="H43" i="61" s="1"/>
  <c r="I43" i="61" s="1"/>
  <c r="G45" i="61"/>
  <c r="H34" i="5"/>
  <c r="I34" i="5" s="1"/>
  <c r="G35" i="5"/>
  <c r="G37" i="5"/>
  <c r="H34" i="72"/>
  <c r="I34" i="72" s="1"/>
  <c r="G37" i="72"/>
  <c r="G35" i="72"/>
  <c r="G36" i="72" s="1"/>
  <c r="G50" i="60"/>
  <c r="G48" i="60"/>
  <c r="H47" i="60"/>
  <c r="I47" i="60" s="1"/>
  <c r="H30" i="60"/>
  <c r="I30" i="60" s="1"/>
  <c r="G35" i="60"/>
  <c r="G37" i="71"/>
  <c r="H34" i="71"/>
  <c r="I34" i="71" s="1"/>
  <c r="G35" i="71"/>
  <c r="H42" i="59"/>
  <c r="I42" i="59" s="1"/>
  <c r="G43" i="59"/>
  <c r="G45" i="59"/>
  <c r="D46" i="57"/>
  <c r="H30" i="50"/>
  <c r="I30" i="50" s="1"/>
  <c r="G35" i="50"/>
  <c r="H29" i="50"/>
  <c r="I29" i="50" s="1"/>
  <c r="G34" i="50"/>
  <c r="D35" i="81"/>
  <c r="D33" i="81"/>
  <c r="D34" i="81" s="1"/>
  <c r="H22" i="69"/>
  <c r="I22" i="69" s="1"/>
  <c r="G33" i="69"/>
  <c r="G26" i="69"/>
  <c r="G43" i="115"/>
  <c r="G44" i="115" s="1"/>
  <c r="H42" i="115"/>
  <c r="I42" i="115" s="1"/>
  <c r="G45" i="115"/>
  <c r="D51" i="62"/>
  <c r="E24" i="7" s="1"/>
  <c r="H47" i="62"/>
  <c r="I47" i="62" s="1"/>
  <c r="G50" i="62"/>
  <c r="H50" i="62" s="1"/>
  <c r="I50" i="62" s="1"/>
  <c r="G48" i="62"/>
  <c r="D37" i="66"/>
  <c r="E35" i="7" s="1"/>
  <c r="I25" i="51"/>
  <c r="G10" i="7" s="1"/>
  <c r="F10" i="7"/>
  <c r="G50" i="51"/>
  <c r="H50" i="51" s="1"/>
  <c r="I50" i="51" s="1"/>
  <c r="G48" i="51"/>
  <c r="G49" i="51" s="1"/>
  <c r="H47" i="51"/>
  <c r="I47" i="51" s="1"/>
  <c r="H29" i="54"/>
  <c r="I29" i="54" s="1"/>
  <c r="G34" i="54"/>
  <c r="H22" i="4"/>
  <c r="I22" i="4" s="1"/>
  <c r="G25" i="4"/>
  <c r="D46" i="50"/>
  <c r="H19" i="79"/>
  <c r="I19" i="79" s="1"/>
  <c r="G21" i="79"/>
  <c r="I25" i="113"/>
  <c r="G8" i="7" s="1"/>
  <c r="F8" i="7"/>
  <c r="H22" i="65"/>
  <c r="I22" i="65" s="1"/>
  <c r="G26" i="65"/>
  <c r="G33" i="65"/>
  <c r="H30" i="48"/>
  <c r="I30" i="48" s="1"/>
  <c r="G35" i="48"/>
  <c r="G35" i="49"/>
  <c r="H30" i="49"/>
  <c r="I30" i="49" s="1"/>
  <c r="G45" i="49"/>
  <c r="G43" i="49"/>
  <c r="G44" i="49" s="1"/>
  <c r="H42" i="49"/>
  <c r="I42" i="49" s="1"/>
  <c r="H30" i="56"/>
  <c r="I30" i="56" s="1"/>
  <c r="G35" i="56"/>
  <c r="G48" i="116"/>
  <c r="G49" i="116" s="1"/>
  <c r="G50" i="116"/>
  <c r="H47" i="116"/>
  <c r="I47" i="116" s="1"/>
  <c r="I25" i="53"/>
  <c r="G13" i="7" s="1"/>
  <c r="F13" i="7"/>
  <c r="G35" i="53"/>
  <c r="H30" i="53"/>
  <c r="I30" i="53" s="1"/>
  <c r="H22" i="68"/>
  <c r="I22" i="68" s="1"/>
  <c r="G33" i="68"/>
  <c r="G26" i="68"/>
  <c r="F32" i="7"/>
  <c r="I20" i="63"/>
  <c r="G32" i="7" s="1"/>
  <c r="F36" i="7"/>
  <c r="I20" i="67"/>
  <c r="G36" i="7" s="1"/>
  <c r="I20" i="70"/>
  <c r="G39" i="7" s="1"/>
  <c r="F39" i="7"/>
  <c r="D51" i="50"/>
  <c r="E9" i="7" s="1"/>
  <c r="H42" i="117"/>
  <c r="I42" i="117" s="1"/>
  <c r="G45" i="117"/>
  <c r="G43" i="117"/>
  <c r="F18" i="7"/>
  <c r="I25" i="58"/>
  <c r="G18" i="7" s="1"/>
  <c r="H30" i="58"/>
  <c r="I30" i="58" s="1"/>
  <c r="G35" i="58"/>
  <c r="D38" i="77"/>
  <c r="E41" i="7" s="1"/>
  <c r="I25" i="57"/>
  <c r="G17" i="7" s="1"/>
  <c r="F17" i="7"/>
  <c r="G48" i="52"/>
  <c r="G50" i="52"/>
  <c r="H47" i="52"/>
  <c r="I47" i="52" s="1"/>
  <c r="H24" i="4"/>
  <c r="I24" i="4" s="1"/>
  <c r="H27" i="73"/>
  <c r="I27" i="73" s="1"/>
  <c r="G43" i="114"/>
  <c r="G45" i="114"/>
  <c r="H42" i="114"/>
  <c r="I42" i="114" s="1"/>
  <c r="H29" i="61"/>
  <c r="I29" i="61" s="1"/>
  <c r="G34" i="61"/>
  <c r="I23" i="5"/>
  <c r="G25" i="7" s="1"/>
  <c r="F25" i="7"/>
  <c r="I23" i="74"/>
  <c r="G29" i="7" s="1"/>
  <c r="F29" i="7"/>
  <c r="I23" i="72"/>
  <c r="G27" i="7" s="1"/>
  <c r="F27" i="7"/>
  <c r="G45" i="60"/>
  <c r="G43" i="60"/>
  <c r="H42" i="60"/>
  <c r="I42" i="60" s="1"/>
  <c r="H47" i="59"/>
  <c r="I47" i="59" s="1"/>
  <c r="G48" i="59"/>
  <c r="G50" i="59"/>
  <c r="G48" i="50"/>
  <c r="G50" i="50"/>
  <c r="H47" i="50"/>
  <c r="I47" i="50" s="1"/>
  <c r="G43" i="62"/>
  <c r="G45" i="62"/>
  <c r="H42" i="62"/>
  <c r="I42" i="62" s="1"/>
  <c r="G43" i="51"/>
  <c r="G44" i="51" s="1"/>
  <c r="G45" i="51"/>
  <c r="H45" i="51" s="1"/>
  <c r="I45" i="51" s="1"/>
  <c r="H42" i="51"/>
  <c r="I42" i="51" s="1"/>
  <c r="H22" i="46"/>
  <c r="I22" i="46" s="1"/>
  <c r="G25" i="46"/>
  <c r="G26" i="25"/>
  <c r="H22" i="25"/>
  <c r="I22" i="25" s="1"/>
  <c r="G33" i="25"/>
  <c r="G35" i="113"/>
  <c r="H30" i="113"/>
  <c r="I30" i="113" s="1"/>
  <c r="H42" i="48"/>
  <c r="I42" i="48" s="1"/>
  <c r="G45" i="48"/>
  <c r="G43" i="48"/>
  <c r="G44" i="48" s="1"/>
  <c r="F7" i="7"/>
  <c r="I25" i="49"/>
  <c r="G7" i="7" s="1"/>
  <c r="H42" i="56"/>
  <c r="I42" i="56" s="1"/>
  <c r="G43" i="56"/>
  <c r="G44" i="56" s="1"/>
  <c r="G45" i="56"/>
  <c r="H29" i="56"/>
  <c r="I29" i="56" s="1"/>
  <c r="G34" i="56"/>
  <c r="H29" i="116"/>
  <c r="I29" i="116" s="1"/>
  <c r="G34" i="116"/>
  <c r="H22" i="66"/>
  <c r="I22" i="66" s="1"/>
  <c r="G26" i="66"/>
  <c r="G33" i="66"/>
  <c r="H47" i="117"/>
  <c r="I47" i="117" s="1"/>
  <c r="G48" i="117"/>
  <c r="G50" i="117"/>
  <c r="H24" i="46"/>
  <c r="I24" i="46" s="1"/>
  <c r="F22" i="7"/>
  <c r="I25" i="61"/>
  <c r="G22" i="7" s="1"/>
  <c r="F26" i="7"/>
  <c r="I23" i="71"/>
  <c r="G26" i="7" s="1"/>
  <c r="G35" i="59"/>
  <c r="H30" i="59"/>
  <c r="I30" i="59" s="1"/>
  <c r="H47" i="115"/>
  <c r="I47" i="115" s="1"/>
  <c r="G48" i="115"/>
  <c r="G50" i="115"/>
  <c r="H29" i="115"/>
  <c r="I29" i="115" s="1"/>
  <c r="G34" i="115"/>
  <c r="G34" i="51"/>
  <c r="H29" i="51"/>
  <c r="I29" i="51" s="1"/>
  <c r="G50" i="54"/>
  <c r="H47" i="54"/>
  <c r="I47" i="54" s="1"/>
  <c r="G48" i="54"/>
  <c r="F31" i="7"/>
  <c r="I20" i="25"/>
  <c r="G31" i="7" s="1"/>
  <c r="I25" i="48"/>
  <c r="G6" i="7" s="1"/>
  <c r="F6" i="7"/>
  <c r="G48" i="56"/>
  <c r="G50" i="56"/>
  <c r="H47" i="56"/>
  <c r="I47" i="56" s="1"/>
  <c r="H22" i="67"/>
  <c r="I22" i="67" s="1"/>
  <c r="G33" i="67"/>
  <c r="G26" i="67"/>
  <c r="H22" i="70"/>
  <c r="I22" i="70" s="1"/>
  <c r="G26" i="70"/>
  <c r="G33" i="70"/>
  <c r="D46" i="48"/>
  <c r="H30" i="117"/>
  <c r="I30" i="117" s="1"/>
  <c r="G35" i="117"/>
  <c r="D51" i="61"/>
  <c r="E22" i="7" s="1"/>
  <c r="D38" i="74"/>
  <c r="E29" i="7" s="1"/>
  <c r="H42" i="57"/>
  <c r="I42" i="57" s="1"/>
  <c r="G43" i="57"/>
  <c r="G44" i="57" s="1"/>
  <c r="G45" i="57"/>
  <c r="H24" i="47"/>
  <c r="I24" i="47" s="1"/>
  <c r="I23" i="73"/>
  <c r="G28" i="7" s="1"/>
  <c r="F28" i="7"/>
  <c r="G48" i="114"/>
  <c r="G50" i="114"/>
  <c r="H47" i="114"/>
  <c r="I47" i="114" s="1"/>
  <c r="D30" i="112"/>
  <c r="D35" i="112" s="1"/>
  <c r="D29" i="112"/>
  <c r="D34" i="112" s="1"/>
  <c r="D42" i="112"/>
  <c r="D47" i="112"/>
  <c r="H27" i="74"/>
  <c r="I27" i="74" s="1"/>
  <c r="D30" i="4"/>
  <c r="D35" i="4" s="1"/>
  <c r="D29" i="4"/>
  <c r="D34" i="4" s="1"/>
  <c r="D42" i="4"/>
  <c r="D47" i="4"/>
  <c r="G34" i="60"/>
  <c r="H29" i="60"/>
  <c r="I29" i="60" s="1"/>
  <c r="G34" i="59"/>
  <c r="H29" i="59"/>
  <c r="I29" i="59" s="1"/>
  <c r="I25" i="50"/>
  <c r="G9" i="7" s="1"/>
  <c r="F9" i="7"/>
  <c r="H30" i="115"/>
  <c r="I30" i="115" s="1"/>
  <c r="G35" i="115"/>
  <c r="G34" i="62"/>
  <c r="H29" i="62"/>
  <c r="I29" i="62" s="1"/>
  <c r="G35" i="62"/>
  <c r="H30" i="62"/>
  <c r="I30" i="62" s="1"/>
  <c r="G35" i="51"/>
  <c r="H30" i="51"/>
  <c r="I30" i="51" s="1"/>
  <c r="I25" i="54"/>
  <c r="G14" i="7" s="1"/>
  <c r="F14" i="7"/>
  <c r="H22" i="47"/>
  <c r="I22" i="47" s="1"/>
  <c r="G25" i="47"/>
  <c r="H19" i="80"/>
  <c r="I19" i="80" s="1"/>
  <c r="G21" i="80"/>
  <c r="G43" i="113"/>
  <c r="G44" i="113" s="1"/>
  <c r="G45" i="113"/>
  <c r="H42" i="113"/>
  <c r="I42" i="113" s="1"/>
  <c r="H29" i="113"/>
  <c r="I29" i="113" s="1"/>
  <c r="G34" i="113"/>
  <c r="G48" i="48"/>
  <c r="G49" i="48" s="1"/>
  <c r="H47" i="48"/>
  <c r="I47" i="48" s="1"/>
  <c r="G50" i="48"/>
  <c r="G48" i="49"/>
  <c r="H47" i="49"/>
  <c r="I47" i="49" s="1"/>
  <c r="G50" i="49"/>
  <c r="I25" i="56"/>
  <c r="G16" i="7" s="1"/>
  <c r="F16" i="7"/>
  <c r="H30" i="116"/>
  <c r="I30" i="116" s="1"/>
  <c r="G35" i="116"/>
  <c r="I25" i="116"/>
  <c r="G23" i="7" s="1"/>
  <c r="F23" i="7"/>
  <c r="F35" i="7"/>
  <c r="I20" i="66"/>
  <c r="G35" i="7" s="1"/>
  <c r="G45" i="53"/>
  <c r="G43" i="53"/>
  <c r="G44" i="53" s="1"/>
  <c r="H42" i="53"/>
  <c r="I42" i="53" s="1"/>
  <c r="I20" i="68"/>
  <c r="G37" i="7" s="1"/>
  <c r="F37" i="7"/>
  <c r="H22" i="63"/>
  <c r="I22" i="63" s="1"/>
  <c r="G33" i="63"/>
  <c r="G26" i="63"/>
  <c r="D30" i="46"/>
  <c r="D35" i="46" s="1"/>
  <c r="D29" i="46"/>
  <c r="D34" i="46" s="1"/>
  <c r="D42" i="46"/>
  <c r="D47" i="46"/>
  <c r="D37" i="25"/>
  <c r="E31" i="7" s="1"/>
  <c r="H27" i="75"/>
  <c r="I27" i="75" s="1"/>
  <c r="H29" i="117"/>
  <c r="I29" i="117" s="1"/>
  <c r="G34" i="117"/>
  <c r="G48" i="58"/>
  <c r="G49" i="58" s="1"/>
  <c r="G50" i="58"/>
  <c r="H50" i="58" s="1"/>
  <c r="I50" i="58" s="1"/>
  <c r="H47" i="58"/>
  <c r="I47" i="58" s="1"/>
  <c r="H47" i="57"/>
  <c r="I47" i="57" s="1"/>
  <c r="G48" i="57"/>
  <c r="G50" i="57"/>
  <c r="F11" i="7"/>
  <c r="I25" i="52"/>
  <c r="G11" i="7" s="1"/>
  <c r="G43" i="52"/>
  <c r="G44" i="52" s="1"/>
  <c r="G45" i="52"/>
  <c r="H42" i="52"/>
  <c r="I42" i="52" s="1"/>
  <c r="H24" i="112"/>
  <c r="I24" i="112" s="1"/>
  <c r="H34" i="73"/>
  <c r="I34" i="73" s="1"/>
  <c r="G35" i="73"/>
  <c r="G36" i="73" s="1"/>
  <c r="G37" i="73"/>
  <c r="F12" i="7"/>
  <c r="I25" i="114"/>
  <c r="G12" i="7" s="1"/>
  <c r="G34" i="114"/>
  <c r="H29" i="114"/>
  <c r="I29" i="114" s="1"/>
  <c r="H30" i="61"/>
  <c r="I30" i="61" s="1"/>
  <c r="G35" i="61"/>
  <c r="D46" i="62"/>
  <c r="G35" i="74"/>
  <c r="G36" i="74" s="1"/>
  <c r="H34" i="74"/>
  <c r="I34" i="74" s="1"/>
  <c r="G37" i="74"/>
  <c r="H27" i="72"/>
  <c r="I27" i="72" s="1"/>
  <c r="D50" i="47" l="1"/>
  <c r="D51" i="47" s="1"/>
  <c r="E5" i="7" s="1"/>
  <c r="D45" i="47"/>
  <c r="D46" i="47" s="1"/>
  <c r="D36" i="80"/>
  <c r="E44" i="7" s="1"/>
  <c r="G44" i="61"/>
  <c r="H44" i="61" s="1"/>
  <c r="I44" i="61" s="1"/>
  <c r="H48" i="51"/>
  <c r="I48" i="51" s="1"/>
  <c r="D36" i="79"/>
  <c r="E43" i="7" s="1"/>
  <c r="H49" i="48"/>
  <c r="I49" i="48" s="1"/>
  <c r="G51" i="48"/>
  <c r="K48" i="48" s="1"/>
  <c r="H44" i="115"/>
  <c r="I44" i="115" s="1"/>
  <c r="G46" i="115"/>
  <c r="J34" i="115" s="1"/>
  <c r="H49" i="61"/>
  <c r="I49" i="61" s="1"/>
  <c r="G51" i="61"/>
  <c r="K50" i="61" s="1"/>
  <c r="G46" i="51"/>
  <c r="J44" i="51" s="1"/>
  <c r="H44" i="51"/>
  <c r="I44" i="51" s="1"/>
  <c r="G38" i="72"/>
  <c r="J36" i="72" s="1"/>
  <c r="H36" i="72"/>
  <c r="I36" i="72" s="1"/>
  <c r="D45" i="46"/>
  <c r="D43" i="46"/>
  <c r="D44" i="46" s="1"/>
  <c r="G49" i="49"/>
  <c r="H48" i="49"/>
  <c r="I48" i="49" s="1"/>
  <c r="H34" i="62"/>
  <c r="I34" i="62" s="1"/>
  <c r="D45" i="4"/>
  <c r="D43" i="4"/>
  <c r="D44" i="4" s="1"/>
  <c r="G46" i="57"/>
  <c r="J43" i="57" s="1"/>
  <c r="H44" i="57"/>
  <c r="I44" i="57" s="1"/>
  <c r="H33" i="70"/>
  <c r="I33" i="70" s="1"/>
  <c r="G34" i="70"/>
  <c r="G36" i="70"/>
  <c r="H50" i="115"/>
  <c r="I50" i="115" s="1"/>
  <c r="G49" i="117"/>
  <c r="H48" i="117"/>
  <c r="I48" i="117" s="1"/>
  <c r="H45" i="62"/>
  <c r="I45" i="62" s="1"/>
  <c r="H50" i="59"/>
  <c r="I50" i="59" s="1"/>
  <c r="H33" i="69"/>
  <c r="I33" i="69" s="1"/>
  <c r="G36" i="69"/>
  <c r="G34" i="69"/>
  <c r="H37" i="5"/>
  <c r="I37" i="5" s="1"/>
  <c r="H43" i="58"/>
  <c r="I43" i="58" s="1"/>
  <c r="H44" i="116"/>
  <c r="I44" i="116" s="1"/>
  <c r="G46" i="116"/>
  <c r="J44" i="116" s="1"/>
  <c r="H34" i="49"/>
  <c r="I34" i="49" s="1"/>
  <c r="H45" i="50"/>
  <c r="I45" i="50" s="1"/>
  <c r="H50" i="61"/>
  <c r="I50" i="61" s="1"/>
  <c r="H35" i="57"/>
  <c r="I35" i="57" s="1"/>
  <c r="H48" i="53"/>
  <c r="I48" i="53" s="1"/>
  <c r="H21" i="81"/>
  <c r="G25" i="81"/>
  <c r="G32" i="81"/>
  <c r="H37" i="73"/>
  <c r="I37" i="73" s="1"/>
  <c r="G46" i="52"/>
  <c r="J44" i="52" s="1"/>
  <c r="H44" i="52"/>
  <c r="I44" i="52" s="1"/>
  <c r="H26" i="63"/>
  <c r="I26" i="63" s="1"/>
  <c r="H43" i="53"/>
  <c r="I43" i="53" s="1"/>
  <c r="H34" i="113"/>
  <c r="I34" i="113" s="1"/>
  <c r="D48" i="112"/>
  <c r="D49" i="112" s="1"/>
  <c r="D50" i="112"/>
  <c r="H48" i="114"/>
  <c r="I48" i="114" s="1"/>
  <c r="H45" i="57"/>
  <c r="I45" i="57" s="1"/>
  <c r="H26" i="70"/>
  <c r="I26" i="70" s="1"/>
  <c r="H50" i="56"/>
  <c r="I50" i="56" s="1"/>
  <c r="G49" i="115"/>
  <c r="H48" i="115"/>
  <c r="I48" i="115" s="1"/>
  <c r="G34" i="66"/>
  <c r="G36" i="66"/>
  <c r="H33" i="66"/>
  <c r="I33" i="66" s="1"/>
  <c r="H43" i="48"/>
  <c r="I43" i="48" s="1"/>
  <c r="G44" i="62"/>
  <c r="H43" i="62"/>
  <c r="I43" i="62" s="1"/>
  <c r="H48" i="59"/>
  <c r="I48" i="59" s="1"/>
  <c r="G44" i="60"/>
  <c r="H43" i="60"/>
  <c r="I43" i="60" s="1"/>
  <c r="G44" i="117"/>
  <c r="H43" i="117"/>
  <c r="I43" i="117" s="1"/>
  <c r="G34" i="68"/>
  <c r="G35" i="68" s="1"/>
  <c r="G36" i="68"/>
  <c r="H33" i="68"/>
  <c r="I33" i="68" s="1"/>
  <c r="H50" i="116"/>
  <c r="I50" i="116" s="1"/>
  <c r="H45" i="61"/>
  <c r="I45" i="61" s="1"/>
  <c r="H45" i="58"/>
  <c r="I45" i="58" s="1"/>
  <c r="H45" i="116"/>
  <c r="I45" i="116" s="1"/>
  <c r="G51" i="113"/>
  <c r="K35" i="113" s="1"/>
  <c r="H49" i="113"/>
  <c r="I49" i="113" s="1"/>
  <c r="H35" i="73"/>
  <c r="I35" i="73" s="1"/>
  <c r="H45" i="52"/>
  <c r="I45" i="52" s="1"/>
  <c r="H34" i="117"/>
  <c r="I34" i="117" s="1"/>
  <c r="G36" i="63"/>
  <c r="H33" i="63"/>
  <c r="I33" i="63" s="1"/>
  <c r="G34" i="63"/>
  <c r="H34" i="63" s="1"/>
  <c r="I34" i="63" s="1"/>
  <c r="H45" i="53"/>
  <c r="I45" i="53" s="1"/>
  <c r="H50" i="49"/>
  <c r="I50" i="49" s="1"/>
  <c r="H45" i="113"/>
  <c r="I45" i="113" s="1"/>
  <c r="H34" i="59"/>
  <c r="I34" i="59" s="1"/>
  <c r="H34" i="60"/>
  <c r="I34" i="60" s="1"/>
  <c r="D43" i="112"/>
  <c r="D44" i="112" s="1"/>
  <c r="D45" i="112"/>
  <c r="H43" i="57"/>
  <c r="I43" i="57" s="1"/>
  <c r="G49" i="56"/>
  <c r="H48" i="56"/>
  <c r="I48" i="56" s="1"/>
  <c r="H50" i="54"/>
  <c r="I50" i="54" s="1"/>
  <c r="H34" i="51"/>
  <c r="I34" i="51" s="1"/>
  <c r="H35" i="59"/>
  <c r="I35" i="59" s="1"/>
  <c r="H26" i="66"/>
  <c r="I26" i="66" s="1"/>
  <c r="H34" i="116"/>
  <c r="I34" i="116" s="1"/>
  <c r="H34" i="56"/>
  <c r="I34" i="56" s="1"/>
  <c r="H45" i="56"/>
  <c r="I45" i="56" s="1"/>
  <c r="H45" i="48"/>
  <c r="I45" i="48" s="1"/>
  <c r="G42" i="46"/>
  <c r="H25" i="46"/>
  <c r="G30" i="46"/>
  <c r="G47" i="46"/>
  <c r="G29" i="46"/>
  <c r="H45" i="60"/>
  <c r="I45" i="60" s="1"/>
  <c r="G49" i="52"/>
  <c r="H48" i="52"/>
  <c r="I48" i="52" s="1"/>
  <c r="H45" i="117"/>
  <c r="I45" i="117" s="1"/>
  <c r="H35" i="53"/>
  <c r="I35" i="53" s="1"/>
  <c r="H48" i="116"/>
  <c r="I48" i="116" s="1"/>
  <c r="H43" i="49"/>
  <c r="I43" i="49" s="1"/>
  <c r="H35" i="48"/>
  <c r="I35" i="48" s="1"/>
  <c r="H26" i="65"/>
  <c r="I26" i="65" s="1"/>
  <c r="H21" i="79"/>
  <c r="G32" i="79"/>
  <c r="G25" i="79"/>
  <c r="H25" i="4"/>
  <c r="G47" i="4"/>
  <c r="G29" i="4"/>
  <c r="G30" i="4"/>
  <c r="G42" i="4"/>
  <c r="H34" i="54"/>
  <c r="I34" i="54" s="1"/>
  <c r="D36" i="81"/>
  <c r="E45" i="7" s="1"/>
  <c r="H34" i="50"/>
  <c r="I34" i="50" s="1"/>
  <c r="H35" i="50"/>
  <c r="I35" i="50" s="1"/>
  <c r="H45" i="59"/>
  <c r="I45" i="59" s="1"/>
  <c r="G36" i="71"/>
  <c r="H35" i="71"/>
  <c r="I35" i="71" s="1"/>
  <c r="H34" i="57"/>
  <c r="I34" i="57" s="1"/>
  <c r="G44" i="58"/>
  <c r="H43" i="116"/>
  <c r="I43" i="116" s="1"/>
  <c r="H48" i="113"/>
  <c r="I48" i="113" s="1"/>
  <c r="G44" i="50"/>
  <c r="H43" i="50"/>
  <c r="I43" i="50" s="1"/>
  <c r="H35" i="75"/>
  <c r="I35" i="75" s="1"/>
  <c r="H26" i="64"/>
  <c r="I26" i="64" s="1"/>
  <c r="G44" i="54"/>
  <c r="H43" i="54"/>
  <c r="I43" i="54" s="1"/>
  <c r="H36" i="74"/>
  <c r="I36" i="74" s="1"/>
  <c r="G38" i="74"/>
  <c r="J37" i="74" s="1"/>
  <c r="H34" i="114"/>
  <c r="I34" i="114" s="1"/>
  <c r="H36" i="73"/>
  <c r="I36" i="73" s="1"/>
  <c r="G38" i="73"/>
  <c r="J37" i="73" s="1"/>
  <c r="H50" i="57"/>
  <c r="I50" i="57" s="1"/>
  <c r="G51" i="58"/>
  <c r="K49" i="58" s="1"/>
  <c r="H49" i="58"/>
  <c r="I49" i="58" s="1"/>
  <c r="G46" i="53"/>
  <c r="J35" i="53" s="1"/>
  <c r="H44" i="53"/>
  <c r="I44" i="53" s="1"/>
  <c r="H44" i="113"/>
  <c r="I44" i="113" s="1"/>
  <c r="G46" i="113"/>
  <c r="J44" i="113" s="1"/>
  <c r="H21" i="80"/>
  <c r="G25" i="80"/>
  <c r="G32" i="80"/>
  <c r="H35" i="51"/>
  <c r="I35" i="51" s="1"/>
  <c r="H35" i="62"/>
  <c r="I35" i="62" s="1"/>
  <c r="H50" i="114"/>
  <c r="I50" i="114" s="1"/>
  <c r="H35" i="117"/>
  <c r="I35" i="117" s="1"/>
  <c r="H26" i="67"/>
  <c r="I26" i="67" s="1"/>
  <c r="H48" i="54"/>
  <c r="I48" i="54" s="1"/>
  <c r="H44" i="48"/>
  <c r="I44" i="48" s="1"/>
  <c r="G46" i="48"/>
  <c r="J44" i="48" s="1"/>
  <c r="H43" i="51"/>
  <c r="I43" i="51" s="1"/>
  <c r="H50" i="50"/>
  <c r="I50" i="50" s="1"/>
  <c r="H45" i="114"/>
  <c r="I45" i="114" s="1"/>
  <c r="H35" i="58"/>
  <c r="I35" i="58" s="1"/>
  <c r="H26" i="68"/>
  <c r="I26" i="68" s="1"/>
  <c r="G46" i="49"/>
  <c r="J43" i="49" s="1"/>
  <c r="H44" i="49"/>
  <c r="I44" i="49" s="1"/>
  <c r="G51" i="51"/>
  <c r="K48" i="51" s="1"/>
  <c r="H49" i="51"/>
  <c r="I49" i="51" s="1"/>
  <c r="H37" i="71"/>
  <c r="I37" i="71" s="1"/>
  <c r="H50" i="60"/>
  <c r="I50" i="60" s="1"/>
  <c r="H37" i="72"/>
  <c r="I37" i="72" s="1"/>
  <c r="H34" i="48"/>
  <c r="I34" i="48" s="1"/>
  <c r="H50" i="113"/>
  <c r="I50" i="113" s="1"/>
  <c r="H34" i="58"/>
  <c r="I34" i="58" s="1"/>
  <c r="H37" i="74"/>
  <c r="I37" i="74" s="1"/>
  <c r="H48" i="57"/>
  <c r="I48" i="57" s="1"/>
  <c r="H35" i="116"/>
  <c r="I35" i="116" s="1"/>
  <c r="H48" i="48"/>
  <c r="I48" i="48" s="1"/>
  <c r="G47" i="47"/>
  <c r="H25" i="47"/>
  <c r="G42" i="47"/>
  <c r="G30" i="47"/>
  <c r="G29" i="47"/>
  <c r="H33" i="67"/>
  <c r="I33" i="67" s="1"/>
  <c r="G34" i="67"/>
  <c r="G36" i="67"/>
  <c r="H34" i="115"/>
  <c r="I34" i="115" s="1"/>
  <c r="H44" i="56"/>
  <c r="I44" i="56" s="1"/>
  <c r="G46" i="56"/>
  <c r="J35" i="56" s="1"/>
  <c r="H33" i="25"/>
  <c r="I33" i="25" s="1"/>
  <c r="G34" i="25"/>
  <c r="G35" i="25" s="1"/>
  <c r="G36" i="25"/>
  <c r="G49" i="50"/>
  <c r="H48" i="50"/>
  <c r="I48" i="50" s="1"/>
  <c r="H43" i="114"/>
  <c r="I43" i="114" s="1"/>
  <c r="H50" i="52"/>
  <c r="I50" i="52" s="1"/>
  <c r="H35" i="56"/>
  <c r="I35" i="56" s="1"/>
  <c r="G34" i="65"/>
  <c r="G35" i="65" s="1"/>
  <c r="G36" i="65"/>
  <c r="H33" i="65"/>
  <c r="I33" i="65" s="1"/>
  <c r="G49" i="62"/>
  <c r="H48" i="62"/>
  <c r="I48" i="62" s="1"/>
  <c r="H43" i="115"/>
  <c r="I43" i="115" s="1"/>
  <c r="H35" i="5"/>
  <c r="I35" i="5" s="1"/>
  <c r="H34" i="53"/>
  <c r="I34" i="53" s="1"/>
  <c r="H35" i="114"/>
  <c r="I35" i="114" s="1"/>
  <c r="H35" i="52"/>
  <c r="I35" i="52" s="1"/>
  <c r="H36" i="75"/>
  <c r="I36" i="75" s="1"/>
  <c r="G38" i="75"/>
  <c r="J35" i="75" s="1"/>
  <c r="H50" i="53"/>
  <c r="I50" i="53" s="1"/>
  <c r="H35" i="54"/>
  <c r="I35" i="54" s="1"/>
  <c r="H35" i="74"/>
  <c r="I35" i="74" s="1"/>
  <c r="H35" i="61"/>
  <c r="I35" i="61" s="1"/>
  <c r="H43" i="52"/>
  <c r="I43" i="52" s="1"/>
  <c r="G49" i="57"/>
  <c r="H48" i="58"/>
  <c r="I48" i="58" s="1"/>
  <c r="D48" i="46"/>
  <c r="D49" i="46" s="1"/>
  <c r="D50" i="46"/>
  <c r="H50" i="48"/>
  <c r="I50" i="48" s="1"/>
  <c r="H43" i="113"/>
  <c r="I43" i="113" s="1"/>
  <c r="H35" i="115"/>
  <c r="I35" i="115" s="1"/>
  <c r="D50" i="4"/>
  <c r="D48" i="4"/>
  <c r="D49" i="4" s="1"/>
  <c r="G49" i="114"/>
  <c r="G49" i="54"/>
  <c r="H50" i="117"/>
  <c r="I50" i="117" s="1"/>
  <c r="H43" i="56"/>
  <c r="I43" i="56" s="1"/>
  <c r="H35" i="113"/>
  <c r="I35" i="113" s="1"/>
  <c r="H26" i="25"/>
  <c r="I26" i="25" s="1"/>
  <c r="G49" i="59"/>
  <c r="H34" i="61"/>
  <c r="I34" i="61" s="1"/>
  <c r="G44" i="114"/>
  <c r="G51" i="116"/>
  <c r="K50" i="116" s="1"/>
  <c r="H49" i="116"/>
  <c r="I49" i="116" s="1"/>
  <c r="H45" i="49"/>
  <c r="I45" i="49" s="1"/>
  <c r="H35" i="49"/>
  <c r="I35" i="49" s="1"/>
  <c r="H45" i="115"/>
  <c r="I45" i="115" s="1"/>
  <c r="H26" i="69"/>
  <c r="I26" i="69" s="1"/>
  <c r="G44" i="59"/>
  <c r="H43" i="59"/>
  <c r="I43" i="59" s="1"/>
  <c r="H35" i="60"/>
  <c r="I35" i="60" s="1"/>
  <c r="G49" i="60"/>
  <c r="H48" i="60"/>
  <c r="I48" i="60" s="1"/>
  <c r="H35" i="72"/>
  <c r="I35" i="72" s="1"/>
  <c r="G36" i="5"/>
  <c r="H34" i="52"/>
  <c r="I34" i="52" s="1"/>
  <c r="H25" i="112"/>
  <c r="G29" i="112"/>
  <c r="G30" i="112"/>
  <c r="G47" i="112"/>
  <c r="G42" i="112"/>
  <c r="H48" i="61"/>
  <c r="I48" i="61" s="1"/>
  <c r="H37" i="75"/>
  <c r="I37" i="75" s="1"/>
  <c r="G49" i="53"/>
  <c r="H33" i="64"/>
  <c r="I33" i="64" s="1"/>
  <c r="G36" i="64"/>
  <c r="H36" i="64" s="1"/>
  <c r="I36" i="64" s="1"/>
  <c r="G34" i="64"/>
  <c r="K35" i="48" l="1"/>
  <c r="K34" i="48"/>
  <c r="J43" i="113"/>
  <c r="K48" i="61"/>
  <c r="K50" i="51"/>
  <c r="J45" i="51"/>
  <c r="G46" i="61"/>
  <c r="J45" i="61" s="1"/>
  <c r="J35" i="72"/>
  <c r="J37" i="72"/>
  <c r="J35" i="116"/>
  <c r="J43" i="116"/>
  <c r="J45" i="49"/>
  <c r="J35" i="74"/>
  <c r="J36" i="75"/>
  <c r="J45" i="115"/>
  <c r="J43" i="56"/>
  <c r="D46" i="112"/>
  <c r="J35" i="113"/>
  <c r="K50" i="113"/>
  <c r="J35" i="115"/>
  <c r="J35" i="52"/>
  <c r="J43" i="115"/>
  <c r="K48" i="113"/>
  <c r="J43" i="51"/>
  <c r="J34" i="51"/>
  <c r="K34" i="113"/>
  <c r="K49" i="48"/>
  <c r="J35" i="51"/>
  <c r="K48" i="116"/>
  <c r="K35" i="116"/>
  <c r="K34" i="58"/>
  <c r="K35" i="58"/>
  <c r="J44" i="53"/>
  <c r="J34" i="113"/>
  <c r="J37" i="75"/>
  <c r="K50" i="48"/>
  <c r="K48" i="58"/>
  <c r="J34" i="48"/>
  <c r="J45" i="53"/>
  <c r="J43" i="53"/>
  <c r="K35" i="51"/>
  <c r="K34" i="51"/>
  <c r="J34" i="53"/>
  <c r="D51" i="112"/>
  <c r="E4" i="7" s="1"/>
  <c r="K49" i="61"/>
  <c r="G37" i="25"/>
  <c r="J34" i="25" s="1"/>
  <c r="H35" i="25"/>
  <c r="I35" i="25" s="1"/>
  <c r="G51" i="57"/>
  <c r="K49" i="57" s="1"/>
  <c r="H49" i="57"/>
  <c r="I49" i="57" s="1"/>
  <c r="H36" i="67"/>
  <c r="I36" i="67" s="1"/>
  <c r="F5" i="7"/>
  <c r="I25" i="47"/>
  <c r="G5" i="7" s="1"/>
  <c r="H25" i="80"/>
  <c r="I25" i="80" s="1"/>
  <c r="H44" i="58"/>
  <c r="I44" i="58" s="1"/>
  <c r="G46" i="58"/>
  <c r="J44" i="58" s="1"/>
  <c r="G45" i="4"/>
  <c r="G43" i="4"/>
  <c r="H42" i="4"/>
  <c r="I42" i="4" s="1"/>
  <c r="F43" i="7"/>
  <c r="I21" i="79"/>
  <c r="G43" i="7" s="1"/>
  <c r="H30" i="46"/>
  <c r="I30" i="46" s="1"/>
  <c r="G35" i="46"/>
  <c r="H49" i="56"/>
  <c r="I49" i="56" s="1"/>
  <c r="G51" i="56"/>
  <c r="K49" i="56" s="1"/>
  <c r="G35" i="66"/>
  <c r="H34" i="66"/>
  <c r="I34" i="66" s="1"/>
  <c r="H36" i="70"/>
  <c r="I36" i="70" s="1"/>
  <c r="H36" i="5"/>
  <c r="I36" i="5" s="1"/>
  <c r="G38" i="5"/>
  <c r="J36" i="5" s="1"/>
  <c r="H36" i="25"/>
  <c r="I36" i="25" s="1"/>
  <c r="J44" i="56"/>
  <c r="J36" i="56"/>
  <c r="J46" i="56"/>
  <c r="J38" i="56"/>
  <c r="J40" i="56"/>
  <c r="J13" i="56"/>
  <c r="J41" i="56"/>
  <c r="J18" i="56"/>
  <c r="J39" i="56"/>
  <c r="J27" i="56"/>
  <c r="J26" i="56"/>
  <c r="H46" i="56"/>
  <c r="I46" i="56" s="1"/>
  <c r="J21" i="56"/>
  <c r="J14" i="56"/>
  <c r="J28" i="56"/>
  <c r="J12" i="56"/>
  <c r="J20" i="56"/>
  <c r="J37" i="56"/>
  <c r="J19" i="56"/>
  <c r="J23" i="56"/>
  <c r="J32" i="56"/>
  <c r="J31" i="56"/>
  <c r="J33" i="56"/>
  <c r="J22" i="56"/>
  <c r="J24" i="56"/>
  <c r="J25" i="56"/>
  <c r="J30" i="56"/>
  <c r="J42" i="56"/>
  <c r="J29" i="56"/>
  <c r="H34" i="67"/>
  <c r="I34" i="67" s="1"/>
  <c r="H47" i="47"/>
  <c r="I47" i="47" s="1"/>
  <c r="G50" i="47"/>
  <c r="G48" i="47"/>
  <c r="G46" i="50"/>
  <c r="H44" i="50"/>
  <c r="I44" i="50" s="1"/>
  <c r="H30" i="4"/>
  <c r="I30" i="4" s="1"/>
  <c r="G35" i="4"/>
  <c r="I25" i="46"/>
  <c r="G3" i="7" s="1"/>
  <c r="F3" i="7"/>
  <c r="H36" i="63"/>
  <c r="I36" i="63" s="1"/>
  <c r="G46" i="60"/>
  <c r="J44" i="60" s="1"/>
  <c r="H44" i="60"/>
  <c r="I44" i="60" s="1"/>
  <c r="J34" i="52"/>
  <c r="J13" i="52"/>
  <c r="J18" i="52"/>
  <c r="J21" i="52"/>
  <c r="J39" i="52"/>
  <c r="J40" i="52"/>
  <c r="J23" i="52"/>
  <c r="J14" i="52"/>
  <c r="J28" i="52"/>
  <c r="J20" i="52"/>
  <c r="J36" i="52"/>
  <c r="J26" i="52"/>
  <c r="J41" i="52"/>
  <c r="J38" i="52"/>
  <c r="J12" i="52"/>
  <c r="J37" i="52"/>
  <c r="J19" i="52"/>
  <c r="J46" i="52"/>
  <c r="J27" i="52"/>
  <c r="J32" i="52"/>
  <c r="J31" i="52"/>
  <c r="J33" i="52"/>
  <c r="J24" i="52"/>
  <c r="J22" i="52"/>
  <c r="H46" i="52"/>
  <c r="I46" i="52" s="1"/>
  <c r="J25" i="52"/>
  <c r="J30" i="52"/>
  <c r="J42" i="52"/>
  <c r="J29" i="52"/>
  <c r="G35" i="81"/>
  <c r="G33" i="81"/>
  <c r="H32" i="81"/>
  <c r="I32" i="81" s="1"/>
  <c r="J34" i="49"/>
  <c r="J39" i="116"/>
  <c r="J41" i="116"/>
  <c r="J26" i="116"/>
  <c r="J37" i="116"/>
  <c r="J36" i="116"/>
  <c r="J23" i="116"/>
  <c r="J18" i="116"/>
  <c r="J20" i="116"/>
  <c r="J19" i="116"/>
  <c r="J14" i="116"/>
  <c r="J21" i="116"/>
  <c r="J12" i="116"/>
  <c r="J40" i="116"/>
  <c r="J38" i="116"/>
  <c r="J46" i="116"/>
  <c r="J28" i="116"/>
  <c r="H46" i="116"/>
  <c r="I46" i="116" s="1"/>
  <c r="J13" i="116"/>
  <c r="J27" i="116"/>
  <c r="J31" i="116"/>
  <c r="J32" i="116"/>
  <c r="J33" i="116"/>
  <c r="J24" i="116"/>
  <c r="J22" i="116"/>
  <c r="J25" i="116"/>
  <c r="J42" i="116"/>
  <c r="J30" i="116"/>
  <c r="J29" i="116"/>
  <c r="H36" i="69"/>
  <c r="I36" i="69" s="1"/>
  <c r="H34" i="70"/>
  <c r="I34" i="70" s="1"/>
  <c r="J18" i="57"/>
  <c r="J13" i="57"/>
  <c r="J38" i="57"/>
  <c r="J19" i="57"/>
  <c r="J37" i="57"/>
  <c r="J41" i="57"/>
  <c r="J40" i="57"/>
  <c r="J23" i="57"/>
  <c r="H46" i="57"/>
  <c r="I46" i="57" s="1"/>
  <c r="J14" i="57"/>
  <c r="J46" i="57"/>
  <c r="J39" i="57"/>
  <c r="J27" i="57"/>
  <c r="J20" i="57"/>
  <c r="J36" i="57"/>
  <c r="J21" i="57"/>
  <c r="J28" i="57"/>
  <c r="J26" i="57"/>
  <c r="J12" i="57"/>
  <c r="J31" i="57"/>
  <c r="J32" i="57"/>
  <c r="J33" i="57"/>
  <c r="J24" i="57"/>
  <c r="J22" i="57"/>
  <c r="J25" i="57"/>
  <c r="J30" i="57"/>
  <c r="J42" i="57"/>
  <c r="J29" i="57"/>
  <c r="G51" i="49"/>
  <c r="H49" i="49"/>
  <c r="I49" i="49" s="1"/>
  <c r="G51" i="53"/>
  <c r="K49" i="53" s="1"/>
  <c r="H49" i="53"/>
  <c r="I49" i="53" s="1"/>
  <c r="G48" i="112"/>
  <c r="G49" i="112" s="1"/>
  <c r="H47" i="112"/>
  <c r="I47" i="112" s="1"/>
  <c r="G50" i="112"/>
  <c r="H50" i="112" s="1"/>
  <c r="I50" i="112" s="1"/>
  <c r="G51" i="60"/>
  <c r="H49" i="60"/>
  <c r="I49" i="60" s="1"/>
  <c r="J35" i="49"/>
  <c r="G46" i="114"/>
  <c r="J44" i="114" s="1"/>
  <c r="H44" i="114"/>
  <c r="I44" i="114" s="1"/>
  <c r="G51" i="59"/>
  <c r="H49" i="59"/>
  <c r="I49" i="59" s="1"/>
  <c r="G51" i="114"/>
  <c r="H49" i="114"/>
  <c r="I49" i="114" s="1"/>
  <c r="J43" i="52"/>
  <c r="J29" i="75"/>
  <c r="J31" i="75"/>
  <c r="J38" i="75"/>
  <c r="J13" i="75"/>
  <c r="J18" i="75"/>
  <c r="J17" i="75"/>
  <c r="H38" i="75"/>
  <c r="J14" i="75"/>
  <c r="J32" i="75"/>
  <c r="J16" i="75"/>
  <c r="J30" i="75"/>
  <c r="J15" i="75"/>
  <c r="J33" i="75"/>
  <c r="J28" i="75"/>
  <c r="J20" i="75"/>
  <c r="J25" i="75"/>
  <c r="J24" i="75"/>
  <c r="J26" i="75"/>
  <c r="J22" i="75"/>
  <c r="J19" i="75"/>
  <c r="J21" i="75"/>
  <c r="J23" i="75"/>
  <c r="J34" i="75"/>
  <c r="J27" i="75"/>
  <c r="H49" i="62"/>
  <c r="I49" i="62" s="1"/>
  <c r="G51" i="62"/>
  <c r="K49" i="62" s="1"/>
  <c r="H36" i="65"/>
  <c r="I36" i="65" s="1"/>
  <c r="H30" i="47"/>
  <c r="I30" i="47" s="1"/>
  <c r="G35" i="47"/>
  <c r="K49" i="51"/>
  <c r="J12" i="48"/>
  <c r="J36" i="48"/>
  <c r="J39" i="48"/>
  <c r="J21" i="48"/>
  <c r="J26" i="48"/>
  <c r="J19" i="48"/>
  <c r="J46" i="48"/>
  <c r="J13" i="48"/>
  <c r="H46" i="48"/>
  <c r="I46" i="48" s="1"/>
  <c r="J20" i="48"/>
  <c r="J41" i="48"/>
  <c r="J14" i="48"/>
  <c r="J37" i="48"/>
  <c r="J38" i="48"/>
  <c r="J23" i="48"/>
  <c r="J28" i="48"/>
  <c r="J18" i="48"/>
  <c r="J40" i="48"/>
  <c r="J27" i="48"/>
  <c r="J32" i="48"/>
  <c r="J31" i="48"/>
  <c r="J33" i="48"/>
  <c r="J24" i="48"/>
  <c r="J22" i="48"/>
  <c r="J25" i="48"/>
  <c r="J29" i="48"/>
  <c r="J42" i="48"/>
  <c r="J30" i="48"/>
  <c r="J14" i="53"/>
  <c r="J26" i="53"/>
  <c r="J40" i="53"/>
  <c r="J23" i="53"/>
  <c r="J20" i="53"/>
  <c r="J39" i="53"/>
  <c r="J13" i="53"/>
  <c r="J41" i="53"/>
  <c r="J36" i="53"/>
  <c r="J28" i="53"/>
  <c r="J37" i="53"/>
  <c r="J18" i="53"/>
  <c r="J27" i="53"/>
  <c r="J12" i="53"/>
  <c r="J21" i="53"/>
  <c r="J46" i="53"/>
  <c r="J19" i="53"/>
  <c r="J38" i="53"/>
  <c r="J31" i="53"/>
  <c r="J32" i="53"/>
  <c r="J33" i="53"/>
  <c r="J24" i="53"/>
  <c r="J22" i="53"/>
  <c r="J25" i="53"/>
  <c r="J42" i="53"/>
  <c r="H46" i="53"/>
  <c r="I46" i="53" s="1"/>
  <c r="J30" i="53"/>
  <c r="J29" i="53"/>
  <c r="K50" i="58"/>
  <c r="K27" i="58"/>
  <c r="K37" i="58"/>
  <c r="K40" i="58"/>
  <c r="K16" i="58"/>
  <c r="K20" i="58"/>
  <c r="K26" i="58"/>
  <c r="K19" i="58"/>
  <c r="H51" i="58"/>
  <c r="K18" i="58"/>
  <c r="K21" i="58"/>
  <c r="K28" i="58"/>
  <c r="K23" i="58"/>
  <c r="K36" i="58"/>
  <c r="K15" i="58"/>
  <c r="K51" i="58"/>
  <c r="K17" i="58"/>
  <c r="K38" i="58"/>
  <c r="K41" i="58"/>
  <c r="K39" i="58"/>
  <c r="K32" i="58"/>
  <c r="K31" i="58"/>
  <c r="K33" i="58"/>
  <c r="K22" i="58"/>
  <c r="K24" i="58"/>
  <c r="K25" i="58"/>
  <c r="K29" i="58"/>
  <c r="K30" i="58"/>
  <c r="K47" i="58"/>
  <c r="J36" i="74"/>
  <c r="J33" i="74"/>
  <c r="J38" i="74"/>
  <c r="J17" i="74"/>
  <c r="J13" i="74"/>
  <c r="J15" i="74"/>
  <c r="J29" i="74"/>
  <c r="J30" i="74"/>
  <c r="J14" i="74"/>
  <c r="J31" i="74"/>
  <c r="J32" i="74"/>
  <c r="J28" i="74"/>
  <c r="J18" i="74"/>
  <c r="J16" i="74"/>
  <c r="H38" i="74"/>
  <c r="J20" i="74"/>
  <c r="J24" i="74"/>
  <c r="J25" i="74"/>
  <c r="J26" i="74"/>
  <c r="J22" i="74"/>
  <c r="J19" i="74"/>
  <c r="J21" i="74"/>
  <c r="J23" i="74"/>
  <c r="J27" i="74"/>
  <c r="J34" i="74"/>
  <c r="H44" i="54"/>
  <c r="I44" i="54" s="1"/>
  <c r="G46" i="54"/>
  <c r="J44" i="54" s="1"/>
  <c r="J34" i="57"/>
  <c r="H29" i="4"/>
  <c r="I29" i="4" s="1"/>
  <c r="G34" i="4"/>
  <c r="H25" i="79"/>
  <c r="I25" i="79" s="1"/>
  <c r="H29" i="46"/>
  <c r="I29" i="46" s="1"/>
  <c r="G34" i="46"/>
  <c r="G45" i="46"/>
  <c r="H45" i="46" s="1"/>
  <c r="I45" i="46" s="1"/>
  <c r="H42" i="46"/>
  <c r="I42" i="46" s="1"/>
  <c r="G43" i="46"/>
  <c r="G44" i="46" s="1"/>
  <c r="J34" i="116"/>
  <c r="G35" i="63"/>
  <c r="J45" i="52"/>
  <c r="K49" i="113"/>
  <c r="K38" i="113"/>
  <c r="K27" i="113"/>
  <c r="K26" i="113"/>
  <c r="K39" i="113"/>
  <c r="H51" i="113"/>
  <c r="K18" i="113"/>
  <c r="K17" i="113"/>
  <c r="K15" i="113"/>
  <c r="K19" i="113"/>
  <c r="K37" i="113"/>
  <c r="K28" i="113"/>
  <c r="K23" i="113"/>
  <c r="K51" i="113"/>
  <c r="K16" i="113"/>
  <c r="K41" i="113"/>
  <c r="K21" i="113"/>
  <c r="K20" i="113"/>
  <c r="K36" i="113"/>
  <c r="K40" i="113"/>
  <c r="K32" i="113"/>
  <c r="K31" i="113"/>
  <c r="K33" i="113"/>
  <c r="K22" i="113"/>
  <c r="K24" i="113"/>
  <c r="K25" i="113"/>
  <c r="K30" i="113"/>
  <c r="K47" i="113"/>
  <c r="K29" i="113"/>
  <c r="H36" i="68"/>
  <c r="I36" i="68" s="1"/>
  <c r="G46" i="117"/>
  <c r="J44" i="117" s="1"/>
  <c r="H44" i="117"/>
  <c r="I44" i="117" s="1"/>
  <c r="H44" i="62"/>
  <c r="I44" i="62" s="1"/>
  <c r="G46" i="62"/>
  <c r="G51" i="115"/>
  <c r="H49" i="115"/>
  <c r="I49" i="115" s="1"/>
  <c r="J45" i="57"/>
  <c r="H25" i="81"/>
  <c r="I25" i="81" s="1"/>
  <c r="J35" i="57"/>
  <c r="D46" i="4"/>
  <c r="D46" i="46"/>
  <c r="J15" i="72"/>
  <c r="J17" i="72"/>
  <c r="J28" i="72"/>
  <c r="J33" i="72"/>
  <c r="J14" i="72"/>
  <c r="J30" i="72"/>
  <c r="J18" i="72"/>
  <c r="J31" i="72"/>
  <c r="J29" i="72"/>
  <c r="H38" i="72"/>
  <c r="J16" i="72"/>
  <c r="J32" i="72"/>
  <c r="J20" i="72"/>
  <c r="J38" i="72"/>
  <c r="J13" i="72"/>
  <c r="J24" i="72"/>
  <c r="J25" i="72"/>
  <c r="J26" i="72"/>
  <c r="J22" i="72"/>
  <c r="J19" i="72"/>
  <c r="J21" i="72"/>
  <c r="J23" i="72"/>
  <c r="J34" i="72"/>
  <c r="J27" i="72"/>
  <c r="K27" i="48"/>
  <c r="K36" i="48"/>
  <c r="K37" i="48"/>
  <c r="K16" i="48"/>
  <c r="K23" i="48"/>
  <c r="K28" i="48"/>
  <c r="K51" i="48"/>
  <c r="K19" i="48"/>
  <c r="K26" i="48"/>
  <c r="K20" i="48"/>
  <c r="K18" i="48"/>
  <c r="K40" i="48"/>
  <c r="H51" i="48"/>
  <c r="K41" i="48"/>
  <c r="K15" i="48"/>
  <c r="K38" i="48"/>
  <c r="K39" i="48"/>
  <c r="K17" i="48"/>
  <c r="K21" i="48"/>
  <c r="K31" i="48"/>
  <c r="K32" i="48"/>
  <c r="K33" i="48"/>
  <c r="K24" i="48"/>
  <c r="K22" i="48"/>
  <c r="K25" i="48"/>
  <c r="K29" i="48"/>
  <c r="K30" i="48"/>
  <c r="K47" i="48"/>
  <c r="G34" i="112"/>
  <c r="H29" i="112"/>
  <c r="I29" i="112" s="1"/>
  <c r="G46" i="59"/>
  <c r="J44" i="59" s="1"/>
  <c r="H44" i="59"/>
  <c r="I44" i="59" s="1"/>
  <c r="H35" i="65"/>
  <c r="I35" i="65" s="1"/>
  <c r="G37" i="65"/>
  <c r="J35" i="65" s="1"/>
  <c r="F2" i="7"/>
  <c r="I25" i="4"/>
  <c r="G2" i="7" s="1"/>
  <c r="H35" i="68"/>
  <c r="I35" i="68" s="1"/>
  <c r="G37" i="68"/>
  <c r="J34" i="68" s="1"/>
  <c r="G35" i="69"/>
  <c r="H34" i="69"/>
  <c r="I34" i="69" s="1"/>
  <c r="G45" i="112"/>
  <c r="G43" i="112"/>
  <c r="H42" i="112"/>
  <c r="I42" i="112" s="1"/>
  <c r="F4" i="7"/>
  <c r="I25" i="112"/>
  <c r="G4" i="7" s="1"/>
  <c r="H51" i="116"/>
  <c r="K39" i="116"/>
  <c r="K26" i="116"/>
  <c r="K51" i="116"/>
  <c r="K18" i="116"/>
  <c r="K38" i="116"/>
  <c r="K19" i="116"/>
  <c r="K17" i="116"/>
  <c r="K41" i="116"/>
  <c r="K37" i="116"/>
  <c r="K28" i="116"/>
  <c r="K21" i="116"/>
  <c r="K16" i="116"/>
  <c r="K27" i="116"/>
  <c r="K36" i="116"/>
  <c r="K23" i="116"/>
  <c r="K40" i="116"/>
  <c r="K20" i="116"/>
  <c r="K15" i="116"/>
  <c r="K32" i="116"/>
  <c r="K31" i="116"/>
  <c r="K33" i="116"/>
  <c r="K22" i="116"/>
  <c r="K24" i="116"/>
  <c r="K25" i="116"/>
  <c r="K30" i="116"/>
  <c r="K47" i="116"/>
  <c r="K29" i="116"/>
  <c r="G51" i="54"/>
  <c r="K49" i="54" s="1"/>
  <c r="H49" i="54"/>
  <c r="I49" i="54" s="1"/>
  <c r="D51" i="46"/>
  <c r="E3" i="7" s="1"/>
  <c r="H29" i="47"/>
  <c r="I29" i="47" s="1"/>
  <c r="G34" i="47"/>
  <c r="J44" i="49"/>
  <c r="J26" i="49"/>
  <c r="J41" i="49"/>
  <c r="J36" i="49"/>
  <c r="J38" i="49"/>
  <c r="J19" i="49"/>
  <c r="J21" i="49"/>
  <c r="J13" i="49"/>
  <c r="J18" i="49"/>
  <c r="J20" i="49"/>
  <c r="J12" i="49"/>
  <c r="J46" i="49"/>
  <c r="J23" i="49"/>
  <c r="J27" i="49"/>
  <c r="J28" i="49"/>
  <c r="J14" i="49"/>
  <c r="J37" i="49"/>
  <c r="J39" i="49"/>
  <c r="H46" i="49"/>
  <c r="I46" i="49" s="1"/>
  <c r="J40" i="49"/>
  <c r="J31" i="49"/>
  <c r="J32" i="49"/>
  <c r="J33" i="49"/>
  <c r="J24" i="49"/>
  <c r="J22" i="49"/>
  <c r="J25" i="49"/>
  <c r="J42" i="49"/>
  <c r="J29" i="49"/>
  <c r="J30" i="49"/>
  <c r="F44" i="7"/>
  <c r="I21" i="80"/>
  <c r="G44" i="7" s="1"/>
  <c r="J36" i="73"/>
  <c r="J32" i="73"/>
  <c r="J31" i="73"/>
  <c r="J33" i="73"/>
  <c r="J13" i="73"/>
  <c r="J15" i="73"/>
  <c r="J20" i="73"/>
  <c r="J17" i="73"/>
  <c r="H38" i="73"/>
  <c r="J28" i="73"/>
  <c r="J18" i="73"/>
  <c r="J16" i="73"/>
  <c r="J30" i="73"/>
  <c r="J38" i="73"/>
  <c r="J14" i="73"/>
  <c r="J29" i="73"/>
  <c r="J24" i="73"/>
  <c r="J25" i="73"/>
  <c r="J26" i="73"/>
  <c r="J22" i="73"/>
  <c r="J21" i="73"/>
  <c r="J19" i="73"/>
  <c r="J23" i="73"/>
  <c r="J34" i="73"/>
  <c r="J27" i="73"/>
  <c r="H36" i="71"/>
  <c r="I36" i="71" s="1"/>
  <c r="G38" i="71"/>
  <c r="G51" i="52"/>
  <c r="K49" i="52" s="1"/>
  <c r="H49" i="52"/>
  <c r="I49" i="52" s="1"/>
  <c r="J45" i="56"/>
  <c r="K17" i="61"/>
  <c r="K36" i="61"/>
  <c r="K28" i="61"/>
  <c r="K51" i="61"/>
  <c r="K23" i="61"/>
  <c r="K16" i="61"/>
  <c r="K15" i="61"/>
  <c r="K26" i="61"/>
  <c r="K40" i="61"/>
  <c r="K39" i="61"/>
  <c r="K37" i="61"/>
  <c r="K21" i="61"/>
  <c r="K38" i="61"/>
  <c r="K20" i="61"/>
  <c r="K41" i="61"/>
  <c r="K18" i="61"/>
  <c r="H51" i="61"/>
  <c r="K27" i="61"/>
  <c r="K19" i="61"/>
  <c r="K32" i="61"/>
  <c r="K31" i="61"/>
  <c r="K33" i="61"/>
  <c r="K22" i="61"/>
  <c r="K24" i="61"/>
  <c r="K25" i="61"/>
  <c r="K47" i="61"/>
  <c r="K29" i="61"/>
  <c r="K30" i="61"/>
  <c r="G35" i="64"/>
  <c r="H34" i="64"/>
  <c r="I34" i="64" s="1"/>
  <c r="H30" i="112"/>
  <c r="I30" i="112" s="1"/>
  <c r="G35" i="112"/>
  <c r="K49" i="116"/>
  <c r="K34" i="61"/>
  <c r="D51" i="4"/>
  <c r="E2" i="7" s="1"/>
  <c r="K35" i="61"/>
  <c r="H34" i="65"/>
  <c r="I34" i="65" s="1"/>
  <c r="H49" i="50"/>
  <c r="I49" i="50" s="1"/>
  <c r="G51" i="50"/>
  <c r="H34" i="25"/>
  <c r="I34" i="25" s="1"/>
  <c r="G35" i="67"/>
  <c r="G45" i="47"/>
  <c r="H42" i="47"/>
  <c r="I42" i="47" s="1"/>
  <c r="G43" i="47"/>
  <c r="K51" i="51"/>
  <c r="K37" i="51"/>
  <c r="K40" i="51"/>
  <c r="K41" i="51"/>
  <c r="K38" i="51"/>
  <c r="K39" i="51"/>
  <c r="K28" i="51"/>
  <c r="K18" i="51"/>
  <c r="K21" i="51"/>
  <c r="K19" i="51"/>
  <c r="K16" i="51"/>
  <c r="K36" i="51"/>
  <c r="K26" i="51"/>
  <c r="K15" i="51"/>
  <c r="K23" i="51"/>
  <c r="K27" i="51"/>
  <c r="K20" i="51"/>
  <c r="K17" i="51"/>
  <c r="K31" i="51"/>
  <c r="K32" i="51"/>
  <c r="K33" i="51"/>
  <c r="H51" i="51"/>
  <c r="K24" i="51"/>
  <c r="K22" i="51"/>
  <c r="K25" i="51"/>
  <c r="K30" i="51"/>
  <c r="K47" i="51"/>
  <c r="K29" i="51"/>
  <c r="H32" i="80"/>
  <c r="I32" i="80" s="1"/>
  <c r="G35" i="80"/>
  <c r="G33" i="80"/>
  <c r="G34" i="80" s="1"/>
  <c r="J27" i="113"/>
  <c r="J37" i="113"/>
  <c r="J46" i="113"/>
  <c r="J26" i="113"/>
  <c r="J41" i="113"/>
  <c r="J21" i="113"/>
  <c r="J19" i="113"/>
  <c r="J40" i="113"/>
  <c r="J23" i="113"/>
  <c r="J12" i="113"/>
  <c r="J13" i="113"/>
  <c r="J18" i="113"/>
  <c r="J28" i="113"/>
  <c r="H46" i="113"/>
  <c r="I46" i="113" s="1"/>
  <c r="J36" i="113"/>
  <c r="J38" i="113"/>
  <c r="J39" i="113"/>
  <c r="J14" i="113"/>
  <c r="J20" i="113"/>
  <c r="J31" i="113"/>
  <c r="J32" i="113"/>
  <c r="J33" i="113"/>
  <c r="J24" i="113"/>
  <c r="J22" i="113"/>
  <c r="J25" i="113"/>
  <c r="J42" i="113"/>
  <c r="J29" i="113"/>
  <c r="J30" i="113"/>
  <c r="H47" i="4"/>
  <c r="I47" i="4" s="1"/>
  <c r="G48" i="4"/>
  <c r="G49" i="4" s="1"/>
  <c r="G50" i="4"/>
  <c r="G35" i="79"/>
  <c r="H32" i="79"/>
  <c r="I32" i="79" s="1"/>
  <c r="G33" i="79"/>
  <c r="G34" i="79" s="1"/>
  <c r="J35" i="48"/>
  <c r="G50" i="46"/>
  <c r="G48" i="46"/>
  <c r="H47" i="46"/>
  <c r="I47" i="46" s="1"/>
  <c r="J45" i="48"/>
  <c r="J34" i="56"/>
  <c r="K34" i="116"/>
  <c r="J45" i="113"/>
  <c r="J35" i="73"/>
  <c r="J45" i="116"/>
  <c r="H34" i="68"/>
  <c r="I34" i="68" s="1"/>
  <c r="J43" i="48"/>
  <c r="H36" i="66"/>
  <c r="I36" i="66" s="1"/>
  <c r="I21" i="81"/>
  <c r="G45" i="7" s="1"/>
  <c r="F45" i="7"/>
  <c r="H49" i="117"/>
  <c r="I49" i="117" s="1"/>
  <c r="G51" i="117"/>
  <c r="K49" i="117" s="1"/>
  <c r="G35" i="70"/>
  <c r="J44" i="57"/>
  <c r="J21" i="51"/>
  <c r="J41" i="51"/>
  <c r="J27" i="51"/>
  <c r="J26" i="51"/>
  <c r="J18" i="51"/>
  <c r="J19" i="51"/>
  <c r="J28" i="51"/>
  <c r="J37" i="51"/>
  <c r="J23" i="51"/>
  <c r="J38" i="51"/>
  <c r="J14" i="51"/>
  <c r="J36" i="51"/>
  <c r="J13" i="51"/>
  <c r="J20" i="51"/>
  <c r="J40" i="51"/>
  <c r="J12" i="51"/>
  <c r="J39" i="51"/>
  <c r="J46" i="51"/>
  <c r="J31" i="51"/>
  <c r="J32" i="51"/>
  <c r="J33" i="51"/>
  <c r="J22" i="51"/>
  <c r="J24" i="51"/>
  <c r="J25" i="51"/>
  <c r="H46" i="51"/>
  <c r="I46" i="51" s="1"/>
  <c r="J30" i="51"/>
  <c r="J42" i="51"/>
  <c r="J29" i="51"/>
  <c r="J44" i="115"/>
  <c r="J36" i="115"/>
  <c r="J40" i="115"/>
  <c r="J37" i="115"/>
  <c r="J20" i="115"/>
  <c r="J18" i="115"/>
  <c r="J27" i="115"/>
  <c r="J46" i="115"/>
  <c r="J41" i="115"/>
  <c r="J12" i="115"/>
  <c r="H46" i="115"/>
  <c r="I46" i="115" s="1"/>
  <c r="J39" i="115"/>
  <c r="J26" i="115"/>
  <c r="J14" i="115"/>
  <c r="J13" i="115"/>
  <c r="J38" i="115"/>
  <c r="J28" i="115"/>
  <c r="J21" i="115"/>
  <c r="J19" i="115"/>
  <c r="J23" i="115"/>
  <c r="J32" i="115"/>
  <c r="J31" i="115"/>
  <c r="J33" i="115"/>
  <c r="J22" i="115"/>
  <c r="J24" i="115"/>
  <c r="J25" i="115"/>
  <c r="J29" i="115"/>
  <c r="J42" i="115"/>
  <c r="J30" i="115"/>
  <c r="J33" i="61" l="1"/>
  <c r="J19" i="61"/>
  <c r="J20" i="61"/>
  <c r="J39" i="61"/>
  <c r="J41" i="61"/>
  <c r="J42" i="61"/>
  <c r="J14" i="61"/>
  <c r="J46" i="61"/>
  <c r="J21" i="61"/>
  <c r="J32" i="61"/>
  <c r="J25" i="61"/>
  <c r="J36" i="61"/>
  <c r="J37" i="61"/>
  <c r="J28" i="61"/>
  <c r="J34" i="61"/>
  <c r="J35" i="61"/>
  <c r="J30" i="61"/>
  <c r="J22" i="61"/>
  <c r="J31" i="61"/>
  <c r="H46" i="61"/>
  <c r="I46" i="61" s="1"/>
  <c r="J12" i="61"/>
  <c r="J13" i="61"/>
  <c r="J23" i="61"/>
  <c r="J43" i="61"/>
  <c r="J44" i="61"/>
  <c r="J29" i="61"/>
  <c r="J24" i="61"/>
  <c r="J38" i="61"/>
  <c r="J18" i="61"/>
  <c r="J40" i="61"/>
  <c r="J27" i="61"/>
  <c r="J26" i="61"/>
  <c r="J34" i="65"/>
  <c r="J36" i="25"/>
  <c r="H34" i="80"/>
  <c r="I34" i="80" s="1"/>
  <c r="G36" i="80"/>
  <c r="J35" i="80" s="1"/>
  <c r="H48" i="46"/>
  <c r="I48" i="46" s="1"/>
  <c r="H35" i="80"/>
  <c r="I35" i="80" s="1"/>
  <c r="I51" i="51"/>
  <c r="I10" i="7" s="1"/>
  <c r="H10" i="7"/>
  <c r="H43" i="47"/>
  <c r="I43" i="47" s="1"/>
  <c r="J35" i="71"/>
  <c r="J33" i="71"/>
  <c r="J18" i="71"/>
  <c r="J16" i="71"/>
  <c r="J29" i="71"/>
  <c r="J28" i="71"/>
  <c r="J14" i="71"/>
  <c r="J20" i="71"/>
  <c r="J30" i="71"/>
  <c r="H38" i="71"/>
  <c r="J17" i="71"/>
  <c r="J31" i="71"/>
  <c r="J15" i="71"/>
  <c r="J13" i="71"/>
  <c r="J38" i="71"/>
  <c r="J32" i="71"/>
  <c r="J24" i="71"/>
  <c r="J25" i="71"/>
  <c r="J26" i="71"/>
  <c r="J22" i="71"/>
  <c r="J21" i="71"/>
  <c r="J19" i="71"/>
  <c r="J23" i="71"/>
  <c r="J27" i="71"/>
  <c r="J34" i="71"/>
  <c r="J37" i="71"/>
  <c r="H43" i="112"/>
  <c r="I43" i="112" s="1"/>
  <c r="G37" i="69"/>
  <c r="H35" i="69"/>
  <c r="I35" i="69" s="1"/>
  <c r="K48" i="115"/>
  <c r="K15" i="115"/>
  <c r="K16" i="115"/>
  <c r="K38" i="115"/>
  <c r="K18" i="115"/>
  <c r="K20" i="115"/>
  <c r="K36" i="115"/>
  <c r="K27" i="115"/>
  <c r="H51" i="115"/>
  <c r="K39" i="115"/>
  <c r="K37" i="115"/>
  <c r="K26" i="115"/>
  <c r="K40" i="115"/>
  <c r="K51" i="115"/>
  <c r="K28" i="115"/>
  <c r="K21" i="115"/>
  <c r="K17" i="115"/>
  <c r="K41" i="115"/>
  <c r="K19" i="115"/>
  <c r="K23" i="115"/>
  <c r="K32" i="115"/>
  <c r="K31" i="115"/>
  <c r="K33" i="115"/>
  <c r="K24" i="115"/>
  <c r="K22" i="115"/>
  <c r="K25" i="115"/>
  <c r="K47" i="115"/>
  <c r="K29" i="115"/>
  <c r="K30" i="115"/>
  <c r="K34" i="115"/>
  <c r="K35" i="115"/>
  <c r="K50" i="115"/>
  <c r="K49" i="59"/>
  <c r="K27" i="59"/>
  <c r="K26" i="59"/>
  <c r="H51" i="59"/>
  <c r="K19" i="59"/>
  <c r="K15" i="59"/>
  <c r="K20" i="59"/>
  <c r="K41" i="59"/>
  <c r="K36" i="59"/>
  <c r="K21" i="59"/>
  <c r="K23" i="59"/>
  <c r="K51" i="59"/>
  <c r="K37" i="59"/>
  <c r="K16" i="59"/>
  <c r="K39" i="59"/>
  <c r="K28" i="59"/>
  <c r="K38" i="59"/>
  <c r="K17" i="59"/>
  <c r="K40" i="59"/>
  <c r="K18" i="59"/>
  <c r="K31" i="59"/>
  <c r="K32" i="59"/>
  <c r="K33" i="59"/>
  <c r="K22" i="59"/>
  <c r="K24" i="59"/>
  <c r="K25" i="59"/>
  <c r="K30" i="59"/>
  <c r="K29" i="59"/>
  <c r="K47" i="59"/>
  <c r="K35" i="59"/>
  <c r="K34" i="59"/>
  <c r="K48" i="59"/>
  <c r="K50" i="59"/>
  <c r="H48" i="47"/>
  <c r="I48" i="47" s="1"/>
  <c r="H35" i="66"/>
  <c r="I35" i="66" s="1"/>
  <c r="G37" i="66"/>
  <c r="J35" i="66" s="1"/>
  <c r="H33" i="79"/>
  <c r="I33" i="79" s="1"/>
  <c r="H35" i="64"/>
  <c r="I35" i="64" s="1"/>
  <c r="G37" i="64"/>
  <c r="J35" i="64" s="1"/>
  <c r="J35" i="68"/>
  <c r="J31" i="68"/>
  <c r="J14" i="68"/>
  <c r="J19" i="68"/>
  <c r="J21" i="68"/>
  <c r="J12" i="68"/>
  <c r="J27" i="68"/>
  <c r="J37" i="68"/>
  <c r="J13" i="68"/>
  <c r="J28" i="68"/>
  <c r="J30" i="68"/>
  <c r="H37" i="68"/>
  <c r="J29" i="68"/>
  <c r="J32" i="68"/>
  <c r="J15" i="68"/>
  <c r="J17" i="68"/>
  <c r="J23" i="68"/>
  <c r="J24" i="68"/>
  <c r="J25" i="68"/>
  <c r="J18" i="68"/>
  <c r="J16" i="68"/>
  <c r="J20" i="68"/>
  <c r="J22" i="68"/>
  <c r="J33" i="68"/>
  <c r="J26" i="68"/>
  <c r="I38" i="72"/>
  <c r="I27" i="7" s="1"/>
  <c r="H27" i="7"/>
  <c r="J12" i="62"/>
  <c r="J28" i="62"/>
  <c r="J14" i="62"/>
  <c r="J20" i="62"/>
  <c r="J39" i="62"/>
  <c r="J23" i="62"/>
  <c r="H46" i="62"/>
  <c r="I46" i="62" s="1"/>
  <c r="J37" i="62"/>
  <c r="J40" i="62"/>
  <c r="J21" i="62"/>
  <c r="J36" i="62"/>
  <c r="J41" i="62"/>
  <c r="J46" i="62"/>
  <c r="J19" i="62"/>
  <c r="J26" i="62"/>
  <c r="J27" i="62"/>
  <c r="J13" i="62"/>
  <c r="J18" i="62"/>
  <c r="J38" i="62"/>
  <c r="J31" i="62"/>
  <c r="J32" i="62"/>
  <c r="J33" i="62"/>
  <c r="J24" i="62"/>
  <c r="J22" i="62"/>
  <c r="J25" i="62"/>
  <c r="J30" i="62"/>
  <c r="J42" i="62"/>
  <c r="J29" i="62"/>
  <c r="J45" i="62"/>
  <c r="J34" i="62"/>
  <c r="J35" i="62"/>
  <c r="J43" i="62"/>
  <c r="H18" i="7"/>
  <c r="I51" i="58"/>
  <c r="I18" i="7" s="1"/>
  <c r="K37" i="53"/>
  <c r="K21" i="53"/>
  <c r="K17" i="53"/>
  <c r="K28" i="53"/>
  <c r="K39" i="53"/>
  <c r="K20" i="53"/>
  <c r="K38" i="53"/>
  <c r="K51" i="53"/>
  <c r="K27" i="53"/>
  <c r="K18" i="53"/>
  <c r="K26" i="53"/>
  <c r="K23" i="53"/>
  <c r="K41" i="53"/>
  <c r="K16" i="53"/>
  <c r="K15" i="53"/>
  <c r="K40" i="53"/>
  <c r="K19" i="53"/>
  <c r="K36" i="53"/>
  <c r="K32" i="53"/>
  <c r="K31" i="53"/>
  <c r="K33" i="53"/>
  <c r="H51" i="53"/>
  <c r="K22" i="53"/>
  <c r="K24" i="53"/>
  <c r="K25" i="53"/>
  <c r="K29" i="53"/>
  <c r="K30" i="53"/>
  <c r="K47" i="53"/>
  <c r="K35" i="53"/>
  <c r="K34" i="53"/>
  <c r="K48" i="53"/>
  <c r="K50" i="53"/>
  <c r="G34" i="81"/>
  <c r="H33" i="81"/>
  <c r="I33" i="81" s="1"/>
  <c r="J34" i="50"/>
  <c r="J13" i="50"/>
  <c r="H46" i="50"/>
  <c r="I46" i="50" s="1"/>
  <c r="J18" i="50"/>
  <c r="J46" i="50"/>
  <c r="J19" i="50"/>
  <c r="J26" i="50"/>
  <c r="J14" i="50"/>
  <c r="J41" i="50"/>
  <c r="J40" i="50"/>
  <c r="J36" i="50"/>
  <c r="J27" i="50"/>
  <c r="J20" i="50"/>
  <c r="J21" i="50"/>
  <c r="J39" i="50"/>
  <c r="J23" i="50"/>
  <c r="J38" i="50"/>
  <c r="J28" i="50"/>
  <c r="J37" i="50"/>
  <c r="J12" i="50"/>
  <c r="J32" i="50"/>
  <c r="J31" i="50"/>
  <c r="J33" i="50"/>
  <c r="J22" i="50"/>
  <c r="J24" i="50"/>
  <c r="J25" i="50"/>
  <c r="J42" i="50"/>
  <c r="J29" i="50"/>
  <c r="J30" i="50"/>
  <c r="J45" i="50"/>
  <c r="J43" i="50"/>
  <c r="J35" i="50"/>
  <c r="H50" i="47"/>
  <c r="I50" i="47" s="1"/>
  <c r="J17" i="5"/>
  <c r="J13" i="5"/>
  <c r="J29" i="5"/>
  <c r="J16" i="5"/>
  <c r="J28" i="5"/>
  <c r="J38" i="5"/>
  <c r="J18" i="5"/>
  <c r="H38" i="5"/>
  <c r="J15" i="5"/>
  <c r="J20" i="5"/>
  <c r="J14" i="5"/>
  <c r="J31" i="5"/>
  <c r="J33" i="5"/>
  <c r="J30" i="5"/>
  <c r="J32" i="5"/>
  <c r="J24" i="5"/>
  <c r="J25" i="5"/>
  <c r="J26" i="5"/>
  <c r="J22" i="5"/>
  <c r="J19" i="5"/>
  <c r="J21" i="5"/>
  <c r="J23" i="5"/>
  <c r="J27" i="5"/>
  <c r="J34" i="5"/>
  <c r="J37" i="5"/>
  <c r="J35" i="5"/>
  <c r="H45" i="4"/>
  <c r="I45" i="4" s="1"/>
  <c r="K27" i="57"/>
  <c r="K38" i="57"/>
  <c r="K26" i="57"/>
  <c r="K15" i="57"/>
  <c r="K20" i="57"/>
  <c r="K40" i="57"/>
  <c r="K51" i="57"/>
  <c r="K39" i="57"/>
  <c r="K19" i="57"/>
  <c r="K36" i="57"/>
  <c r="K17" i="57"/>
  <c r="K16" i="57"/>
  <c r="K28" i="57"/>
  <c r="K41" i="57"/>
  <c r="K37" i="57"/>
  <c r="K23" i="57"/>
  <c r="K18" i="57"/>
  <c r="K21" i="57"/>
  <c r="H51" i="57"/>
  <c r="K32" i="57"/>
  <c r="K31" i="57"/>
  <c r="K33" i="57"/>
  <c r="K24" i="57"/>
  <c r="K22" i="57"/>
  <c r="K25" i="57"/>
  <c r="K30" i="57"/>
  <c r="K47" i="57"/>
  <c r="K29" i="57"/>
  <c r="K35" i="57"/>
  <c r="K50" i="57"/>
  <c r="K48" i="57"/>
  <c r="K34" i="57"/>
  <c r="G49" i="46"/>
  <c r="H50" i="4"/>
  <c r="I50" i="4" s="1"/>
  <c r="H45" i="47"/>
  <c r="I45" i="47" s="1"/>
  <c r="K49" i="50"/>
  <c r="K38" i="50"/>
  <c r="K40" i="50"/>
  <c r="K17" i="50"/>
  <c r="K27" i="50"/>
  <c r="K36" i="50"/>
  <c r="K18" i="50"/>
  <c r="K26" i="50"/>
  <c r="K41" i="50"/>
  <c r="K20" i="50"/>
  <c r="K15" i="50"/>
  <c r="K21" i="50"/>
  <c r="K16" i="50"/>
  <c r="K28" i="50"/>
  <c r="K51" i="50"/>
  <c r="K39" i="50"/>
  <c r="K37" i="50"/>
  <c r="H51" i="50"/>
  <c r="K19" i="50"/>
  <c r="K23" i="50"/>
  <c r="K31" i="50"/>
  <c r="K32" i="50"/>
  <c r="K33" i="50"/>
  <c r="K24" i="50"/>
  <c r="K22" i="50"/>
  <c r="K25" i="50"/>
  <c r="K29" i="50"/>
  <c r="K47" i="50"/>
  <c r="K30" i="50"/>
  <c r="K34" i="50"/>
  <c r="K35" i="50"/>
  <c r="K50" i="50"/>
  <c r="K48" i="50"/>
  <c r="H22" i="7"/>
  <c r="I51" i="61"/>
  <c r="I22" i="7" s="1"/>
  <c r="K35" i="52"/>
  <c r="K38" i="52"/>
  <c r="K37" i="52"/>
  <c r="K28" i="52"/>
  <c r="K40" i="52"/>
  <c r="K26" i="52"/>
  <c r="K18" i="52"/>
  <c r="K51" i="52"/>
  <c r="K36" i="52"/>
  <c r="K39" i="52"/>
  <c r="K20" i="52"/>
  <c r="K27" i="52"/>
  <c r="K16" i="52"/>
  <c r="K23" i="52"/>
  <c r="K21" i="52"/>
  <c r="K15" i="52"/>
  <c r="K41" i="52"/>
  <c r="K19" i="52"/>
  <c r="K17" i="52"/>
  <c r="K32" i="52"/>
  <c r="K31" i="52"/>
  <c r="K33" i="52"/>
  <c r="H51" i="52"/>
  <c r="K24" i="52"/>
  <c r="K22" i="52"/>
  <c r="K25" i="52"/>
  <c r="K29" i="52"/>
  <c r="K30" i="52"/>
  <c r="K47" i="52"/>
  <c r="K34" i="52"/>
  <c r="K50" i="52"/>
  <c r="K48" i="52"/>
  <c r="I38" i="73"/>
  <c r="I28" i="7" s="1"/>
  <c r="H28" i="7"/>
  <c r="K26" i="54"/>
  <c r="K38" i="54"/>
  <c r="K16" i="54"/>
  <c r="K51" i="54"/>
  <c r="K41" i="54"/>
  <c r="K39" i="54"/>
  <c r="K40" i="54"/>
  <c r="K15" i="54"/>
  <c r="K17" i="54"/>
  <c r="K21" i="54"/>
  <c r="K36" i="54"/>
  <c r="K27" i="54"/>
  <c r="K20" i="54"/>
  <c r="K18" i="54"/>
  <c r="H51" i="54"/>
  <c r="K28" i="54"/>
  <c r="K37" i="54"/>
  <c r="K19" i="54"/>
  <c r="K23" i="54"/>
  <c r="K31" i="54"/>
  <c r="K32" i="54"/>
  <c r="K33" i="54"/>
  <c r="K22" i="54"/>
  <c r="K24" i="54"/>
  <c r="K25" i="54"/>
  <c r="K30" i="54"/>
  <c r="K29" i="54"/>
  <c r="K47" i="54"/>
  <c r="K34" i="54"/>
  <c r="K48" i="54"/>
  <c r="K50" i="54"/>
  <c r="K35" i="54"/>
  <c r="I51" i="116"/>
  <c r="I23" i="7" s="1"/>
  <c r="H23" i="7"/>
  <c r="G44" i="112"/>
  <c r="J31" i="65"/>
  <c r="J37" i="65"/>
  <c r="J12" i="65"/>
  <c r="J28" i="65"/>
  <c r="J19" i="65"/>
  <c r="J13" i="65"/>
  <c r="J29" i="65"/>
  <c r="J14" i="65"/>
  <c r="J30" i="65"/>
  <c r="J21" i="65"/>
  <c r="J32" i="65"/>
  <c r="H37" i="65"/>
  <c r="J27" i="65"/>
  <c r="J15" i="65"/>
  <c r="J17" i="65"/>
  <c r="J23" i="65"/>
  <c r="J24" i="65"/>
  <c r="J25" i="65"/>
  <c r="J16" i="65"/>
  <c r="J18" i="65"/>
  <c r="J20" i="65"/>
  <c r="J22" i="65"/>
  <c r="J33" i="65"/>
  <c r="J26" i="65"/>
  <c r="J37" i="59"/>
  <c r="J36" i="59"/>
  <c r="J40" i="59"/>
  <c r="J12" i="59"/>
  <c r="J38" i="59"/>
  <c r="J13" i="59"/>
  <c r="J28" i="59"/>
  <c r="H46" i="59"/>
  <c r="I46" i="59" s="1"/>
  <c r="J41" i="59"/>
  <c r="J39" i="59"/>
  <c r="J14" i="59"/>
  <c r="J20" i="59"/>
  <c r="J23" i="59"/>
  <c r="J18" i="59"/>
  <c r="J46" i="59"/>
  <c r="J26" i="59"/>
  <c r="J21" i="59"/>
  <c r="J19" i="59"/>
  <c r="J27" i="59"/>
  <c r="J32" i="59"/>
  <c r="J31" i="59"/>
  <c r="J33" i="59"/>
  <c r="J24" i="59"/>
  <c r="J22" i="59"/>
  <c r="J25" i="59"/>
  <c r="J42" i="59"/>
  <c r="J30" i="59"/>
  <c r="J29" i="59"/>
  <c r="J34" i="59"/>
  <c r="J35" i="59"/>
  <c r="J45" i="59"/>
  <c r="J43" i="59"/>
  <c r="H34" i="112"/>
  <c r="I34" i="112" s="1"/>
  <c r="H6" i="7"/>
  <c r="I51" i="48"/>
  <c r="I6" i="7" s="1"/>
  <c r="K49" i="115"/>
  <c r="J44" i="62"/>
  <c r="J38" i="117"/>
  <c r="J27" i="117"/>
  <c r="H46" i="117"/>
  <c r="I46" i="117" s="1"/>
  <c r="J40" i="117"/>
  <c r="J28" i="117"/>
  <c r="J21" i="117"/>
  <c r="J20" i="117"/>
  <c r="J18" i="117"/>
  <c r="J37" i="117"/>
  <c r="J36" i="117"/>
  <c r="J23" i="117"/>
  <c r="J46" i="117"/>
  <c r="J13" i="117"/>
  <c r="J12" i="117"/>
  <c r="J19" i="117"/>
  <c r="J14" i="117"/>
  <c r="J41" i="117"/>
  <c r="J39" i="117"/>
  <c r="J26" i="117"/>
  <c r="J31" i="117"/>
  <c r="J32" i="117"/>
  <c r="J33" i="117"/>
  <c r="J24" i="117"/>
  <c r="J22" i="117"/>
  <c r="J25" i="117"/>
  <c r="J30" i="117"/>
  <c r="J29" i="117"/>
  <c r="J42" i="117"/>
  <c r="J34" i="117"/>
  <c r="J43" i="117"/>
  <c r="J45" i="117"/>
  <c r="J35" i="117"/>
  <c r="H43" i="46"/>
  <c r="I43" i="46" s="1"/>
  <c r="H34" i="4"/>
  <c r="I34" i="4" s="1"/>
  <c r="J45" i="54"/>
  <c r="J13" i="54"/>
  <c r="J27" i="54"/>
  <c r="J41" i="54"/>
  <c r="J12" i="54"/>
  <c r="J20" i="54"/>
  <c r="J40" i="54"/>
  <c r="J18" i="54"/>
  <c r="J37" i="54"/>
  <c r="J26" i="54"/>
  <c r="J39" i="54"/>
  <c r="J36" i="54"/>
  <c r="J38" i="54"/>
  <c r="J28" i="54"/>
  <c r="J21" i="54"/>
  <c r="H46" i="54"/>
  <c r="I46" i="54" s="1"/>
  <c r="J46" i="54"/>
  <c r="J14" i="54"/>
  <c r="J19" i="54"/>
  <c r="J23" i="54"/>
  <c r="J31" i="54"/>
  <c r="J32" i="54"/>
  <c r="J33" i="54"/>
  <c r="J24" i="54"/>
  <c r="J22" i="54"/>
  <c r="J25" i="54"/>
  <c r="J42" i="54"/>
  <c r="J29" i="54"/>
  <c r="J30" i="54"/>
  <c r="J34" i="54"/>
  <c r="J35" i="54"/>
  <c r="J43" i="54"/>
  <c r="I38" i="74"/>
  <c r="I29" i="7" s="1"/>
  <c r="H29" i="7"/>
  <c r="K50" i="62"/>
  <c r="K37" i="62"/>
  <c r="K40" i="62"/>
  <c r="K17" i="62"/>
  <c r="K38" i="62"/>
  <c r="H51" i="62"/>
  <c r="K19" i="62"/>
  <c r="K41" i="62"/>
  <c r="K21" i="62"/>
  <c r="K23" i="62"/>
  <c r="K28" i="62"/>
  <c r="K20" i="62"/>
  <c r="K18" i="62"/>
  <c r="K26" i="62"/>
  <c r="K51" i="62"/>
  <c r="K16" i="62"/>
  <c r="K15" i="62"/>
  <c r="K39" i="62"/>
  <c r="K27" i="62"/>
  <c r="K36" i="62"/>
  <c r="K32" i="62"/>
  <c r="K31" i="62"/>
  <c r="K33" i="62"/>
  <c r="K22" i="62"/>
  <c r="K24" i="62"/>
  <c r="K25" i="62"/>
  <c r="K47" i="62"/>
  <c r="K29" i="62"/>
  <c r="K30" i="62"/>
  <c r="K35" i="62"/>
  <c r="K48" i="62"/>
  <c r="K34" i="62"/>
  <c r="K49" i="114"/>
  <c r="K18" i="114"/>
  <c r="K51" i="114"/>
  <c r="K16" i="114"/>
  <c r="K28" i="114"/>
  <c r="K27" i="114"/>
  <c r="K15" i="114"/>
  <c r="K20" i="114"/>
  <c r="K40" i="114"/>
  <c r="K19" i="114"/>
  <c r="K37" i="114"/>
  <c r="K23" i="114"/>
  <c r="K41" i="114"/>
  <c r="K26" i="114"/>
  <c r="K36" i="114"/>
  <c r="K21" i="114"/>
  <c r="K39" i="114"/>
  <c r="K17" i="114"/>
  <c r="K38" i="114"/>
  <c r="K31" i="114"/>
  <c r="K32" i="114"/>
  <c r="K33" i="114"/>
  <c r="H51" i="114"/>
  <c r="K22" i="114"/>
  <c r="K24" i="114"/>
  <c r="K25" i="114"/>
  <c r="K29" i="114"/>
  <c r="K30" i="114"/>
  <c r="K47" i="114"/>
  <c r="K50" i="114"/>
  <c r="K34" i="114"/>
  <c r="K35" i="114"/>
  <c r="K48" i="114"/>
  <c r="K49" i="60"/>
  <c r="K16" i="60"/>
  <c r="K41" i="60"/>
  <c r="K20" i="60"/>
  <c r="K23" i="60"/>
  <c r="K38" i="60"/>
  <c r="K17" i="60"/>
  <c r="K51" i="60"/>
  <c r="K40" i="60"/>
  <c r="K26" i="60"/>
  <c r="K21" i="60"/>
  <c r="K39" i="60"/>
  <c r="K37" i="60"/>
  <c r="K28" i="60"/>
  <c r="K19" i="60"/>
  <c r="K15" i="60"/>
  <c r="K36" i="60"/>
  <c r="K18" i="60"/>
  <c r="K27" i="60"/>
  <c r="H51" i="60"/>
  <c r="K31" i="60"/>
  <c r="K32" i="60"/>
  <c r="K33" i="60"/>
  <c r="K24" i="60"/>
  <c r="K22" i="60"/>
  <c r="K25" i="60"/>
  <c r="K30" i="60"/>
  <c r="K29" i="60"/>
  <c r="K47" i="60"/>
  <c r="K35" i="60"/>
  <c r="K50" i="60"/>
  <c r="K34" i="60"/>
  <c r="K48" i="60"/>
  <c r="H48" i="112"/>
  <c r="I48" i="112" s="1"/>
  <c r="H35" i="81"/>
  <c r="I35" i="81" s="1"/>
  <c r="J41" i="60"/>
  <c r="H46" i="60"/>
  <c r="I46" i="60" s="1"/>
  <c r="J38" i="60"/>
  <c r="J23" i="60"/>
  <c r="J18" i="60"/>
  <c r="J27" i="60"/>
  <c r="J26" i="60"/>
  <c r="J21" i="60"/>
  <c r="J12" i="60"/>
  <c r="J40" i="60"/>
  <c r="J39" i="60"/>
  <c r="J20" i="60"/>
  <c r="J46" i="60"/>
  <c r="J37" i="60"/>
  <c r="J13" i="60"/>
  <c r="J36" i="60"/>
  <c r="J28" i="60"/>
  <c r="J14" i="60"/>
  <c r="J19" i="60"/>
  <c r="J31" i="60"/>
  <c r="J32" i="60"/>
  <c r="J33" i="60"/>
  <c r="J22" i="60"/>
  <c r="J24" i="60"/>
  <c r="J25" i="60"/>
  <c r="J42" i="60"/>
  <c r="J29" i="60"/>
  <c r="J30" i="60"/>
  <c r="J35" i="60"/>
  <c r="J34" i="60"/>
  <c r="J45" i="60"/>
  <c r="J43" i="60"/>
  <c r="K48" i="56"/>
  <c r="K17" i="56"/>
  <c r="K40" i="56"/>
  <c r="K37" i="56"/>
  <c r="K38" i="56"/>
  <c r="K20" i="56"/>
  <c r="K39" i="56"/>
  <c r="K26" i="56"/>
  <c r="K16" i="56"/>
  <c r="K28" i="56"/>
  <c r="K21" i="56"/>
  <c r="K51" i="56"/>
  <c r="K15" i="56"/>
  <c r="K41" i="56"/>
  <c r="K36" i="56"/>
  <c r="H51" i="56"/>
  <c r="K27" i="56"/>
  <c r="K18" i="56"/>
  <c r="K19" i="56"/>
  <c r="K23" i="56"/>
  <c r="K32" i="56"/>
  <c r="K31" i="56"/>
  <c r="K33" i="56"/>
  <c r="K22" i="56"/>
  <c r="K24" i="56"/>
  <c r="K25" i="56"/>
  <c r="K47" i="56"/>
  <c r="K29" i="56"/>
  <c r="K30" i="56"/>
  <c r="K50" i="56"/>
  <c r="K35" i="56"/>
  <c r="K34" i="56"/>
  <c r="H35" i="46"/>
  <c r="I35" i="46" s="1"/>
  <c r="H34" i="79"/>
  <c r="I34" i="79" s="1"/>
  <c r="G36" i="79"/>
  <c r="J33" i="79" s="1"/>
  <c r="I51" i="113"/>
  <c r="I8" i="7" s="1"/>
  <c r="H8" i="7"/>
  <c r="H34" i="46"/>
  <c r="I34" i="46" s="1"/>
  <c r="G44" i="4"/>
  <c r="H43" i="4"/>
  <c r="I43" i="4" s="1"/>
  <c r="K35" i="117"/>
  <c r="K26" i="117"/>
  <c r="K17" i="117"/>
  <c r="K41" i="117"/>
  <c r="K16" i="117"/>
  <c r="K37" i="117"/>
  <c r="K19" i="117"/>
  <c r="K39" i="117"/>
  <c r="H51" i="117"/>
  <c r="K23" i="117"/>
  <c r="K20" i="117"/>
  <c r="K40" i="117"/>
  <c r="K28" i="117"/>
  <c r="K51" i="117"/>
  <c r="K27" i="117"/>
  <c r="K18" i="117"/>
  <c r="K38" i="117"/>
  <c r="K15" i="117"/>
  <c r="K21" i="117"/>
  <c r="K36" i="117"/>
  <c r="K31" i="117"/>
  <c r="K32" i="117"/>
  <c r="K33" i="117"/>
  <c r="K22" i="117"/>
  <c r="K24" i="117"/>
  <c r="K25" i="117"/>
  <c r="K29" i="117"/>
  <c r="K47" i="117"/>
  <c r="K30" i="117"/>
  <c r="K50" i="117"/>
  <c r="K48" i="117"/>
  <c r="K34" i="117"/>
  <c r="H50" i="46"/>
  <c r="I50" i="46" s="1"/>
  <c r="G51" i="4"/>
  <c r="H49" i="4"/>
  <c r="I49" i="4" s="1"/>
  <c r="H35" i="112"/>
  <c r="I35" i="112" s="1"/>
  <c r="H34" i="47"/>
  <c r="I34" i="47" s="1"/>
  <c r="H45" i="112"/>
  <c r="I45" i="112" s="1"/>
  <c r="G46" i="46"/>
  <c r="J35" i="46" s="1"/>
  <c r="H44" i="46"/>
  <c r="I44" i="46" s="1"/>
  <c r="H35" i="47"/>
  <c r="I35" i="47" s="1"/>
  <c r="I38" i="75"/>
  <c r="I30" i="7" s="1"/>
  <c r="H30" i="7"/>
  <c r="K39" i="49"/>
  <c r="K27" i="49"/>
  <c r="K17" i="49"/>
  <c r="K36" i="49"/>
  <c r="K51" i="49"/>
  <c r="K15" i="49"/>
  <c r="K20" i="49"/>
  <c r="K19" i="49"/>
  <c r="H51" i="49"/>
  <c r="K38" i="49"/>
  <c r="K37" i="49"/>
  <c r="K28" i="49"/>
  <c r="K18" i="49"/>
  <c r="K21" i="49"/>
  <c r="K40" i="49"/>
  <c r="K16" i="49"/>
  <c r="K41" i="49"/>
  <c r="K26" i="49"/>
  <c r="K23" i="49"/>
  <c r="K31" i="49"/>
  <c r="K32" i="49"/>
  <c r="K33" i="49"/>
  <c r="K22" i="49"/>
  <c r="K24" i="49"/>
  <c r="K25" i="49"/>
  <c r="K29" i="49"/>
  <c r="K30" i="49"/>
  <c r="K47" i="49"/>
  <c r="K48" i="49"/>
  <c r="K35" i="49"/>
  <c r="K34" i="49"/>
  <c r="K50" i="49"/>
  <c r="H35" i="4"/>
  <c r="I35" i="4" s="1"/>
  <c r="G37" i="70"/>
  <c r="H35" i="70"/>
  <c r="I35" i="70" s="1"/>
  <c r="H35" i="79"/>
  <c r="I35" i="79" s="1"/>
  <c r="H48" i="4"/>
  <c r="I48" i="4" s="1"/>
  <c r="H33" i="80"/>
  <c r="I33" i="80" s="1"/>
  <c r="G44" i="47"/>
  <c r="G37" i="67"/>
  <c r="H35" i="67"/>
  <c r="I35" i="67" s="1"/>
  <c r="J36" i="71"/>
  <c r="J36" i="68"/>
  <c r="H35" i="63"/>
  <c r="I35" i="63" s="1"/>
  <c r="G37" i="63"/>
  <c r="J35" i="63" s="1"/>
  <c r="J36" i="65"/>
  <c r="J14" i="114"/>
  <c r="J39" i="114"/>
  <c r="J20" i="114"/>
  <c r="J26" i="114"/>
  <c r="J23" i="114"/>
  <c r="J36" i="114"/>
  <c r="J41" i="114"/>
  <c r="J27" i="114"/>
  <c r="J28" i="114"/>
  <c r="J46" i="114"/>
  <c r="J12" i="114"/>
  <c r="J40" i="114"/>
  <c r="J13" i="114"/>
  <c r="J37" i="114"/>
  <c r="J21" i="114"/>
  <c r="J18" i="114"/>
  <c r="J38" i="114"/>
  <c r="J19" i="114"/>
  <c r="J31" i="114"/>
  <c r="J32" i="114"/>
  <c r="J33" i="114"/>
  <c r="J24" i="114"/>
  <c r="J22" i="114"/>
  <c r="J25" i="114"/>
  <c r="J30" i="114"/>
  <c r="H46" i="114"/>
  <c r="I46" i="114" s="1"/>
  <c r="J42" i="114"/>
  <c r="J29" i="114"/>
  <c r="J35" i="114"/>
  <c r="J34" i="114"/>
  <c r="J45" i="114"/>
  <c r="J43" i="114"/>
  <c r="G51" i="112"/>
  <c r="K49" i="112" s="1"/>
  <c r="H49" i="112"/>
  <c r="I49" i="112" s="1"/>
  <c r="K49" i="49"/>
  <c r="J44" i="50"/>
  <c r="G49" i="47"/>
  <c r="J18" i="58"/>
  <c r="J13" i="58"/>
  <c r="J38" i="58"/>
  <c r="J40" i="58"/>
  <c r="J27" i="58"/>
  <c r="J21" i="58"/>
  <c r="J46" i="58"/>
  <c r="J41" i="58"/>
  <c r="J26" i="58"/>
  <c r="J20" i="58"/>
  <c r="J37" i="58"/>
  <c r="J28" i="58"/>
  <c r="J19" i="58"/>
  <c r="J14" i="58"/>
  <c r="J39" i="58"/>
  <c r="J12" i="58"/>
  <c r="H46" i="58"/>
  <c r="I46" i="58" s="1"/>
  <c r="J23" i="58"/>
  <c r="J36" i="58"/>
  <c r="J31" i="58"/>
  <c r="J32" i="58"/>
  <c r="J33" i="58"/>
  <c r="J22" i="58"/>
  <c r="J24" i="58"/>
  <c r="J25" i="58"/>
  <c r="J42" i="58"/>
  <c r="J29" i="58"/>
  <c r="J30" i="58"/>
  <c r="J43" i="58"/>
  <c r="J34" i="58"/>
  <c r="J45" i="58"/>
  <c r="J35" i="58"/>
  <c r="J35" i="25"/>
  <c r="J30" i="25"/>
  <c r="J31" i="25"/>
  <c r="J15" i="25"/>
  <c r="J27" i="25"/>
  <c r="J28" i="25"/>
  <c r="J12" i="25"/>
  <c r="J29" i="25"/>
  <c r="J14" i="25"/>
  <c r="J37" i="25"/>
  <c r="J17" i="25"/>
  <c r="J19" i="25"/>
  <c r="J32" i="25"/>
  <c r="H37" i="25"/>
  <c r="J21" i="25"/>
  <c r="J13" i="25"/>
  <c r="J23" i="25"/>
  <c r="J24" i="25"/>
  <c r="J25" i="25"/>
  <c r="J18" i="25"/>
  <c r="J16" i="25"/>
  <c r="J20" i="25"/>
  <c r="J22" i="25"/>
  <c r="J33" i="25"/>
  <c r="J26" i="25"/>
  <c r="F20" i="78"/>
  <c r="G20" i="78" s="1"/>
  <c r="F20" i="76"/>
  <c r="G20" i="76" s="1"/>
  <c r="F20" i="77"/>
  <c r="G20" i="77" s="1"/>
  <c r="J33" i="80" l="1"/>
  <c r="J35" i="79"/>
  <c r="K35" i="112"/>
  <c r="K48" i="112"/>
  <c r="K34" i="112"/>
  <c r="K18" i="4"/>
  <c r="K27" i="4"/>
  <c r="K41" i="4"/>
  <c r="K20" i="4"/>
  <c r="K16" i="4"/>
  <c r="K19" i="4"/>
  <c r="K21" i="4"/>
  <c r="K17" i="4"/>
  <c r="H51" i="4"/>
  <c r="K36" i="4"/>
  <c r="K40" i="4"/>
  <c r="K39" i="4"/>
  <c r="K37" i="4"/>
  <c r="K26" i="4"/>
  <c r="K23" i="4"/>
  <c r="K28" i="4"/>
  <c r="K51" i="4"/>
  <c r="K38" i="4"/>
  <c r="K15" i="4"/>
  <c r="K31" i="4"/>
  <c r="K32" i="4"/>
  <c r="K33" i="4"/>
  <c r="K22" i="4"/>
  <c r="K24" i="4"/>
  <c r="K25" i="4"/>
  <c r="K29" i="4"/>
  <c r="K30" i="4"/>
  <c r="K47" i="4"/>
  <c r="H9" i="7"/>
  <c r="I51" i="50"/>
  <c r="I9" i="7" s="1"/>
  <c r="H17" i="7"/>
  <c r="I51" i="57"/>
  <c r="I17" i="7" s="1"/>
  <c r="I51" i="59"/>
  <c r="I20" i="7" s="1"/>
  <c r="H20" i="7"/>
  <c r="K48" i="4"/>
  <c r="H7" i="7"/>
  <c r="I51" i="49"/>
  <c r="I7" i="7" s="1"/>
  <c r="G46" i="4"/>
  <c r="H44" i="4"/>
  <c r="I44" i="4" s="1"/>
  <c r="J43" i="46"/>
  <c r="I37" i="68"/>
  <c r="I37" i="7" s="1"/>
  <c r="H37" i="7"/>
  <c r="J35" i="69"/>
  <c r="J27" i="69"/>
  <c r="J29" i="69"/>
  <c r="J31" i="69"/>
  <c r="J12" i="69"/>
  <c r="J30" i="69"/>
  <c r="J28" i="69"/>
  <c r="J21" i="69"/>
  <c r="J32" i="69"/>
  <c r="J14" i="69"/>
  <c r="H37" i="69"/>
  <c r="J19" i="69"/>
  <c r="J13" i="69"/>
  <c r="J37" i="69"/>
  <c r="J15" i="69"/>
  <c r="J17" i="69"/>
  <c r="J23" i="69"/>
  <c r="J24" i="69"/>
  <c r="J25" i="69"/>
  <c r="J18" i="69"/>
  <c r="J16" i="69"/>
  <c r="J20" i="69"/>
  <c r="J22" i="69"/>
  <c r="J33" i="69"/>
  <c r="J26" i="69"/>
  <c r="J34" i="69"/>
  <c r="J36" i="69"/>
  <c r="G51" i="47"/>
  <c r="H49" i="47"/>
  <c r="I49" i="47" s="1"/>
  <c r="G46" i="47"/>
  <c r="H44" i="47"/>
  <c r="I44" i="47" s="1"/>
  <c r="J35" i="70"/>
  <c r="J32" i="70"/>
  <c r="H37" i="70"/>
  <c r="J19" i="70"/>
  <c r="J13" i="70"/>
  <c r="J21" i="70"/>
  <c r="J30" i="70"/>
  <c r="J14" i="70"/>
  <c r="J31" i="70"/>
  <c r="J37" i="70"/>
  <c r="J12" i="70"/>
  <c r="J28" i="70"/>
  <c r="J29" i="70"/>
  <c r="J27" i="70"/>
  <c r="J15" i="70"/>
  <c r="J17" i="70"/>
  <c r="J24" i="70"/>
  <c r="J23" i="70"/>
  <c r="J25" i="70"/>
  <c r="J16" i="70"/>
  <c r="J18" i="70"/>
  <c r="J20" i="70"/>
  <c r="J22" i="70"/>
  <c r="J26" i="70"/>
  <c r="J33" i="70"/>
  <c r="J36" i="70"/>
  <c r="J34" i="70"/>
  <c r="K49" i="4"/>
  <c r="H19" i="7"/>
  <c r="I51" i="117"/>
  <c r="I19" i="7" s="1"/>
  <c r="I51" i="62"/>
  <c r="I24" i="7" s="1"/>
  <c r="H24" i="7"/>
  <c r="K34" i="4"/>
  <c r="I37" i="65"/>
  <c r="I34" i="7" s="1"/>
  <c r="H34" i="7"/>
  <c r="G46" i="112"/>
  <c r="J44" i="112" s="1"/>
  <c r="H44" i="112"/>
  <c r="I44" i="112" s="1"/>
  <c r="I51" i="54"/>
  <c r="I14" i="7" s="1"/>
  <c r="H14" i="7"/>
  <c r="H49" i="46"/>
  <c r="I49" i="46" s="1"/>
  <c r="G51" i="46"/>
  <c r="K49" i="46" s="1"/>
  <c r="H13" i="7"/>
  <c r="I51" i="53"/>
  <c r="I13" i="7" s="1"/>
  <c r="J36" i="64"/>
  <c r="J19" i="64"/>
  <c r="J29" i="64"/>
  <c r="J31" i="64"/>
  <c r="J27" i="64"/>
  <c r="J30" i="64"/>
  <c r="H37" i="64"/>
  <c r="J17" i="64"/>
  <c r="J21" i="64"/>
  <c r="J32" i="64"/>
  <c r="J14" i="64"/>
  <c r="J15" i="64"/>
  <c r="J37" i="64"/>
  <c r="J12" i="64"/>
  <c r="J13" i="64"/>
  <c r="J28" i="64"/>
  <c r="J23" i="64"/>
  <c r="J24" i="64"/>
  <c r="J25" i="64"/>
  <c r="J16" i="64"/>
  <c r="J18" i="64"/>
  <c r="J20" i="64"/>
  <c r="J22" i="64"/>
  <c r="J26" i="64"/>
  <c r="J33" i="64"/>
  <c r="J34" i="64"/>
  <c r="J34" i="80"/>
  <c r="H36" i="80"/>
  <c r="J31" i="80"/>
  <c r="J28" i="80"/>
  <c r="J29" i="80"/>
  <c r="J36" i="80"/>
  <c r="J14" i="80"/>
  <c r="J18" i="80"/>
  <c r="J26" i="80"/>
  <c r="J15" i="80"/>
  <c r="J27" i="80"/>
  <c r="J13" i="80"/>
  <c r="J16" i="80"/>
  <c r="J30" i="80"/>
  <c r="J22" i="80"/>
  <c r="J23" i="80"/>
  <c r="J24" i="80"/>
  <c r="J20" i="80"/>
  <c r="J17" i="80"/>
  <c r="J19" i="80"/>
  <c r="J21" i="80"/>
  <c r="J32" i="80"/>
  <c r="J25" i="80"/>
  <c r="H31" i="7"/>
  <c r="I37" i="25"/>
  <c r="I31" i="7" s="1"/>
  <c r="I51" i="56"/>
  <c r="I16" i="7" s="1"/>
  <c r="H16" i="7"/>
  <c r="H11" i="7"/>
  <c r="I51" i="52"/>
  <c r="I11" i="7" s="1"/>
  <c r="K50" i="4"/>
  <c r="H26" i="7"/>
  <c r="I38" i="71"/>
  <c r="I26" i="7" s="1"/>
  <c r="J14" i="67"/>
  <c r="J27" i="67"/>
  <c r="J32" i="67"/>
  <c r="J12" i="67"/>
  <c r="J13" i="67"/>
  <c r="H37" i="67"/>
  <c r="J28" i="67"/>
  <c r="J37" i="67"/>
  <c r="J29" i="67"/>
  <c r="J30" i="67"/>
  <c r="J19" i="67"/>
  <c r="J21" i="67"/>
  <c r="J31" i="67"/>
  <c r="J15" i="67"/>
  <c r="J17" i="67"/>
  <c r="J24" i="67"/>
  <c r="J23" i="67"/>
  <c r="J25" i="67"/>
  <c r="J16" i="67"/>
  <c r="J18" i="67"/>
  <c r="J20" i="67"/>
  <c r="J22" i="67"/>
  <c r="J26" i="67"/>
  <c r="J33" i="67"/>
  <c r="J34" i="67"/>
  <c r="J36" i="67"/>
  <c r="J45" i="46"/>
  <c r="J26" i="46"/>
  <c r="J20" i="46"/>
  <c r="H46" i="46"/>
  <c r="I46" i="46" s="1"/>
  <c r="J40" i="46"/>
  <c r="J23" i="46"/>
  <c r="J12" i="46"/>
  <c r="J18" i="46"/>
  <c r="J14" i="46"/>
  <c r="J37" i="46"/>
  <c r="J36" i="46"/>
  <c r="J41" i="46"/>
  <c r="J21" i="46"/>
  <c r="J28" i="46"/>
  <c r="J46" i="46"/>
  <c r="J39" i="46"/>
  <c r="J38" i="46"/>
  <c r="J27" i="46"/>
  <c r="J13" i="46"/>
  <c r="J19" i="46"/>
  <c r="J31" i="46"/>
  <c r="J32" i="46"/>
  <c r="J33" i="46"/>
  <c r="J24" i="46"/>
  <c r="J22" i="46"/>
  <c r="J25" i="46"/>
  <c r="J29" i="46"/>
  <c r="J42" i="46"/>
  <c r="J30" i="46"/>
  <c r="H12" i="7"/>
  <c r="I51" i="114"/>
  <c r="I12" i="7" s="1"/>
  <c r="K50" i="112"/>
  <c r="K36" i="112"/>
  <c r="K15" i="112"/>
  <c r="K37" i="112"/>
  <c r="K26" i="112"/>
  <c r="K38" i="112"/>
  <c r="K23" i="112"/>
  <c r="K28" i="112"/>
  <c r="K41" i="112"/>
  <c r="K17" i="112"/>
  <c r="K40" i="112"/>
  <c r="K51" i="112"/>
  <c r="K18" i="112"/>
  <c r="K16" i="112"/>
  <c r="K20" i="112"/>
  <c r="K21" i="112"/>
  <c r="H51" i="112"/>
  <c r="K27" i="112"/>
  <c r="K39" i="112"/>
  <c r="K19" i="112"/>
  <c r="K32" i="112"/>
  <c r="K31" i="112"/>
  <c r="K33" i="112"/>
  <c r="K24" i="112"/>
  <c r="K22" i="112"/>
  <c r="K25" i="112"/>
  <c r="K29" i="112"/>
  <c r="K30" i="112"/>
  <c r="K47" i="112"/>
  <c r="J34" i="63"/>
  <c r="J13" i="63"/>
  <c r="J19" i="63"/>
  <c r="J30" i="63"/>
  <c r="J12" i="63"/>
  <c r="J27" i="63"/>
  <c r="J32" i="63"/>
  <c r="J29" i="63"/>
  <c r="J28" i="63"/>
  <c r="J15" i="63"/>
  <c r="H37" i="63"/>
  <c r="J17" i="63"/>
  <c r="J31" i="63"/>
  <c r="J37" i="63"/>
  <c r="J21" i="63"/>
  <c r="J14" i="63"/>
  <c r="J24" i="63"/>
  <c r="J23" i="63"/>
  <c r="J25" i="63"/>
  <c r="J16" i="63"/>
  <c r="J18" i="63"/>
  <c r="J20" i="63"/>
  <c r="J22" i="63"/>
  <c r="J26" i="63"/>
  <c r="J33" i="63"/>
  <c r="J36" i="63"/>
  <c r="J35" i="67"/>
  <c r="K35" i="4"/>
  <c r="J44" i="46"/>
  <c r="J34" i="46"/>
  <c r="J34" i="79"/>
  <c r="J26" i="79"/>
  <c r="J31" i="79"/>
  <c r="J14" i="79"/>
  <c r="J30" i="79"/>
  <c r="J36" i="79"/>
  <c r="J18" i="79"/>
  <c r="J13" i="79"/>
  <c r="J29" i="79"/>
  <c r="H36" i="79"/>
  <c r="J15" i="79"/>
  <c r="J27" i="79"/>
  <c r="J16" i="79"/>
  <c r="J28" i="79"/>
  <c r="J22" i="79"/>
  <c r="J23" i="79"/>
  <c r="J24" i="79"/>
  <c r="J20" i="79"/>
  <c r="J17" i="79"/>
  <c r="J19" i="79"/>
  <c r="J21" i="79"/>
  <c r="J32" i="79"/>
  <c r="J25" i="79"/>
  <c r="H21" i="7"/>
  <c r="I51" i="60"/>
  <c r="I21" i="7" s="1"/>
  <c r="I38" i="5"/>
  <c r="I25" i="7" s="1"/>
  <c r="H25" i="7"/>
  <c r="H34" i="81"/>
  <c r="I34" i="81" s="1"/>
  <c r="G36" i="81"/>
  <c r="J28" i="66"/>
  <c r="J31" i="66"/>
  <c r="J32" i="66"/>
  <c r="H37" i="66"/>
  <c r="J19" i="66"/>
  <c r="J12" i="66"/>
  <c r="J30" i="66"/>
  <c r="J29" i="66"/>
  <c r="J27" i="66"/>
  <c r="J37" i="66"/>
  <c r="J14" i="66"/>
  <c r="J13" i="66"/>
  <c r="J21" i="66"/>
  <c r="J15" i="66"/>
  <c r="J17" i="66"/>
  <c r="J23" i="66"/>
  <c r="J24" i="66"/>
  <c r="J25" i="66"/>
  <c r="J18" i="66"/>
  <c r="J16" i="66"/>
  <c r="J20" i="66"/>
  <c r="J22" i="66"/>
  <c r="J33" i="66"/>
  <c r="J26" i="66"/>
  <c r="J34" i="66"/>
  <c r="J36" i="66"/>
  <c r="H15" i="7"/>
  <c r="I51" i="115"/>
  <c r="I15" i="7" s="1"/>
  <c r="H20" i="76"/>
  <c r="I20" i="76" s="1"/>
  <c r="G23" i="76"/>
  <c r="H20" i="77"/>
  <c r="I20" i="77" s="1"/>
  <c r="G23" i="77"/>
  <c r="H20" i="78"/>
  <c r="I20" i="78" s="1"/>
  <c r="G23" i="78"/>
  <c r="H39" i="7" l="1"/>
  <c r="I37" i="70"/>
  <c r="I39" i="7" s="1"/>
  <c r="K51" i="47"/>
  <c r="K36" i="47"/>
  <c r="K28" i="47"/>
  <c r="K40" i="47"/>
  <c r="K39" i="47"/>
  <c r="K23" i="47"/>
  <c r="K41" i="47"/>
  <c r="K20" i="47"/>
  <c r="K21" i="47"/>
  <c r="K27" i="47"/>
  <c r="K37" i="47"/>
  <c r="K18" i="47"/>
  <c r="K17" i="47"/>
  <c r="K16" i="47"/>
  <c r="H51" i="47"/>
  <c r="K38" i="47"/>
  <c r="K26" i="47"/>
  <c r="K15" i="47"/>
  <c r="K19" i="47"/>
  <c r="K32" i="47"/>
  <c r="K31" i="47"/>
  <c r="K33" i="47"/>
  <c r="K24" i="47"/>
  <c r="K22" i="47"/>
  <c r="K25" i="47"/>
  <c r="K30" i="47"/>
  <c r="K29" i="47"/>
  <c r="K47" i="47"/>
  <c r="K50" i="47"/>
  <c r="K48" i="47"/>
  <c r="K34" i="47"/>
  <c r="K35" i="47"/>
  <c r="K37" i="46"/>
  <c r="K41" i="46"/>
  <c r="K36" i="46"/>
  <c r="K40" i="46"/>
  <c r="K23" i="46"/>
  <c r="K17" i="46"/>
  <c r="K26" i="46"/>
  <c r="K51" i="46"/>
  <c r="K18" i="46"/>
  <c r="K20" i="46"/>
  <c r="K21" i="46"/>
  <c r="K27" i="46"/>
  <c r="K16" i="46"/>
  <c r="K38" i="46"/>
  <c r="K19" i="46"/>
  <c r="K39" i="46"/>
  <c r="H51" i="46"/>
  <c r="K15" i="46"/>
  <c r="K28" i="46"/>
  <c r="K32" i="46"/>
  <c r="K31" i="46"/>
  <c r="K33" i="46"/>
  <c r="K24" i="46"/>
  <c r="K22" i="46"/>
  <c r="K25" i="46"/>
  <c r="K30" i="46"/>
  <c r="K29" i="46"/>
  <c r="K47" i="46"/>
  <c r="K35" i="46"/>
  <c r="K50" i="46"/>
  <c r="K34" i="46"/>
  <c r="K48" i="46"/>
  <c r="J46" i="47"/>
  <c r="J40" i="47"/>
  <c r="J36" i="47"/>
  <c r="J20" i="47"/>
  <c r="J26" i="47"/>
  <c r="J12" i="47"/>
  <c r="J39" i="47"/>
  <c r="J14" i="47"/>
  <c r="J23" i="47"/>
  <c r="J38" i="47"/>
  <c r="J28" i="47"/>
  <c r="J37" i="47"/>
  <c r="J21" i="47"/>
  <c r="J41" i="47"/>
  <c r="H46" i="47"/>
  <c r="I46" i="47" s="1"/>
  <c r="J19" i="47"/>
  <c r="J13" i="47"/>
  <c r="J27" i="47"/>
  <c r="J18" i="47"/>
  <c r="J32" i="47"/>
  <c r="J31" i="47"/>
  <c r="J33" i="47"/>
  <c r="J22" i="47"/>
  <c r="J24" i="47"/>
  <c r="J25" i="47"/>
  <c r="J29" i="47"/>
  <c r="J30" i="47"/>
  <c r="J42" i="47"/>
  <c r="J34" i="47"/>
  <c r="J43" i="47"/>
  <c r="J45" i="47"/>
  <c r="J35" i="47"/>
  <c r="H38" i="7"/>
  <c r="I37" i="69"/>
  <c r="I38" i="7" s="1"/>
  <c r="J21" i="4"/>
  <c r="J20" i="4"/>
  <c r="J26" i="4"/>
  <c r="J13" i="4"/>
  <c r="J38" i="4"/>
  <c r="J46" i="4"/>
  <c r="J23" i="4"/>
  <c r="J36" i="4"/>
  <c r="J14" i="4"/>
  <c r="J27" i="4"/>
  <c r="J18" i="4"/>
  <c r="J40" i="4"/>
  <c r="H46" i="4"/>
  <c r="I46" i="4" s="1"/>
  <c r="J19" i="4"/>
  <c r="J37" i="4"/>
  <c r="J41" i="4"/>
  <c r="J12" i="4"/>
  <c r="J28" i="4"/>
  <c r="J39" i="4"/>
  <c r="J32" i="4"/>
  <c r="J31" i="4"/>
  <c r="J33" i="4"/>
  <c r="J22" i="4"/>
  <c r="J24" i="4"/>
  <c r="J25" i="4"/>
  <c r="J30" i="4"/>
  <c r="J42" i="4"/>
  <c r="J29" i="4"/>
  <c r="J45" i="4"/>
  <c r="J43" i="4"/>
  <c r="J34" i="4"/>
  <c r="J35" i="4"/>
  <c r="I36" i="79"/>
  <c r="I43" i="7" s="1"/>
  <c r="H43" i="7"/>
  <c r="H4" i="7"/>
  <c r="I51" i="112"/>
  <c r="I4" i="7" s="1"/>
  <c r="I37" i="67"/>
  <c r="I36" i="7" s="1"/>
  <c r="H36" i="7"/>
  <c r="I36" i="80"/>
  <c r="I44" i="7" s="1"/>
  <c r="H44" i="7"/>
  <c r="K49" i="47"/>
  <c r="H35" i="7"/>
  <c r="I37" i="66"/>
  <c r="I35" i="7" s="1"/>
  <c r="J34" i="81"/>
  <c r="J36" i="81"/>
  <c r="J18" i="81"/>
  <c r="J15" i="81"/>
  <c r="J16" i="81"/>
  <c r="J14" i="81"/>
  <c r="J27" i="81"/>
  <c r="J29" i="81"/>
  <c r="J13" i="81"/>
  <c r="J31" i="81"/>
  <c r="H36" i="81"/>
  <c r="J26" i="81"/>
  <c r="J28" i="81"/>
  <c r="J30" i="81"/>
  <c r="J22" i="81"/>
  <c r="J23" i="81"/>
  <c r="J24" i="81"/>
  <c r="J20" i="81"/>
  <c r="J17" i="81"/>
  <c r="J19" i="81"/>
  <c r="J21" i="81"/>
  <c r="J32" i="81"/>
  <c r="J25" i="81"/>
  <c r="J35" i="81"/>
  <c r="J33" i="81"/>
  <c r="H32" i="7"/>
  <c r="I37" i="63"/>
  <c r="I32" i="7" s="1"/>
  <c r="H33" i="7"/>
  <c r="I37" i="64"/>
  <c r="I33" i="7" s="1"/>
  <c r="J38" i="112"/>
  <c r="J27" i="112"/>
  <c r="J28" i="112"/>
  <c r="J37" i="112"/>
  <c r="J19" i="112"/>
  <c r="J20" i="112"/>
  <c r="J41" i="112"/>
  <c r="J39" i="112"/>
  <c r="J14" i="112"/>
  <c r="J36" i="112"/>
  <c r="J13" i="112"/>
  <c r="J21" i="112"/>
  <c r="H46" i="112"/>
  <c r="I46" i="112" s="1"/>
  <c r="J23" i="112"/>
  <c r="J12" i="112"/>
  <c r="J40" i="112"/>
  <c r="J18" i="112"/>
  <c r="J46" i="112"/>
  <c r="J26" i="112"/>
  <c r="J31" i="112"/>
  <c r="J32" i="112"/>
  <c r="J33" i="112"/>
  <c r="J22" i="112"/>
  <c r="J24" i="112"/>
  <c r="J25" i="112"/>
  <c r="J29" i="112"/>
  <c r="J30" i="112"/>
  <c r="J42" i="112"/>
  <c r="J34" i="112"/>
  <c r="J35" i="112"/>
  <c r="J43" i="112"/>
  <c r="J45" i="112"/>
  <c r="J44" i="47"/>
  <c r="J44" i="4"/>
  <c r="I51" i="4"/>
  <c r="I2" i="7" s="1"/>
  <c r="H2" i="7"/>
  <c r="H23" i="77"/>
  <c r="G27" i="77"/>
  <c r="G34" i="77"/>
  <c r="G34" i="78"/>
  <c r="G27" i="78"/>
  <c r="H23" i="78"/>
  <c r="H23" i="76"/>
  <c r="G34" i="76"/>
  <c r="G27" i="76"/>
  <c r="H45" i="7" l="1"/>
  <c r="I36" i="81"/>
  <c r="I45" i="7" s="1"/>
  <c r="H3" i="7"/>
  <c r="I51" i="46"/>
  <c r="I3" i="7" s="1"/>
  <c r="H5" i="7"/>
  <c r="I51" i="47"/>
  <c r="I5" i="7" s="1"/>
  <c r="H27" i="76"/>
  <c r="I27" i="76" s="1"/>
  <c r="I23" i="78"/>
  <c r="G42" i="7" s="1"/>
  <c r="F42" i="7"/>
  <c r="G35" i="77"/>
  <c r="G36" i="77" s="1"/>
  <c r="G37" i="77"/>
  <c r="H37" i="77" s="1"/>
  <c r="I37" i="77" s="1"/>
  <c r="H34" i="77"/>
  <c r="I34" i="77" s="1"/>
  <c r="G37" i="76"/>
  <c r="H34" i="76"/>
  <c r="I34" i="76" s="1"/>
  <c r="G35" i="76"/>
  <c r="G36" i="76" s="1"/>
  <c r="H27" i="78"/>
  <c r="I27" i="78" s="1"/>
  <c r="H27" i="77"/>
  <c r="I27" i="77" s="1"/>
  <c r="I23" i="76"/>
  <c r="G40" i="7" s="1"/>
  <c r="F40" i="7"/>
  <c r="G35" i="78"/>
  <c r="G36" i="78" s="1"/>
  <c r="H34" i="78"/>
  <c r="I34" i="78" s="1"/>
  <c r="G37" i="78"/>
  <c r="F41" i="7"/>
  <c r="I23" i="77"/>
  <c r="G41" i="7" s="1"/>
  <c r="H36" i="77" l="1"/>
  <c r="I36" i="77" s="1"/>
  <c r="G38" i="77"/>
  <c r="J36" i="77" s="1"/>
  <c r="H36" i="78"/>
  <c r="I36" i="78" s="1"/>
  <c r="G38" i="78"/>
  <c r="J37" i="78" s="1"/>
  <c r="H35" i="76"/>
  <c r="I35" i="76" s="1"/>
  <c r="H37" i="76"/>
  <c r="I37" i="76" s="1"/>
  <c r="H37" i="78"/>
  <c r="I37" i="78" s="1"/>
  <c r="H35" i="78"/>
  <c r="I35" i="78" s="1"/>
  <c r="G38" i="76"/>
  <c r="J35" i="76" s="1"/>
  <c r="H36" i="76"/>
  <c r="I36" i="76" s="1"/>
  <c r="H35" i="77"/>
  <c r="I35" i="77" s="1"/>
  <c r="J35" i="78" l="1"/>
  <c r="J36" i="76"/>
  <c r="J29" i="76"/>
  <c r="J22" i="76"/>
  <c r="J13" i="76"/>
  <c r="J14" i="76"/>
  <c r="J33" i="76"/>
  <c r="J25" i="76"/>
  <c r="J17" i="76"/>
  <c r="J38" i="76"/>
  <c r="J31" i="76"/>
  <c r="J21" i="76"/>
  <c r="J30" i="76"/>
  <c r="J24" i="76"/>
  <c r="J19" i="76"/>
  <c r="J16" i="76"/>
  <c r="J15" i="76"/>
  <c r="J18" i="76"/>
  <c r="H38" i="76"/>
  <c r="J28" i="76"/>
  <c r="J32" i="76"/>
  <c r="J26" i="76"/>
  <c r="J20" i="76"/>
  <c r="J23" i="76"/>
  <c r="J27" i="76"/>
  <c r="J34" i="76"/>
  <c r="J37" i="76"/>
  <c r="J36" i="78"/>
  <c r="J33" i="78"/>
  <c r="J24" i="78"/>
  <c r="J16" i="78"/>
  <c r="J31" i="78"/>
  <c r="J22" i="78"/>
  <c r="J14" i="78"/>
  <c r="J18" i="78"/>
  <c r="J32" i="78"/>
  <c r="J17" i="78"/>
  <c r="H38" i="78"/>
  <c r="J21" i="78"/>
  <c r="J13" i="78"/>
  <c r="J26" i="78"/>
  <c r="J28" i="78"/>
  <c r="J15" i="78"/>
  <c r="J30" i="78"/>
  <c r="J29" i="78"/>
  <c r="J38" i="78"/>
  <c r="J25" i="78"/>
  <c r="J19" i="78"/>
  <c r="J20" i="78"/>
  <c r="J23" i="78"/>
  <c r="J27" i="78"/>
  <c r="J34" i="78"/>
  <c r="J37" i="77"/>
  <c r="J31" i="77"/>
  <c r="J26" i="77"/>
  <c r="J24" i="77"/>
  <c r="J13" i="77"/>
  <c r="J33" i="77"/>
  <c r="J25" i="77"/>
  <c r="J17" i="77"/>
  <c r="J18" i="77"/>
  <c r="J28" i="77"/>
  <c r="J38" i="77"/>
  <c r="J15" i="77"/>
  <c r="J16" i="77"/>
  <c r="J21" i="77"/>
  <c r="J19" i="77"/>
  <c r="J30" i="77"/>
  <c r="J22" i="77"/>
  <c r="H38" i="77"/>
  <c r="J14" i="77"/>
  <c r="J29" i="77"/>
  <c r="J32" i="77"/>
  <c r="J20" i="77"/>
  <c r="J23" i="77"/>
  <c r="J34" i="77"/>
  <c r="J27" i="77"/>
  <c r="J35" i="77"/>
  <c r="H40" i="7" l="1"/>
  <c r="I38" i="76"/>
  <c r="I40" i="7" s="1"/>
  <c r="H41" i="7"/>
  <c r="I38" i="77"/>
  <c r="I41" i="7" s="1"/>
  <c r="H42" i="7"/>
  <c r="I38" i="78"/>
  <c r="I42" i="7" s="1"/>
</calcChain>
</file>

<file path=xl/comments1.xml><?xml version="1.0" encoding="utf-8"?>
<comments xmlns="http://schemas.openxmlformats.org/spreadsheetml/2006/main">
  <authors>
    <author>Yun(Eva) Gao</author>
    <author>KIM Susan</author>
    <author>AKSELRUD Uri</author>
  </authors>
  <commentList>
    <comment ref="W5" authorId="0">
      <text>
        <r>
          <rPr>
            <sz val="8"/>
            <color indexed="81"/>
            <rFont val="Tahoma"/>
            <family val="2"/>
          </rPr>
          <t>INCLUDES NEW RSVA WMSC FOR CLASS B ONLY</t>
        </r>
        <r>
          <rPr>
            <sz val="8"/>
            <color indexed="81"/>
            <rFont val="Tahoma"/>
            <family val="2"/>
          </rPr>
          <t xml:space="preserve">
</t>
        </r>
      </text>
    </comment>
    <comment ref="G8" authorId="1">
      <text>
        <r>
          <rPr>
            <sz val="8"/>
            <color indexed="81"/>
            <rFont val="Tahoma"/>
            <family val="2"/>
          </rPr>
          <t xml:space="preserve">
includes RRRP credit
</t>
        </r>
      </text>
    </comment>
    <comment ref="Y15" authorId="2">
      <text>
        <r>
          <rPr>
            <sz val="9"/>
            <color indexed="81"/>
            <rFont val="Tahoma"/>
            <family val="2"/>
          </rPr>
          <t>uplifted for applicable line losses</t>
        </r>
      </text>
    </comment>
    <comment ref="Y16" authorId="2">
      <text>
        <r>
          <rPr>
            <sz val="9"/>
            <color indexed="81"/>
            <rFont val="Tahoma"/>
            <family val="2"/>
          </rPr>
          <t>uplifted for applicable line losses</t>
        </r>
      </text>
    </comment>
    <comment ref="Y17" authorId="2">
      <text>
        <r>
          <rPr>
            <sz val="9"/>
            <color indexed="81"/>
            <rFont val="Tahoma"/>
            <family val="2"/>
          </rPr>
          <t>uplifted for applicable line losses</t>
        </r>
      </text>
    </comment>
    <comment ref="Q18" authorId="1">
      <text>
        <r>
          <rPr>
            <sz val="8"/>
            <color indexed="81"/>
            <rFont val="Tahoma"/>
            <family val="2"/>
          </rPr>
          <t xml:space="preserve">from ST rate model, not rate design </t>
        </r>
      </text>
    </comment>
    <comment ref="S18" authorId="1">
      <text>
        <r>
          <rPr>
            <sz val="8"/>
            <color indexed="81"/>
            <rFont val="Tahoma"/>
            <family val="2"/>
          </rPr>
          <t>ST common line charge determinant</t>
        </r>
      </text>
    </comment>
    <comment ref="Y18" authorId="1">
      <text>
        <r>
          <rPr>
            <sz val="8"/>
            <color indexed="81"/>
            <rFont val="Tahoma"/>
            <family val="2"/>
          </rPr>
          <t>uplifted for applicable line losses</t>
        </r>
      </text>
    </comment>
  </commentList>
</comments>
</file>

<file path=xl/comments2.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3.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sharedStrings.xml><?xml version="1.0" encoding="utf-8"?>
<sst xmlns="http://schemas.openxmlformats.org/spreadsheetml/2006/main" count="2447" uniqueCount="123">
  <si>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</si>
  <si>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</si>
  <si>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</si>
  <si>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</si>
  <si>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</si>
  <si>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</si>
  <si>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</si>
  <si>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</si>
  <si>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</si>
  <si>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</si>
  <si>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</si>
  <si>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</si>
  <si>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</si>
  <si>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</si>
  <si>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</si>
  <si>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</si>
  <si>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</si>
  <si>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</si>
  <si>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</si>
  <si>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</si>
  <si>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</si>
  <si>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</si>
  <si>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</si>
  <si>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</si>
  <si>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</si>
  <si>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</si>
  <si>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</si>
  <si>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</si>
  <si>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</si>
  <si>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</si>
  <si>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</si>
  <si>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</si>
  <si>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</si>
  <si>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</si>
  <si>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</si>
  <si>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</si>
  <si>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</si>
  <si>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</si>
  <si>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</si>
  <si>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</si>
  <si>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</si>
  <si>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</si>
  <si>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</si>
  <si>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</si>
  <si>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</si>
  <si>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</si>
  <si>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</si>
  <si>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t>DGen</t>
  </si>
  <si>
    <t>Load factor</t>
  </si>
  <si>
    <t xml:space="preserve">% of Total Bill </t>
  </si>
  <si>
    <t>TOU</t>
  </si>
  <si>
    <t>Current Variable Charge ($/kWh or $/kW))</t>
  </si>
  <si>
    <t>Smart Metering Entity Charge ($/month)</t>
  </si>
  <si>
    <t>Smart Meter Adder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</si>
  <si>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</si>
  <si>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</si>
  <si>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</si>
  <si>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</si>
  <si>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</si>
  <si>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</si>
  <si>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</si>
  <si>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</si>
  <si>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</si>
  <si>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</si>
  <si>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</si>
  <si>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</si>
  <si>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</si>
  <si>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</si>
  <si>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</si>
  <si>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</si>
  <si>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</si>
  <si>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</si>
  <si>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</si>
  <si>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</si>
  <si>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</si>
  <si>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</si>
  <si>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</si>
  <si>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</si>
  <si>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</si>
  <si>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</si>
  <si>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</si>
  <si>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</si>
  <si>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</si>
  <si>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</si>
  <si>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</si>
  <si>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</si>
  <si>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Proposed Def/VA rate rider Volumetric($/kWh or $/kW)</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</si>
  <si>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</si>
  <si>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</si>
  <si>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</si>
  <si>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</si>
  <si>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</si>
  <si>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</si>
  <si>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</si>
  <si>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Current Foregone Revenue Riders Fixed ($/month)</t>
  </si>
  <si>
    <t>Two-tier RPP</t>
  </si>
  <si>
    <t>Ontario Electricity Support Program Charge</t>
  </si>
  <si>
    <t>Proposed RTSR-CONN ($/kWh or $/kW)</t>
  </si>
  <si>
    <t>Current Rate Rider for Disposition of Global Adjustment Account</t>
  </si>
  <si>
    <t>Proposed Rate Rider for Disposition of Global Adjustment Account</t>
  </si>
  <si>
    <t>Proposed Foregone Revenue Riders Fixed ($/month)</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</si>
  <si>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</si>
  <si>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</si>
  <si>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</si>
  <si>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</si>
  <si>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</si>
  <si>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</si>
  <si>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</si>
  <si>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Volumetric Global Adjustment Account Rider</t>
  </si>
  <si>
    <t>Fixed Foregone Revenue Rider</t>
  </si>
  <si>
    <t>Fixed Foregone Revenue</t>
  </si>
  <si>
    <t>Total Electricity Charge on Two-Tier RPP (before HST)</t>
  </si>
  <si>
    <t>Service Charge (RRRP credit applied)</t>
  </si>
  <si>
    <t>Average</t>
  </si>
  <si>
    <t>kWh (Consumption)</t>
  </si>
  <si>
    <t>kW (Peak)</t>
  </si>
  <si>
    <t>Total Amount on TOU</t>
  </si>
  <si>
    <t>2018 Total Bill</t>
  </si>
  <si>
    <t>2019 Bill Impacts (Low Consumption Level)</t>
  </si>
  <si>
    <t>2019 Bill Impacts (Typical Consumption Level)</t>
  </si>
  <si>
    <t>2019 Bill Impacts (Average Consumption Level)</t>
  </si>
  <si>
    <t>2019 Bill Impacts (High Consumption Level)</t>
  </si>
  <si>
    <t>Volumetric Deferral/Variance Account Rider (including CBR Class B rider)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</si>
</sst>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s>
  <fonts count="16" x14ac:knownFonts="1">
    <font>
      <sz val="10"/>
      <name val="Arial"/>
      <family val="2"/>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46">
    <xf numFmtId="0" fontId="0"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164" fontId="2" fillId="0" borderId="0"/>
    <xf numFmtId="164" fontId="2" fillId="0" borderId="0"/>
    <xf numFmtId="164" fontId="2" fillId="0" borderId="0"/>
    <xf numFmtId="170" fontId="9" fillId="0" borderId="0"/>
    <xf numFmtId="171" fontId="2" fillId="0" borderId="0" applyFont="0" applyFill="0" applyBorder="0" applyAlignment="0" applyProtection="0"/>
    <xf numFmtId="172" fontId="2" fillId="0" borderId="0" applyFont="0" applyFill="0" applyBorder="0" applyAlignment="0" applyProtection="0"/>
    <xf numFmtId="39"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6" fontId="10" fillId="0" borderId="0"/>
    <xf numFmtId="177" fontId="10" fillId="0" borderId="0"/>
    <xf numFmtId="178" fontId="10" fillId="0" borderId="0"/>
    <xf numFmtId="38" fontId="11" fillId="8" borderId="0" applyNumberFormat="0" applyBorder="0" applyAlignment="0" applyProtection="0"/>
    <xf numFmtId="0" fontId="12" fillId="0" borderId="16" applyNumberFormat="0" applyAlignment="0" applyProtection="0">
      <alignment horizontal="left" vertical="center"/>
    </xf>
    <xf numFmtId="0" fontId="12" fillId="0" borderId="15">
      <alignment horizontal="left" vertical="center"/>
    </xf>
    <xf numFmtId="10" fontId="11" fillId="9" borderId="1" applyNumberFormat="0" applyBorder="0" applyAlignment="0" applyProtection="0"/>
    <xf numFmtId="179" fontId="9" fillId="0" borderId="0"/>
    <xf numFmtId="166" fontId="2" fillId="0" borderId="0"/>
    <xf numFmtId="0" fontId="2" fillId="0" borderId="0"/>
    <xf numFmtId="7" fontId="10" fillId="0" borderId="0"/>
    <xf numFmtId="37" fontId="13" fillId="10" borderId="0">
      <alignment horizontal="right"/>
    </xf>
    <xf numFmtId="10" fontId="2" fillId="0" borderId="0" applyFont="0" applyFill="0" applyBorder="0" applyAlignment="0" applyProtection="0"/>
    <xf numFmtId="0" fontId="14" fillId="0" borderId="0" applyNumberFormat="0" applyFont="0" applyFill="0" applyBorder="0" applyAlignment="0" applyProtection="0">
      <alignment horizontal="left"/>
    </xf>
    <xf numFmtId="15" fontId="14" fillId="0" borderId="0" applyFont="0" applyFill="0" applyBorder="0" applyAlignment="0" applyProtection="0"/>
    <xf numFmtId="4" fontId="14" fillId="0" borderId="0" applyFont="0" applyFill="0" applyBorder="0" applyAlignment="0" applyProtection="0"/>
    <xf numFmtId="0" fontId="15" fillId="0" borderId="36">
      <alignment horizontal="center"/>
    </xf>
    <xf numFmtId="3" fontId="14" fillId="0" borderId="0" applyFont="0" applyFill="0" applyBorder="0" applyAlignment="0" applyProtection="0"/>
    <xf numFmtId="0" fontId="14" fillId="11" borderId="0" applyNumberFormat="0" applyFont="0" applyBorder="0" applyAlignment="0" applyProtection="0"/>
    <xf numFmtId="1" fontId="2" fillId="0" borderId="0"/>
    <xf numFmtId="0" fontId="2" fillId="0" borderId="0" applyFont="0" applyFill="0" applyBorder="0" applyAlignment="0" applyProtection="0"/>
    <xf numFmtId="0" fontId="2" fillId="0" borderId="0">
      <alignment vertical="top"/>
    </xf>
    <xf numFmtId="0" fontId="2" fillId="0" borderId="0">
      <alignment vertical="top"/>
    </xf>
    <xf numFmtId="180" fontId="2" fillId="0" borderId="0"/>
    <xf numFmtId="180" fontId="2" fillId="0" borderId="0"/>
    <xf numFmtId="180" fontId="2" fillId="0" borderId="0"/>
  </cellStyleXfs>
  <cellXfs count="188">
    <xf numFmtId="0" fontId="0" fillId="0" borderId="0" xfId="0"/>
    <xf numFmtId="0" fontId="3"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3" fillId="0" borderId="1" xfId="0" applyFont="1" applyBorder="1"/>
    <xf numFmtId="3" fontId="0" fillId="0" borderId="1" xfId="0" applyNumberFormat="1" applyBorder="1"/>
    <xf numFmtId="0" fontId="3" fillId="0" borderId="1" xfId="0" applyFont="1" applyFill="1" applyBorder="1"/>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horizontal="center"/>
    </xf>
    <xf numFmtId="10" fontId="2" fillId="0" borderId="0" xfId="4" applyNumberFormat="1" applyFont="1"/>
    <xf numFmtId="0" fontId="0" fillId="2" borderId="1" xfId="0" applyFill="1" applyBorder="1"/>
    <xf numFmtId="0" fontId="0" fillId="2" borderId="1" xfId="0" applyFill="1"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10" fontId="3" fillId="0" borderId="6" xfId="4" applyNumberFormat="1" applyFont="1" applyBorder="1" applyAlignment="1">
      <alignment horizontal="center" wrapText="1"/>
    </xf>
    <xf numFmtId="0" fontId="3"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3" fillId="3" borderId="1" xfId="0" applyNumberFormat="1" applyFont="1" applyFill="1" applyBorder="1" applyAlignment="1">
      <alignment horizontal="center"/>
    </xf>
    <xf numFmtId="4" fontId="3" fillId="3" borderId="1" xfId="0" applyNumberFormat="1" applyFont="1" applyFill="1" applyBorder="1"/>
    <xf numFmtId="4" fontId="0" fillId="3" borderId="1" xfId="0" applyNumberFormat="1" applyFill="1" applyBorder="1"/>
    <xf numFmtId="10" fontId="3" fillId="3" borderId="1" xfId="4" applyNumberFormat="1" applyFont="1" applyFill="1" applyBorder="1"/>
    <xf numFmtId="166" fontId="2" fillId="0" borderId="1" xfId="0" applyNumberFormat="1" applyFont="1" applyBorder="1"/>
    <xf numFmtId="4" fontId="3" fillId="4" borderId="1" xfId="0" applyNumberFormat="1" applyFont="1" applyFill="1" applyBorder="1" applyAlignment="1">
      <alignment horizontal="center"/>
    </xf>
    <xf numFmtId="4" fontId="3" fillId="4" borderId="1" xfId="0" applyNumberFormat="1" applyFont="1" applyFill="1" applyBorder="1"/>
    <xf numFmtId="4" fontId="0" fillId="4" borderId="1" xfId="0" applyNumberFormat="1" applyFill="1" applyBorder="1"/>
    <xf numFmtId="10" fontId="2" fillId="4" borderId="1" xfId="4" applyNumberFormat="1" applyFont="1" applyFill="1" applyBorder="1"/>
    <xf numFmtId="10" fontId="3" fillId="4" borderId="1" xfId="4" applyNumberFormat="1" applyFont="1" applyFill="1" applyBorder="1"/>
    <xf numFmtId="167" fontId="0" fillId="0" borderId="1" xfId="0" applyNumberFormat="1" applyBorder="1"/>
    <xf numFmtId="4" fontId="3" fillId="0" borderId="1" xfId="0" applyNumberFormat="1" applyFont="1" applyBorder="1"/>
    <xf numFmtId="10" fontId="3" fillId="0" borderId="1" xfId="4" applyNumberFormat="1" applyFont="1" applyBorder="1"/>
    <xf numFmtId="0" fontId="3" fillId="3" borderId="7" xfId="0" applyFont="1" applyFill="1" applyBorder="1"/>
    <xf numFmtId="4" fontId="3" fillId="3" borderId="8" xfId="0" applyNumberFormat="1" applyFont="1" applyFill="1" applyBorder="1" applyAlignment="1">
      <alignment horizontal="center"/>
    </xf>
    <xf numFmtId="4" fontId="3" fillId="3" borderId="8" xfId="0" applyNumberFormat="1" applyFont="1" applyFill="1" applyBorder="1"/>
    <xf numFmtId="10" fontId="3" fillId="3" borderId="8" xfId="4" applyNumberFormat="1" applyFont="1" applyFill="1" applyBorder="1"/>
    <xf numFmtId="10" fontId="3" fillId="3" borderId="9" xfId="4" applyNumberFormat="1" applyFont="1" applyFill="1" applyBorder="1"/>
    <xf numFmtId="0" fontId="2" fillId="3" borderId="10" xfId="0" applyFont="1" applyFill="1" applyBorder="1"/>
    <xf numFmtId="4" fontId="0" fillId="3" borderId="1" xfId="0" applyNumberFormat="1" applyFill="1" applyBorder="1" applyAlignment="1">
      <alignment horizontal="center"/>
    </xf>
    <xf numFmtId="10" fontId="2" fillId="3" borderId="1" xfId="4" applyNumberFormat="1" applyFont="1" applyFill="1" applyBorder="1"/>
    <xf numFmtId="10" fontId="2" fillId="3" borderId="11" xfId="4" applyNumberFormat="1" applyFont="1" applyFill="1" applyBorder="1"/>
    <xf numFmtId="0" fontId="3" fillId="3" borderId="10" xfId="0" applyFont="1" applyFill="1" applyBorder="1"/>
    <xf numFmtId="10" fontId="3" fillId="3" borderId="11" xfId="4" applyNumberFormat="1" applyFont="1" applyFill="1" applyBorder="1"/>
    <xf numFmtId="0" fontId="3" fillId="3" borderId="12" xfId="0" applyFont="1" applyFill="1" applyBorder="1"/>
    <xf numFmtId="4" fontId="3" fillId="3" borderId="13" xfId="0" applyNumberFormat="1" applyFont="1" applyFill="1" applyBorder="1" applyAlignment="1">
      <alignment horizontal="center"/>
    </xf>
    <xf numFmtId="4" fontId="3" fillId="3" borderId="13" xfId="0" applyNumberFormat="1" applyFont="1" applyFill="1" applyBorder="1"/>
    <xf numFmtId="10" fontId="3" fillId="3" borderId="13" xfId="4" applyNumberFormat="1" applyFont="1" applyFill="1" applyBorder="1"/>
    <xf numFmtId="10" fontId="3" fillId="3" borderId="14" xfId="4" applyNumberFormat="1" applyFont="1" applyFill="1" applyBorder="1"/>
    <xf numFmtId="0" fontId="3" fillId="4" borderId="7" xfId="0" applyFont="1" applyFill="1" applyBorder="1"/>
    <xf numFmtId="4" fontId="3" fillId="4" borderId="8" xfId="0" applyNumberFormat="1" applyFont="1" applyFill="1" applyBorder="1" applyAlignment="1">
      <alignment horizontal="center"/>
    </xf>
    <xf numFmtId="4" fontId="3" fillId="4" borderId="8" xfId="0" applyNumberFormat="1" applyFont="1" applyFill="1" applyBorder="1"/>
    <xf numFmtId="10" fontId="3" fillId="4" borderId="8" xfId="4" applyNumberFormat="1" applyFont="1" applyFill="1" applyBorder="1"/>
    <xf numFmtId="10" fontId="3" fillId="4" borderId="9" xfId="4" applyNumberFormat="1" applyFont="1" applyFill="1" applyBorder="1"/>
    <xf numFmtId="0" fontId="2" fillId="4" borderId="10" xfId="0" applyFont="1" applyFill="1" applyBorder="1"/>
    <xf numFmtId="4" fontId="0" fillId="4" borderId="1" xfId="0" applyNumberFormat="1" applyFill="1" applyBorder="1" applyAlignment="1">
      <alignment horizontal="center"/>
    </xf>
    <xf numFmtId="10" fontId="2" fillId="4" borderId="11" xfId="4" applyNumberFormat="1" applyFont="1" applyFill="1" applyBorder="1"/>
    <xf numFmtId="0" fontId="3" fillId="4" borderId="10" xfId="0" applyFont="1" applyFill="1" applyBorder="1"/>
    <xf numFmtId="10" fontId="3" fillId="4" borderId="11" xfId="4" applyNumberFormat="1" applyFont="1" applyFill="1" applyBorder="1"/>
    <xf numFmtId="0" fontId="3" fillId="4" borderId="12" xfId="0" applyFont="1" applyFill="1" applyBorder="1"/>
    <xf numFmtId="4" fontId="3" fillId="4" borderId="13" xfId="0" applyNumberFormat="1" applyFont="1" applyFill="1" applyBorder="1" applyAlignment="1">
      <alignment horizontal="center"/>
    </xf>
    <xf numFmtId="4" fontId="3" fillId="4" borderId="13" xfId="0" applyNumberFormat="1" applyFont="1" applyFill="1" applyBorder="1"/>
    <xf numFmtId="10" fontId="3" fillId="4" borderId="13" xfId="4" applyNumberFormat="1" applyFont="1" applyFill="1" applyBorder="1"/>
    <xf numFmtId="10" fontId="3"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2" fillId="2" borderId="1" xfId="0" applyFont="1" applyFill="1" applyBorder="1"/>
    <xf numFmtId="9" fontId="2" fillId="2" borderId="1" xfId="4" applyFont="1" applyFill="1" applyBorder="1"/>
    <xf numFmtId="3" fontId="3" fillId="0" borderId="9" xfId="0" applyNumberFormat="1" applyFont="1" applyBorder="1" applyAlignment="1">
      <alignment horizontal="center"/>
    </xf>
    <xf numFmtId="3" fontId="3" fillId="0" borderId="11" xfId="0" applyNumberFormat="1" applyFont="1" applyBorder="1" applyAlignment="1">
      <alignment horizontal="center"/>
    </xf>
    <xf numFmtId="3" fontId="3" fillId="0" borderId="14" xfId="0" applyNumberFormat="1" applyFont="1" applyBorder="1" applyAlignment="1">
      <alignment horizontal="center"/>
    </xf>
    <xf numFmtId="0" fontId="3" fillId="6" borderId="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center"/>
    </xf>
    <xf numFmtId="3" fontId="3" fillId="0" borderId="10" xfId="0" applyNumberFormat="1" applyFont="1" applyBorder="1" applyAlignment="1">
      <alignment horizontal="center"/>
    </xf>
    <xf numFmtId="3" fontId="3" fillId="0" borderId="12" xfId="0" applyNumberFormat="1" applyFont="1" applyBorder="1" applyAlignment="1">
      <alignment horizontal="center"/>
    </xf>
    <xf numFmtId="0" fontId="3" fillId="0" borderId="23" xfId="0" applyFont="1" applyBorder="1" applyAlignment="1">
      <alignment horizontal="center" vertical="center" wrapText="1"/>
    </xf>
    <xf numFmtId="0" fontId="3" fillId="0" borderId="32" xfId="0" applyFont="1" applyBorder="1" applyAlignment="1">
      <alignment horizontal="center" wrapText="1"/>
    </xf>
    <xf numFmtId="0" fontId="3" fillId="0" borderId="33" xfId="0" applyFont="1" applyBorder="1" applyAlignment="1">
      <alignment horizontal="center" vertical="center" wrapText="1"/>
    </xf>
    <xf numFmtId="3" fontId="3" fillId="0" borderId="7" xfId="0" applyNumberFormat="1" applyFont="1" applyBorder="1" applyAlignment="1">
      <alignment horizontal="center"/>
    </xf>
    <xf numFmtId="0" fontId="3"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2" fillId="0" borderId="9" xfId="4" applyNumberFormat="1" applyFont="1" applyBorder="1"/>
    <xf numFmtId="0" fontId="0" fillId="0" borderId="10" xfId="0" applyBorder="1"/>
    <xf numFmtId="10" fontId="2" fillId="0" borderId="11" xfId="4" applyNumberFormat="1" applyFont="1" applyBorder="1"/>
    <xf numFmtId="0" fontId="2" fillId="0" borderId="10" xfId="0" applyFont="1" applyBorder="1"/>
    <xf numFmtId="0" fontId="3" fillId="0" borderId="10" xfId="0" applyFont="1" applyBorder="1"/>
    <xf numFmtId="10" fontId="3" fillId="0" borderId="11" xfId="4" applyNumberFormat="1" applyFont="1" applyBorder="1"/>
    <xf numFmtId="0" fontId="3" fillId="0" borderId="12" xfId="0" applyFont="1" applyBorder="1"/>
    <xf numFmtId="3" fontId="2" fillId="0" borderId="13" xfId="0" applyNumberFormat="1" applyFont="1" applyBorder="1" applyAlignment="1">
      <alignment horizontal="center"/>
    </xf>
    <xf numFmtId="166" fontId="2" fillId="0" borderId="13" xfId="0" applyNumberFormat="1" applyFont="1" applyBorder="1"/>
    <xf numFmtId="4" fontId="3" fillId="0" borderId="13" xfId="0" applyNumberFormat="1" applyFont="1" applyBorder="1"/>
    <xf numFmtId="3" fontId="0" fillId="0" borderId="13" xfId="0" applyNumberFormat="1" applyBorder="1" applyAlignment="1">
      <alignment horizontal="center"/>
    </xf>
    <xf numFmtId="10" fontId="3" fillId="0" borderId="13" xfId="4" applyNumberFormat="1" applyFont="1" applyBorder="1"/>
    <xf numFmtId="10" fontId="3"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2" fontId="0" fillId="5" borderId="1" xfId="0" applyNumberFormat="1" applyFill="1" applyBorder="1"/>
    <xf numFmtId="0" fontId="3"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0" fontId="6"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7" fontId="10" fillId="7" borderId="19" xfId="2" applyNumberFormat="1" applyFont="1" applyFill="1" applyBorder="1" applyAlignment="1">
      <alignment horizontal="center"/>
    </xf>
    <xf numFmtId="10" fontId="10" fillId="7" borderId="21" xfId="3" applyNumberFormat="1" applyFont="1" applyFill="1" applyBorder="1" applyAlignment="1">
      <alignment horizontal="center"/>
    </xf>
    <xf numFmtId="7" fontId="10" fillId="6" borderId="7" xfId="0" applyNumberFormat="1" applyFont="1" applyFill="1" applyBorder="1" applyAlignment="1">
      <alignment horizontal="center"/>
    </xf>
    <xf numFmtId="7" fontId="10" fillId="7" borderId="3" xfId="2" applyNumberFormat="1" applyFont="1" applyFill="1" applyBorder="1" applyAlignment="1">
      <alignment horizontal="center"/>
    </xf>
    <xf numFmtId="10" fontId="10" fillId="7" borderId="3" xfId="3" applyNumberFormat="1" applyFont="1" applyFill="1" applyBorder="1" applyAlignment="1">
      <alignment horizontal="center"/>
    </xf>
    <xf numFmtId="7" fontId="10" fillId="6" borderId="10" xfId="0" applyNumberFormat="1" applyFont="1" applyFill="1" applyBorder="1" applyAlignment="1">
      <alignment horizontal="center"/>
    </xf>
    <xf numFmtId="7" fontId="10" fillId="7" borderId="20" xfId="2" applyNumberFormat="1" applyFont="1" applyFill="1" applyBorder="1" applyAlignment="1">
      <alignment horizontal="center"/>
    </xf>
    <xf numFmtId="10" fontId="10" fillId="7" borderId="22" xfId="3" applyNumberFormat="1" applyFont="1" applyFill="1" applyBorder="1" applyAlignment="1">
      <alignment horizontal="center"/>
    </xf>
    <xf numFmtId="7" fontId="10" fillId="6" borderId="12" xfId="0" applyNumberFormat="1" applyFont="1" applyFill="1" applyBorder="1" applyAlignment="1">
      <alignment horizontal="center"/>
    </xf>
    <xf numFmtId="10" fontId="10" fillId="7" borderId="2" xfId="3" applyNumberFormat="1" applyFont="1" applyFill="1" applyBorder="1" applyAlignment="1">
      <alignment horizontal="center"/>
    </xf>
    <xf numFmtId="0" fontId="3" fillId="6" borderId="6" xfId="0" applyFont="1" applyFill="1" applyBorder="1" applyAlignment="1">
      <alignment horizontal="center" vertical="center" wrapText="1"/>
    </xf>
    <xf numFmtId="10" fontId="10" fillId="6" borderId="9" xfId="3" applyNumberFormat="1" applyFont="1" applyFill="1" applyBorder="1" applyAlignment="1">
      <alignment horizontal="center"/>
    </xf>
    <xf numFmtId="10" fontId="10" fillId="6" borderId="11" xfId="3" applyNumberFormat="1" applyFont="1" applyFill="1" applyBorder="1" applyAlignment="1">
      <alignment horizontal="center"/>
    </xf>
    <xf numFmtId="10" fontId="10" fillId="6" borderId="14" xfId="3" applyNumberFormat="1" applyFont="1" applyFill="1" applyBorder="1" applyAlignment="1">
      <alignment horizontal="center"/>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3" fillId="4" borderId="10" xfId="0" applyFont="1" applyFill="1" applyBorder="1" applyAlignment="1">
      <alignment horizontal="left"/>
    </xf>
    <xf numFmtId="0" fontId="3" fillId="7" borderId="1" xfId="0" applyFont="1" applyFill="1" applyBorder="1" applyAlignment="1">
      <alignment horizontal="center" vertical="center" wrapText="1"/>
    </xf>
    <xf numFmtId="0" fontId="3" fillId="5" borderId="1" xfId="0" applyFont="1" applyFill="1" applyBorder="1" applyAlignment="1">
      <alignment horizontal="center"/>
    </xf>
    <xf numFmtId="0" fontId="0" fillId="5" borderId="0" xfId="0" applyFill="1"/>
    <xf numFmtId="0" fontId="0" fillId="3" borderId="10" xfId="0" applyFont="1" applyFill="1" applyBorder="1"/>
    <xf numFmtId="0" fontId="0" fillId="4" borderId="10" xfId="0" applyFont="1" applyFill="1" applyBorder="1"/>
    <xf numFmtId="0" fontId="3" fillId="5" borderId="1" xfId="0" applyFont="1" applyFill="1" applyBorder="1" applyAlignment="1">
      <alignment horizontal="center" vertical="center" wrapText="1"/>
    </xf>
    <xf numFmtId="165" fontId="0" fillId="12" borderId="1" xfId="0" applyNumberFormat="1" applyFill="1" applyBorder="1"/>
    <xf numFmtId="0" fontId="3" fillId="0" borderId="38" xfId="0" applyFont="1" applyBorder="1" applyAlignment="1">
      <alignment horizontal="center"/>
    </xf>
    <xf numFmtId="3" fontId="3" fillId="0" borderId="39" xfId="0" applyNumberFormat="1" applyFont="1" applyBorder="1" applyAlignment="1">
      <alignment horizontal="center"/>
    </xf>
    <xf numFmtId="3" fontId="3" fillId="0" borderId="40" xfId="0" applyNumberFormat="1" applyFont="1" applyBorder="1" applyAlignment="1">
      <alignment horizontal="center"/>
    </xf>
    <xf numFmtId="7" fontId="0" fillId="0" borderId="37" xfId="0" applyNumberFormat="1" applyFont="1" applyBorder="1" applyAlignment="1">
      <alignment horizontal="center"/>
    </xf>
    <xf numFmtId="7" fontId="10" fillId="7" borderId="41" xfId="2" applyNumberFormat="1" applyFont="1" applyFill="1" applyBorder="1" applyAlignment="1">
      <alignment horizontal="center"/>
    </xf>
    <xf numFmtId="10" fontId="10" fillId="7" borderId="38" xfId="3" applyNumberFormat="1" applyFont="1" applyFill="1" applyBorder="1" applyAlignment="1">
      <alignment horizontal="center"/>
    </xf>
    <xf numFmtId="7" fontId="10" fillId="6" borderId="39" xfId="0" applyNumberFormat="1" applyFont="1" applyFill="1" applyBorder="1" applyAlignment="1">
      <alignment horizontal="center"/>
    </xf>
    <xf numFmtId="10" fontId="10" fillId="6" borderId="40" xfId="3" applyNumberFormat="1" applyFont="1" applyFill="1" applyBorder="1" applyAlignment="1">
      <alignment horizontal="center"/>
    </xf>
    <xf numFmtId="164" fontId="0" fillId="0" borderId="1" xfId="1" applyNumberFormat="1" applyFont="1" applyBorder="1"/>
    <xf numFmtId="0" fontId="3" fillId="0" borderId="1" xfId="0" applyFont="1" applyBorder="1" applyAlignment="1">
      <alignment wrapText="1"/>
    </xf>
    <xf numFmtId="1" fontId="0" fillId="2" borderId="1" xfId="0" applyNumberFormat="1" applyFill="1" applyBorder="1"/>
    <xf numFmtId="0" fontId="0" fillId="0" borderId="38" xfId="0" applyBorder="1"/>
    <xf numFmtId="0" fontId="0" fillId="0" borderId="0" xfId="0" applyBorder="1"/>
    <xf numFmtId="167" fontId="0" fillId="0" borderId="1" xfId="0" applyNumberFormat="1" applyFont="1" applyBorder="1"/>
    <xf numFmtId="2" fontId="0" fillId="5" borderId="1" xfId="0" applyNumberFormat="1" applyFill="1"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29"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6" fillId="0" borderId="34" xfId="0" applyFont="1" applyBorder="1" applyAlignment="1">
      <alignment horizontal="center"/>
    </xf>
    <xf numFmtId="0" fontId="6" fillId="0" borderId="16" xfId="0" applyFont="1" applyBorder="1" applyAlignment="1">
      <alignment horizontal="center"/>
    </xf>
    <xf numFmtId="0" fontId="6" fillId="0" borderId="35" xfId="0" applyFont="1" applyBorder="1" applyAlignment="1">
      <alignment horizontal="center"/>
    </xf>
  </cellXfs>
  <cellStyles count="46">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CCFFCC"/>
      <color rgb="FFFFCCCC"/>
      <color rgb="FFFFFFFF"/>
      <color rgb="FFFFCC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tint="0.499984740745262"/>
    <pageSetUpPr fitToPage="1"/>
  </sheetPr>
  <dimension ref="A4:Y92"/>
  <sheetViews>
    <sheetView workbookViewId="0">
      <pane xSplit="2" ySplit="5" topLeftCell="E6" activePane="bottomRight" state="frozen"/>
      <selection activeCell="Q5" sqref="Q5"/>
      <selection pane="topRight" activeCell="Q5" sqref="Q5"/>
      <selection pane="bottomLeft" activeCell="Q5" sqref="Q5"/>
      <selection pane="bottomRight" sqref="A1:XFD1"/>
    </sheetView>
  </sheetViews>
  <sheetFormatPr defaultRowHeight="12.75" x14ac:dyDescent="0.2"/>
  <cols>
    <col min="1" max="1" width="18.42578125" bestFit="1" customWidth="1"/>
    <col min="2" max="2" width="12.85546875" customWidth="1"/>
    <col min="3" max="3" width="13.7109375" customWidth="1"/>
    <col min="4" max="4" width="11.140625" customWidth="1"/>
    <col min="6" max="6" width="12.140625" customWidth="1"/>
    <col min="7" max="7" width="9.42578125" style="152" bestFit="1" customWidth="1"/>
    <col min="8" max="8" width="8.85546875" style="152" bestFit="1" customWidth="1"/>
    <col min="9" max="9" width="9.42578125" style="152" bestFit="1" customWidth="1"/>
    <col min="10" max="10" width="9.5703125" style="152" customWidth="1"/>
    <col min="11" max="11" width="9.7109375" style="152" bestFit="1" customWidth="1"/>
    <col min="12" max="12" width="9.85546875" style="152" customWidth="1"/>
    <col min="13" max="13" width="9.42578125" style="152" bestFit="1" customWidth="1"/>
    <col min="14" max="14" width="9.85546875" style="152" bestFit="1" customWidth="1"/>
    <col min="15" max="15" width="8.42578125" style="152" bestFit="1" customWidth="1"/>
    <col min="16" max="16" width="9.5703125" style="152" bestFit="1" customWidth="1"/>
    <col min="17" max="18" width="10" customWidth="1"/>
    <col min="19" max="20" width="11" customWidth="1"/>
    <col min="21" max="21" width="11.140625" bestFit="1" customWidth="1"/>
    <col min="22" max="22" width="9.5703125" bestFit="1" customWidth="1"/>
    <col min="23" max="23" width="10.5703125" bestFit="1" customWidth="1"/>
    <col min="24" max="24" width="9.5703125" customWidth="1"/>
    <col min="25" max="25" width="9.5703125" bestFit="1" customWidth="1"/>
    <col min="26" max="26" width="11" customWidth="1"/>
    <col min="27" max="27" width="10.28515625" customWidth="1"/>
    <col min="28" max="28" width="10.7109375" customWidth="1"/>
  </cols>
  <sheetData>
    <row r="4" spans="1:25" x14ac:dyDescent="0.2">
      <c r="A4" s="9">
        <v>1</v>
      </c>
      <c r="B4" s="9">
        <v>2</v>
      </c>
      <c r="C4" s="9">
        <v>3</v>
      </c>
      <c r="D4" s="9">
        <v>4</v>
      </c>
      <c r="E4" s="9">
        <v>5</v>
      </c>
      <c r="F4" s="9">
        <v>6</v>
      </c>
      <c r="G4" s="151">
        <v>7</v>
      </c>
      <c r="H4" s="151">
        <v>8</v>
      </c>
      <c r="I4" s="151">
        <v>9</v>
      </c>
      <c r="J4" s="151">
        <v>10</v>
      </c>
      <c r="K4" s="151">
        <v>11</v>
      </c>
      <c r="L4" s="151">
        <v>12</v>
      </c>
      <c r="M4" s="151">
        <v>13</v>
      </c>
      <c r="N4" s="151">
        <v>14</v>
      </c>
      <c r="O4" s="151">
        <v>15</v>
      </c>
      <c r="P4" s="151">
        <v>16</v>
      </c>
      <c r="Q4" s="9">
        <v>17</v>
      </c>
      <c r="R4" s="9">
        <v>18</v>
      </c>
      <c r="S4" s="9">
        <v>19</v>
      </c>
      <c r="T4" s="9">
        <v>20</v>
      </c>
      <c r="U4" s="9">
        <v>21</v>
      </c>
      <c r="V4" s="9">
        <v>22</v>
      </c>
      <c r="W4" s="9">
        <v>23</v>
      </c>
      <c r="X4" s="9">
        <v>24</v>
      </c>
      <c r="Y4" s="9">
        <v>25</v>
      </c>
    </row>
    <row r="5" spans="1:25" s="12" customFormat="1" ht="89.25" x14ac:dyDescent="0.2">
      <c r="A5" s="10" t="s">
        <v>13</v>
      </c>
      <c r="B5" s="10" t="s">
        <v>14</v>
      </c>
      <c r="C5" s="10" t="s">
        <v>62</v>
      </c>
      <c r="D5" s="10" t="s">
        <v>15</v>
      </c>
      <c r="E5" s="10" t="s">
        <v>71</v>
      </c>
      <c r="F5" s="11" t="s">
        <v>17</v>
      </c>
      <c r="G5" s="11" t="s">
        <v>54</v>
      </c>
      <c r="H5" s="11" t="s">
        <v>53</v>
      </c>
      <c r="I5" s="11" t="s">
        <v>52</v>
      </c>
      <c r="J5" s="11" t="s">
        <v>51</v>
      </c>
      <c r="K5" s="11" t="s">
        <v>94</v>
      </c>
      <c r="L5" s="11" t="s">
        <v>100</v>
      </c>
      <c r="M5" s="11" t="s">
        <v>88</v>
      </c>
      <c r="N5" s="11" t="s">
        <v>89</v>
      </c>
      <c r="O5" s="11" t="s">
        <v>58</v>
      </c>
      <c r="P5" s="11" t="s">
        <v>59</v>
      </c>
      <c r="Q5" s="150" t="s">
        <v>55</v>
      </c>
      <c r="R5" s="11" t="s">
        <v>52</v>
      </c>
      <c r="S5" s="150" t="s">
        <v>57</v>
      </c>
      <c r="T5" s="155" t="s">
        <v>98</v>
      </c>
      <c r="U5" s="150" t="s">
        <v>99</v>
      </c>
      <c r="V5" s="150" t="s">
        <v>87</v>
      </c>
      <c r="W5" s="150" t="s">
        <v>86</v>
      </c>
      <c r="X5" s="150" t="s">
        <v>56</v>
      </c>
      <c r="Y5" s="150" t="s">
        <v>97</v>
      </c>
    </row>
    <row r="6" spans="1:25" x14ac:dyDescent="0.2">
      <c r="A6" s="6" t="s">
        <v>0</v>
      </c>
      <c r="B6" s="126">
        <v>1.0569999999999999</v>
      </c>
      <c r="C6" s="7">
        <v>750</v>
      </c>
      <c r="D6" s="7">
        <v>600</v>
      </c>
      <c r="E6" s="2"/>
      <c r="F6" s="4" t="s">
        <v>18</v>
      </c>
      <c r="G6" s="121">
        <v>27.71</v>
      </c>
      <c r="H6" s="78"/>
      <c r="I6" s="78">
        <v>0.79</v>
      </c>
      <c r="J6" s="125">
        <v>7.7999999999999996E-3</v>
      </c>
      <c r="K6" s="121"/>
      <c r="L6" s="125"/>
      <c r="M6" s="121">
        <v>7.0000000000000001E-3</v>
      </c>
      <c r="N6" s="125">
        <v>3.0000000000000004E-5</v>
      </c>
      <c r="O6" s="125">
        <v>7.8279999999999999E-3</v>
      </c>
      <c r="P6" s="125">
        <v>6.4380000000000001E-3</v>
      </c>
      <c r="Q6" s="3">
        <v>31.23</v>
      </c>
      <c r="R6" s="78">
        <v>0.79</v>
      </c>
      <c r="S6" s="100">
        <v>4.7000000000000002E-3</v>
      </c>
      <c r="T6" s="125">
        <v>0</v>
      </c>
      <c r="U6" s="156"/>
      <c r="V6" s="171">
        <f>M6</f>
        <v>7.0000000000000001E-3</v>
      </c>
      <c r="W6" s="125">
        <f>N6</f>
        <v>3.0000000000000004E-5</v>
      </c>
      <c r="X6" s="125">
        <f>O6</f>
        <v>7.8279999999999999E-3</v>
      </c>
      <c r="Y6" s="125">
        <f>P6</f>
        <v>6.4380000000000001E-3</v>
      </c>
    </row>
    <row r="7" spans="1:25" x14ac:dyDescent="0.2">
      <c r="A7" s="6" t="s">
        <v>1</v>
      </c>
      <c r="B7" s="126">
        <v>1.0760000000000001</v>
      </c>
      <c r="C7" s="7">
        <v>750</v>
      </c>
      <c r="D7" s="7">
        <v>600</v>
      </c>
      <c r="E7" s="2"/>
      <c r="F7" s="4" t="s">
        <v>18</v>
      </c>
      <c r="G7" s="121">
        <v>37.79</v>
      </c>
      <c r="H7" s="78"/>
      <c r="I7" s="78">
        <v>0.79</v>
      </c>
      <c r="J7" s="125">
        <v>2.18E-2</v>
      </c>
      <c r="K7" s="121"/>
      <c r="L7" s="125"/>
      <c r="M7" s="121">
        <v>4.0000000000000001E-3</v>
      </c>
      <c r="N7" s="125">
        <v>2.0000000000000002E-5</v>
      </c>
      <c r="O7" s="125">
        <v>7.2069999999999999E-3</v>
      </c>
      <c r="P7" s="125">
        <v>6.0319999999999992E-3</v>
      </c>
      <c r="Q7" s="3">
        <v>42.19</v>
      </c>
      <c r="R7" s="78">
        <v>0.79</v>
      </c>
      <c r="S7" s="100">
        <v>1.9300000000000001E-2</v>
      </c>
      <c r="T7" s="125">
        <v>0</v>
      </c>
      <c r="U7" s="156"/>
      <c r="V7" s="171">
        <f t="shared" ref="V7:V18" si="0">M7</f>
        <v>4.0000000000000001E-3</v>
      </c>
      <c r="W7" s="125">
        <f t="shared" ref="W7:W18" si="1">N7</f>
        <v>2.0000000000000002E-5</v>
      </c>
      <c r="X7" s="125">
        <f t="shared" ref="X7:X18" si="2">O7</f>
        <v>7.2069999999999999E-3</v>
      </c>
      <c r="Y7" s="125">
        <f t="shared" ref="Y7:Y18" si="3">P7</f>
        <v>6.0319999999999992E-3</v>
      </c>
    </row>
    <row r="8" spans="1:25" x14ac:dyDescent="0.2">
      <c r="A8" s="6" t="s">
        <v>2</v>
      </c>
      <c r="B8" s="126">
        <v>1.105</v>
      </c>
      <c r="C8" s="7">
        <v>750</v>
      </c>
      <c r="D8" s="7">
        <v>600</v>
      </c>
      <c r="E8" s="2"/>
      <c r="F8" s="4" t="s">
        <v>18</v>
      </c>
      <c r="G8" s="121">
        <v>25.019678307903931</v>
      </c>
      <c r="H8" s="78"/>
      <c r="I8" s="78">
        <v>0.79</v>
      </c>
      <c r="J8" s="125">
        <v>3.5900000000000001E-2</v>
      </c>
      <c r="K8" s="121"/>
      <c r="L8" s="125"/>
      <c r="M8" s="121">
        <v>-2.1000000000000001E-2</v>
      </c>
      <c r="N8" s="125">
        <v>1.0000000000000003E-5</v>
      </c>
      <c r="O8" s="125">
        <v>6.7400000000000003E-3</v>
      </c>
      <c r="P8" s="125">
        <v>5.6299999999999996E-3</v>
      </c>
      <c r="Q8" s="3">
        <v>34.089678307903938</v>
      </c>
      <c r="R8" s="78">
        <v>0.79</v>
      </c>
      <c r="S8" s="100">
        <v>3.2099999999999997E-2</v>
      </c>
      <c r="T8" s="125">
        <v>0</v>
      </c>
      <c r="U8" s="156"/>
      <c r="V8" s="171">
        <f t="shared" si="0"/>
        <v>-2.1000000000000001E-2</v>
      </c>
      <c r="W8" s="125">
        <f t="shared" si="1"/>
        <v>1.0000000000000003E-5</v>
      </c>
      <c r="X8" s="125">
        <f t="shared" si="2"/>
        <v>6.7400000000000003E-3</v>
      </c>
      <c r="Y8" s="125">
        <f t="shared" si="3"/>
        <v>5.6299999999999996E-3</v>
      </c>
    </row>
    <row r="9" spans="1:25" x14ac:dyDescent="0.2">
      <c r="A9" s="6" t="s">
        <v>3</v>
      </c>
      <c r="B9" s="126">
        <v>1.1040000000000001</v>
      </c>
      <c r="C9" s="7">
        <v>500</v>
      </c>
      <c r="D9" s="7">
        <v>600</v>
      </c>
      <c r="E9" s="2"/>
      <c r="F9" s="4" t="s">
        <v>18</v>
      </c>
      <c r="G9" s="121">
        <v>40.520000000000003</v>
      </c>
      <c r="H9" s="78"/>
      <c r="I9" s="78">
        <v>0.79</v>
      </c>
      <c r="J9" s="125">
        <v>6.0100000000000001E-2</v>
      </c>
      <c r="K9" s="121"/>
      <c r="L9" s="125"/>
      <c r="M9" s="121">
        <v>-2E-3</v>
      </c>
      <c r="N9" s="125">
        <v>1.0000000000000003E-5</v>
      </c>
      <c r="O9" s="125">
        <v>5.6559999999999996E-3</v>
      </c>
      <c r="P9" s="125">
        <v>4.8209999999999998E-3</v>
      </c>
      <c r="Q9" s="3">
        <v>45.07</v>
      </c>
      <c r="R9" s="78">
        <v>0.79</v>
      </c>
      <c r="S9" s="100">
        <v>5.28E-2</v>
      </c>
      <c r="T9" s="125">
        <v>0</v>
      </c>
      <c r="U9" s="156"/>
      <c r="V9" s="171">
        <f t="shared" si="0"/>
        <v>-2E-3</v>
      </c>
      <c r="W9" s="125">
        <f t="shared" si="1"/>
        <v>1.0000000000000003E-5</v>
      </c>
      <c r="X9" s="125">
        <f t="shared" si="2"/>
        <v>5.6559999999999996E-3</v>
      </c>
      <c r="Y9" s="125">
        <f t="shared" si="3"/>
        <v>4.8209999999999998E-3</v>
      </c>
    </row>
    <row r="10" spans="1:25" x14ac:dyDescent="0.2">
      <c r="A10" s="6" t="s">
        <v>4</v>
      </c>
      <c r="B10" s="126">
        <v>1.0960000000000001</v>
      </c>
      <c r="C10" s="7">
        <v>2000</v>
      </c>
      <c r="D10" s="7">
        <v>750</v>
      </c>
      <c r="E10" s="2"/>
      <c r="F10" s="4" t="s">
        <v>18</v>
      </c>
      <c r="G10" s="121">
        <v>29.56</v>
      </c>
      <c r="H10" s="78"/>
      <c r="I10" s="78">
        <v>0.79</v>
      </c>
      <c r="J10" s="125">
        <v>5.8900000000000001E-2</v>
      </c>
      <c r="K10" s="121"/>
      <c r="L10" s="125"/>
      <c r="M10" s="121">
        <v>2E-3</v>
      </c>
      <c r="N10" s="125">
        <v>2.0000000000000002E-5</v>
      </c>
      <c r="O10" s="125">
        <v>5.6930000000000001E-3</v>
      </c>
      <c r="P10" s="125">
        <v>4.4740000000000005E-3</v>
      </c>
      <c r="Q10" s="3">
        <v>30.2</v>
      </c>
      <c r="R10" s="78">
        <v>0.79</v>
      </c>
      <c r="S10" s="100">
        <v>6.13E-2</v>
      </c>
      <c r="T10" s="125">
        <v>0</v>
      </c>
      <c r="U10" s="125">
        <f t="shared" ref="U10:U18" si="4">T10</f>
        <v>0</v>
      </c>
      <c r="V10" s="171">
        <f t="shared" si="0"/>
        <v>2E-3</v>
      </c>
      <c r="W10" s="125">
        <f t="shared" si="1"/>
        <v>2.0000000000000002E-5</v>
      </c>
      <c r="X10" s="125">
        <f t="shared" si="2"/>
        <v>5.6930000000000001E-3</v>
      </c>
      <c r="Y10" s="125">
        <f t="shared" si="3"/>
        <v>4.4740000000000005E-3</v>
      </c>
    </row>
    <row r="11" spans="1:25" x14ac:dyDescent="0.2">
      <c r="A11" s="6" t="s">
        <v>6</v>
      </c>
      <c r="B11" s="126">
        <v>1.0669999999999999</v>
      </c>
      <c r="C11" s="7">
        <v>2000</v>
      </c>
      <c r="D11" s="7">
        <v>750</v>
      </c>
      <c r="E11" s="2"/>
      <c r="F11" s="4" t="s">
        <v>18</v>
      </c>
      <c r="G11" s="121">
        <v>23.88</v>
      </c>
      <c r="H11" s="78"/>
      <c r="I11" s="78">
        <v>0.79</v>
      </c>
      <c r="J11" s="125">
        <v>2.7799999999999998E-2</v>
      </c>
      <c r="K11" s="121"/>
      <c r="L11" s="125"/>
      <c r="M11" s="121">
        <v>8.0000000000000002E-3</v>
      </c>
      <c r="N11" s="125">
        <v>3.0000000000000004E-5</v>
      </c>
      <c r="O11" s="125">
        <v>6.1060000000000003E-3</v>
      </c>
      <c r="P11" s="125">
        <v>4.6519999999999999E-3</v>
      </c>
      <c r="Q11" s="3">
        <v>24.47</v>
      </c>
      <c r="R11" s="78">
        <v>0.79</v>
      </c>
      <c r="S11" s="100">
        <v>2.9000000000000001E-2</v>
      </c>
      <c r="T11" s="125">
        <v>0</v>
      </c>
      <c r="U11" s="125">
        <f t="shared" si="4"/>
        <v>0</v>
      </c>
      <c r="V11" s="171">
        <f t="shared" si="0"/>
        <v>8.0000000000000002E-3</v>
      </c>
      <c r="W11" s="125">
        <f t="shared" si="1"/>
        <v>3.0000000000000004E-5</v>
      </c>
      <c r="X11" s="125">
        <f t="shared" si="2"/>
        <v>6.1060000000000003E-3</v>
      </c>
      <c r="Y11" s="125">
        <f t="shared" si="3"/>
        <v>4.6519999999999999E-3</v>
      </c>
    </row>
    <row r="12" spans="1:25" x14ac:dyDescent="0.2">
      <c r="A12" s="6" t="s">
        <v>8</v>
      </c>
      <c r="B12" s="126">
        <v>1.0920000000000001</v>
      </c>
      <c r="C12" s="7">
        <v>1440</v>
      </c>
      <c r="D12" s="7">
        <v>750</v>
      </c>
      <c r="E12" s="2"/>
      <c r="F12" s="4" t="s">
        <v>18</v>
      </c>
      <c r="G12" s="121">
        <v>4.07</v>
      </c>
      <c r="H12" s="78"/>
      <c r="I12" s="78">
        <v>0</v>
      </c>
      <c r="J12" s="125">
        <v>9.7600000000000006E-2</v>
      </c>
      <c r="K12" s="121"/>
      <c r="L12" s="125"/>
      <c r="M12" s="121">
        <v>7.0000000000000001E-3</v>
      </c>
      <c r="N12" s="125">
        <v>-9.9999999999999991E-6</v>
      </c>
      <c r="O12" s="125">
        <v>4.6979999999999999E-3</v>
      </c>
      <c r="P12" s="125">
        <v>4.2899999999999995E-3</v>
      </c>
      <c r="Q12" s="3">
        <v>4.2</v>
      </c>
      <c r="R12" s="2">
        <v>0</v>
      </c>
      <c r="S12" s="100">
        <v>0.1011</v>
      </c>
      <c r="T12" s="125">
        <v>0</v>
      </c>
      <c r="U12" s="125">
        <f t="shared" si="4"/>
        <v>0</v>
      </c>
      <c r="V12" s="171">
        <f t="shared" si="0"/>
        <v>7.0000000000000001E-3</v>
      </c>
      <c r="W12" s="125">
        <f t="shared" si="1"/>
        <v>-9.9999999999999991E-6</v>
      </c>
      <c r="X12" s="125">
        <f t="shared" si="2"/>
        <v>4.6979999999999999E-3</v>
      </c>
      <c r="Y12" s="125">
        <f t="shared" si="3"/>
        <v>4.2899999999999995E-3</v>
      </c>
    </row>
    <row r="13" spans="1:25" x14ac:dyDescent="0.2">
      <c r="A13" s="6" t="s">
        <v>9</v>
      </c>
      <c r="B13" s="126">
        <v>1.0920000000000001</v>
      </c>
      <c r="C13" s="7">
        <v>62</v>
      </c>
      <c r="D13" s="7">
        <v>750</v>
      </c>
      <c r="E13" s="2"/>
      <c r="F13" s="4" t="s">
        <v>18</v>
      </c>
      <c r="G13" s="121">
        <v>3.15</v>
      </c>
      <c r="H13" s="78"/>
      <c r="I13" s="78">
        <v>0</v>
      </c>
      <c r="J13" s="125">
        <v>0.11990000000000001</v>
      </c>
      <c r="K13" s="121"/>
      <c r="L13" s="125"/>
      <c r="M13" s="121">
        <v>6.0000000000000001E-3</v>
      </c>
      <c r="N13" s="125">
        <v>-6.0000000000000002E-5</v>
      </c>
      <c r="O13" s="125">
        <v>4.6979999999999999E-3</v>
      </c>
      <c r="P13" s="125">
        <v>4.2899999999999995E-3</v>
      </c>
      <c r="Q13" s="3">
        <v>3.37</v>
      </c>
      <c r="R13" s="2">
        <v>0</v>
      </c>
      <c r="S13" s="100">
        <v>0.12809999999999999</v>
      </c>
      <c r="T13" s="125">
        <v>0</v>
      </c>
      <c r="U13" s="125">
        <f t="shared" si="4"/>
        <v>0</v>
      </c>
      <c r="V13" s="171">
        <f t="shared" si="0"/>
        <v>6.0000000000000001E-3</v>
      </c>
      <c r="W13" s="125">
        <f t="shared" si="1"/>
        <v>-6.0000000000000002E-5</v>
      </c>
      <c r="X13" s="125">
        <f t="shared" si="2"/>
        <v>4.6979999999999999E-3</v>
      </c>
      <c r="Y13" s="125">
        <f t="shared" si="3"/>
        <v>4.2899999999999995E-3</v>
      </c>
    </row>
    <row r="14" spans="1:25" x14ac:dyDescent="0.2">
      <c r="A14" s="8" t="s">
        <v>12</v>
      </c>
      <c r="B14" s="126">
        <v>1.0920000000000001</v>
      </c>
      <c r="C14" s="7">
        <v>500</v>
      </c>
      <c r="D14" s="7">
        <v>750</v>
      </c>
      <c r="E14" s="2"/>
      <c r="F14" s="4" t="s">
        <v>18</v>
      </c>
      <c r="G14" s="121">
        <v>34.76</v>
      </c>
      <c r="H14" s="78"/>
      <c r="I14" s="78">
        <v>0</v>
      </c>
      <c r="J14" s="125">
        <v>2.8400000000000002E-2</v>
      </c>
      <c r="K14" s="121"/>
      <c r="L14" s="125"/>
      <c r="M14" s="121">
        <v>2E-3</v>
      </c>
      <c r="N14" s="125">
        <v>2.0000000000000002E-5</v>
      </c>
      <c r="O14" s="125">
        <v>4.7699999999999999E-3</v>
      </c>
      <c r="P14" s="125">
        <v>3.7950000000000002E-3</v>
      </c>
      <c r="Q14" s="3">
        <v>35.49</v>
      </c>
      <c r="R14" s="2">
        <v>0</v>
      </c>
      <c r="S14" s="100">
        <v>2.9100000000000001E-2</v>
      </c>
      <c r="T14" s="125">
        <v>0</v>
      </c>
      <c r="U14" s="125">
        <f t="shared" si="4"/>
        <v>0</v>
      </c>
      <c r="V14" s="171">
        <f t="shared" si="0"/>
        <v>2E-3</v>
      </c>
      <c r="W14" s="125">
        <f t="shared" si="1"/>
        <v>2.0000000000000002E-5</v>
      </c>
      <c r="X14" s="125">
        <f t="shared" si="2"/>
        <v>4.7699999999999999E-3</v>
      </c>
      <c r="Y14" s="125">
        <f t="shared" si="3"/>
        <v>3.7950000000000002E-3</v>
      </c>
    </row>
    <row r="15" spans="1:25" x14ac:dyDescent="0.2">
      <c r="A15" s="6" t="s">
        <v>5</v>
      </c>
      <c r="B15" s="126">
        <v>1.0609999999999999</v>
      </c>
      <c r="C15" s="7">
        <v>36000</v>
      </c>
      <c r="D15" s="7">
        <v>0</v>
      </c>
      <c r="E15" s="2">
        <v>117</v>
      </c>
      <c r="F15" s="4" t="s">
        <v>19</v>
      </c>
      <c r="G15" s="121">
        <v>102.52</v>
      </c>
      <c r="H15" s="78"/>
      <c r="I15" s="78">
        <v>0</v>
      </c>
      <c r="J15" s="125">
        <v>16.768900000000002</v>
      </c>
      <c r="K15" s="121"/>
      <c r="L15" s="125"/>
      <c r="M15" s="121">
        <v>-8.9999999999999993E-3</v>
      </c>
      <c r="N15" s="125">
        <v>5.1599999999999997E-3</v>
      </c>
      <c r="O15" s="125">
        <v>1.6718177000000001</v>
      </c>
      <c r="P15" s="125">
        <v>1.2769135</v>
      </c>
      <c r="Q15" s="3">
        <v>104.19</v>
      </c>
      <c r="R15" s="2">
        <v>0</v>
      </c>
      <c r="S15" s="100">
        <v>17.387</v>
      </c>
      <c r="T15" s="125">
        <v>0</v>
      </c>
      <c r="U15" s="125">
        <f t="shared" si="4"/>
        <v>0</v>
      </c>
      <c r="V15" s="171">
        <f t="shared" si="0"/>
        <v>-8.9999999999999993E-3</v>
      </c>
      <c r="W15" s="125">
        <f t="shared" si="1"/>
        <v>5.1599999999999997E-3</v>
      </c>
      <c r="X15" s="125">
        <f t="shared" si="2"/>
        <v>1.6718177000000001</v>
      </c>
      <c r="Y15" s="125">
        <f t="shared" si="3"/>
        <v>1.2769135</v>
      </c>
    </row>
    <row r="16" spans="1:25" x14ac:dyDescent="0.2">
      <c r="A16" s="6" t="s">
        <v>7</v>
      </c>
      <c r="B16" s="126">
        <v>1.05</v>
      </c>
      <c r="C16" s="7">
        <v>36000</v>
      </c>
      <c r="D16" s="7">
        <v>0</v>
      </c>
      <c r="E16" s="2">
        <v>117</v>
      </c>
      <c r="F16" s="4" t="s">
        <v>19</v>
      </c>
      <c r="G16" s="121">
        <v>100.72</v>
      </c>
      <c r="H16" s="78"/>
      <c r="I16" s="78">
        <v>0</v>
      </c>
      <c r="J16" s="125">
        <v>9.6226000000000003</v>
      </c>
      <c r="K16" s="121"/>
      <c r="L16" s="125"/>
      <c r="M16" s="121">
        <v>1.7999999999999999E-2</v>
      </c>
      <c r="N16" s="125">
        <v>1.1179999999999999E-2</v>
      </c>
      <c r="O16" s="125">
        <v>2.2310400000000001</v>
      </c>
      <c r="P16" s="125">
        <v>1.7046749999999999</v>
      </c>
      <c r="Q16" s="3">
        <v>102.72</v>
      </c>
      <c r="R16" s="2">
        <v>0</v>
      </c>
      <c r="S16" s="100">
        <v>9.9799000000000007</v>
      </c>
      <c r="T16" s="125">
        <v>0</v>
      </c>
      <c r="U16" s="125">
        <f t="shared" si="4"/>
        <v>0</v>
      </c>
      <c r="V16" s="171">
        <f t="shared" si="0"/>
        <v>1.7999999999999999E-2</v>
      </c>
      <c r="W16" s="125">
        <f t="shared" si="1"/>
        <v>1.1179999999999999E-2</v>
      </c>
      <c r="X16" s="125">
        <f t="shared" si="2"/>
        <v>2.2310400000000001</v>
      </c>
      <c r="Y16" s="125">
        <f t="shared" si="3"/>
        <v>1.7046749999999999</v>
      </c>
    </row>
    <row r="17" spans="1:25" x14ac:dyDescent="0.2">
      <c r="A17" s="8" t="s">
        <v>10</v>
      </c>
      <c r="B17" s="126">
        <v>1.0609999999999999</v>
      </c>
      <c r="C17" s="7">
        <v>2000</v>
      </c>
      <c r="D17" s="7">
        <v>0</v>
      </c>
      <c r="E17" s="2">
        <v>15</v>
      </c>
      <c r="F17" s="4" t="s">
        <v>19</v>
      </c>
      <c r="G17" s="121">
        <v>196.16</v>
      </c>
      <c r="H17" s="78"/>
      <c r="I17" s="78">
        <v>0</v>
      </c>
      <c r="J17" s="125">
        <v>6.431</v>
      </c>
      <c r="K17" s="121"/>
      <c r="L17" s="125"/>
      <c r="M17" s="121">
        <v>1.0999999999999999E-2</v>
      </c>
      <c r="N17" s="125">
        <v>2.82E-3</v>
      </c>
      <c r="O17" s="125">
        <v>0.63108279999999994</v>
      </c>
      <c r="P17" s="125">
        <v>0.54747599999999996</v>
      </c>
      <c r="Q17" s="3">
        <v>196.16</v>
      </c>
      <c r="R17" s="2">
        <v>0</v>
      </c>
      <c r="S17" s="100">
        <v>9.8219999999999992</v>
      </c>
      <c r="T17" s="125">
        <v>0</v>
      </c>
      <c r="U17" s="125">
        <f t="shared" si="4"/>
        <v>0</v>
      </c>
      <c r="V17" s="171">
        <f t="shared" si="0"/>
        <v>1.0999999999999999E-2</v>
      </c>
      <c r="W17" s="125">
        <f t="shared" si="1"/>
        <v>2.82E-3</v>
      </c>
      <c r="X17" s="125">
        <f t="shared" si="2"/>
        <v>0.63108279999999994</v>
      </c>
      <c r="Y17" s="125">
        <f t="shared" si="3"/>
        <v>0.54747599999999996</v>
      </c>
    </row>
    <row r="18" spans="1:25" x14ac:dyDescent="0.2">
      <c r="A18" s="8" t="s">
        <v>11</v>
      </c>
      <c r="B18" s="126">
        <v>1.034</v>
      </c>
      <c r="C18" s="7">
        <v>36000</v>
      </c>
      <c r="D18" s="7">
        <v>0</v>
      </c>
      <c r="E18" s="2">
        <v>117</v>
      </c>
      <c r="F18" s="4" t="s">
        <v>19</v>
      </c>
      <c r="G18" s="121">
        <v>1199.21</v>
      </c>
      <c r="H18" s="78"/>
      <c r="I18" s="78">
        <v>0</v>
      </c>
      <c r="J18" s="125">
        <v>1.3102585039311754</v>
      </c>
      <c r="K18" s="121"/>
      <c r="L18" s="125"/>
      <c r="M18" s="121">
        <v>3.819</v>
      </c>
      <c r="N18" s="125">
        <v>-0.13666999999999996</v>
      </c>
      <c r="O18" s="125">
        <v>3.4866480000000002</v>
      </c>
      <c r="P18" s="125">
        <v>2.6021643999999999</v>
      </c>
      <c r="Q18" s="3">
        <v>1223.97</v>
      </c>
      <c r="R18" s="2">
        <v>0</v>
      </c>
      <c r="S18" s="100">
        <v>1.365848472559207</v>
      </c>
      <c r="T18" s="125">
        <v>0</v>
      </c>
      <c r="U18" s="125">
        <f t="shared" si="4"/>
        <v>0</v>
      </c>
      <c r="V18" s="171">
        <f t="shared" si="0"/>
        <v>3.819</v>
      </c>
      <c r="W18" s="125">
        <f t="shared" si="1"/>
        <v>-0.13666999999999996</v>
      </c>
      <c r="X18" s="125">
        <f t="shared" si="2"/>
        <v>3.4866480000000002</v>
      </c>
      <c r="Y18" s="125">
        <f t="shared" si="3"/>
        <v>2.6021643999999999</v>
      </c>
    </row>
    <row r="19" spans="1:25" x14ac:dyDescent="0.2">
      <c r="G19"/>
      <c r="H19"/>
      <c r="I19"/>
      <c r="J19"/>
      <c r="K19"/>
      <c r="L19"/>
      <c r="M19"/>
      <c r="N19"/>
      <c r="O19"/>
      <c r="P19"/>
      <c r="T19" s="5"/>
      <c r="U19" s="5"/>
      <c r="V19" s="5"/>
      <c r="W19" s="68"/>
      <c r="X19" s="5"/>
    </row>
    <row r="20" spans="1:25" x14ac:dyDescent="0.2">
      <c r="G20"/>
      <c r="H20"/>
      <c r="I20"/>
      <c r="J20"/>
      <c r="K20"/>
      <c r="L20"/>
      <c r="M20"/>
      <c r="N20"/>
      <c r="O20" s="68"/>
      <c r="P20" s="68"/>
      <c r="T20" s="5"/>
      <c r="U20" s="5"/>
      <c r="V20" s="5"/>
      <c r="W20" s="5"/>
      <c r="X20" s="5"/>
    </row>
    <row r="21" spans="1:25" ht="38.25" x14ac:dyDescent="0.2">
      <c r="A21" s="10" t="s">
        <v>13</v>
      </c>
      <c r="B21" s="10" t="s">
        <v>14</v>
      </c>
      <c r="C21" s="166" t="s">
        <v>114</v>
      </c>
      <c r="D21" s="166" t="s">
        <v>115</v>
      </c>
      <c r="G21"/>
      <c r="H21"/>
      <c r="I21"/>
      <c r="J21"/>
      <c r="K21"/>
      <c r="L21"/>
      <c r="M21"/>
      <c r="N21"/>
      <c r="O21"/>
      <c r="P21" s="68"/>
      <c r="Q21" s="68"/>
      <c r="U21" s="5"/>
      <c r="V21" s="5"/>
      <c r="W21" s="5"/>
      <c r="X21" s="5"/>
      <c r="Y21" s="5"/>
    </row>
    <row r="22" spans="1:25" x14ac:dyDescent="0.2">
      <c r="A22" s="6" t="s">
        <v>0</v>
      </c>
      <c r="B22" s="126">
        <v>1.0569999999999999</v>
      </c>
      <c r="C22" s="165">
        <v>755</v>
      </c>
      <c r="D22" s="2"/>
      <c r="G22"/>
      <c r="H22"/>
      <c r="I22"/>
      <c r="J22"/>
      <c r="K22"/>
      <c r="L22"/>
      <c r="M22"/>
      <c r="N22"/>
      <c r="O22"/>
      <c r="P22" s="68"/>
      <c r="Q22" s="68"/>
      <c r="U22" s="5"/>
      <c r="V22" s="5"/>
      <c r="W22" s="5"/>
      <c r="X22" s="5"/>
      <c r="Y22" s="5"/>
    </row>
    <row r="23" spans="1:25" x14ac:dyDescent="0.2">
      <c r="A23" s="6" t="s">
        <v>1</v>
      </c>
      <c r="B23" s="126">
        <v>1.0760000000000001</v>
      </c>
      <c r="C23" s="165">
        <v>920</v>
      </c>
      <c r="D23" s="2"/>
      <c r="G23"/>
      <c r="H23"/>
      <c r="I23"/>
      <c r="J23"/>
      <c r="K23"/>
      <c r="L23"/>
      <c r="M23"/>
      <c r="N23"/>
      <c r="O23"/>
      <c r="P23" s="68"/>
      <c r="Q23" s="68"/>
      <c r="U23" s="5"/>
      <c r="V23" s="5"/>
      <c r="W23" s="5"/>
      <c r="X23" s="5"/>
      <c r="Y23" s="5"/>
    </row>
    <row r="24" spans="1:25" x14ac:dyDescent="0.2">
      <c r="A24" s="6" t="s">
        <v>2</v>
      </c>
      <c r="B24" s="126">
        <v>1.105</v>
      </c>
      <c r="C24" s="165">
        <v>1152</v>
      </c>
      <c r="D24" s="2"/>
      <c r="G24"/>
      <c r="H24"/>
      <c r="I24"/>
      <c r="J24"/>
      <c r="K24"/>
      <c r="L24"/>
      <c r="M24"/>
      <c r="N24"/>
      <c r="O24"/>
      <c r="P24"/>
      <c r="U24" s="5"/>
      <c r="V24" s="5"/>
      <c r="W24" s="5"/>
      <c r="X24" s="5"/>
      <c r="Y24" s="5"/>
    </row>
    <row r="25" spans="1:25" x14ac:dyDescent="0.2">
      <c r="A25" s="6" t="s">
        <v>3</v>
      </c>
      <c r="B25" s="126">
        <v>1.1040000000000001</v>
      </c>
      <c r="C25" s="165">
        <v>352</v>
      </c>
      <c r="D25" s="2"/>
      <c r="G25"/>
      <c r="H25"/>
      <c r="I25"/>
      <c r="J25"/>
      <c r="K25"/>
      <c r="L25"/>
      <c r="M25"/>
      <c r="N25"/>
      <c r="O25"/>
      <c r="P25"/>
      <c r="T25" s="68"/>
      <c r="U25" s="5"/>
      <c r="V25" s="5"/>
      <c r="W25" s="5"/>
      <c r="X25" s="5"/>
      <c r="Y25" s="5"/>
    </row>
    <row r="26" spans="1:25" x14ac:dyDescent="0.2">
      <c r="A26" s="6" t="s">
        <v>4</v>
      </c>
      <c r="B26" s="126">
        <v>1.0960000000000001</v>
      </c>
      <c r="C26" s="165">
        <v>1982</v>
      </c>
      <c r="D26" s="2"/>
      <c r="G26"/>
      <c r="H26"/>
      <c r="I26"/>
      <c r="J26"/>
      <c r="K26"/>
      <c r="L26"/>
      <c r="M26"/>
      <c r="N26"/>
      <c r="O26"/>
      <c r="P26"/>
      <c r="U26" s="5"/>
      <c r="V26" s="5"/>
      <c r="W26" s="5"/>
      <c r="X26" s="5"/>
      <c r="Y26" s="5"/>
    </row>
    <row r="27" spans="1:25" x14ac:dyDescent="0.2">
      <c r="A27" s="6" t="s">
        <v>6</v>
      </c>
      <c r="B27" s="126">
        <v>1.0669999999999999</v>
      </c>
      <c r="C27" s="165">
        <v>2759</v>
      </c>
      <c r="D27" s="2"/>
      <c r="G27"/>
      <c r="H27"/>
      <c r="I27"/>
      <c r="J27"/>
      <c r="K27"/>
      <c r="L27"/>
      <c r="M27"/>
      <c r="N27"/>
      <c r="O27"/>
      <c r="P27"/>
      <c r="U27" s="5"/>
      <c r="V27" s="5"/>
      <c r="W27" s="5"/>
      <c r="X27" s="5"/>
      <c r="Y27" s="5"/>
    </row>
    <row r="28" spans="1:25" x14ac:dyDescent="0.2">
      <c r="A28" s="6" t="s">
        <v>8</v>
      </c>
      <c r="B28" s="126">
        <v>1.0920000000000001</v>
      </c>
      <c r="C28" s="165">
        <v>517</v>
      </c>
      <c r="D28" s="2"/>
      <c r="G28"/>
      <c r="H28"/>
      <c r="I28"/>
      <c r="J28"/>
      <c r="K28"/>
      <c r="L28"/>
      <c r="M28"/>
      <c r="N28"/>
      <c r="O28"/>
      <c r="P28"/>
      <c r="U28" s="5"/>
      <c r="V28" s="5"/>
      <c r="W28" s="5"/>
      <c r="X28" s="5"/>
      <c r="Y28" s="5"/>
    </row>
    <row r="29" spans="1:25" x14ac:dyDescent="0.2">
      <c r="A29" s="6" t="s">
        <v>9</v>
      </c>
      <c r="B29" s="126">
        <v>1.0920000000000001</v>
      </c>
      <c r="C29" s="165">
        <v>71</v>
      </c>
      <c r="D29" s="2"/>
      <c r="G29"/>
      <c r="H29"/>
      <c r="I29"/>
      <c r="J29"/>
      <c r="K29"/>
      <c r="L29"/>
      <c r="M29"/>
      <c r="N29"/>
      <c r="O29"/>
      <c r="P29"/>
      <c r="U29" s="5"/>
      <c r="V29" s="5"/>
      <c r="W29" s="5"/>
      <c r="X29" s="5"/>
      <c r="Y29" s="5"/>
    </row>
    <row r="30" spans="1:25" x14ac:dyDescent="0.2">
      <c r="A30" s="8" t="s">
        <v>12</v>
      </c>
      <c r="B30" s="126">
        <v>1.0920000000000001</v>
      </c>
      <c r="C30" s="165">
        <v>364</v>
      </c>
      <c r="D30" s="2"/>
      <c r="G30"/>
      <c r="H30"/>
      <c r="I30"/>
      <c r="J30"/>
      <c r="K30"/>
      <c r="L30"/>
      <c r="M30"/>
      <c r="N30"/>
      <c r="O30"/>
      <c r="P30"/>
      <c r="U30" s="5"/>
      <c r="V30" s="5"/>
      <c r="W30" s="5"/>
      <c r="X30" s="5"/>
      <c r="Y30" s="5"/>
    </row>
    <row r="31" spans="1:25" x14ac:dyDescent="0.2">
      <c r="A31" s="6" t="s">
        <v>5</v>
      </c>
      <c r="B31" s="126">
        <v>1.0609999999999999</v>
      </c>
      <c r="C31" s="165">
        <v>36104</v>
      </c>
      <c r="D31" s="165">
        <v>124</v>
      </c>
      <c r="G31"/>
      <c r="H31"/>
      <c r="I31"/>
      <c r="J31"/>
      <c r="K31"/>
      <c r="L31"/>
      <c r="M31"/>
      <c r="N31"/>
      <c r="O31"/>
      <c r="P31"/>
    </row>
    <row r="32" spans="1:25" x14ac:dyDescent="0.2">
      <c r="A32" s="6" t="s">
        <v>7</v>
      </c>
      <c r="B32" s="126">
        <v>1.05</v>
      </c>
      <c r="C32" s="165">
        <v>50525</v>
      </c>
      <c r="D32" s="165">
        <v>135</v>
      </c>
      <c r="G32"/>
      <c r="H32"/>
      <c r="I32"/>
      <c r="J32"/>
      <c r="K32"/>
      <c r="L32"/>
      <c r="M32"/>
      <c r="N32"/>
      <c r="O32"/>
      <c r="P32"/>
    </row>
    <row r="33" spans="1:16" x14ac:dyDescent="0.2">
      <c r="A33" s="8" t="s">
        <v>10</v>
      </c>
      <c r="B33" s="126">
        <v>1.0609999999999999</v>
      </c>
      <c r="C33" s="165">
        <v>1328</v>
      </c>
      <c r="D33" s="165">
        <v>13</v>
      </c>
      <c r="G33"/>
      <c r="H33"/>
      <c r="I33"/>
      <c r="J33"/>
      <c r="K33"/>
      <c r="L33"/>
      <c r="M33"/>
      <c r="N33"/>
      <c r="O33"/>
      <c r="P33"/>
    </row>
    <row r="34" spans="1:16" x14ac:dyDescent="0.2">
      <c r="A34" s="8" t="s">
        <v>11</v>
      </c>
      <c r="B34" s="126">
        <v>1.034</v>
      </c>
      <c r="C34" s="165">
        <v>1601036</v>
      </c>
      <c r="D34" s="165">
        <v>3091</v>
      </c>
      <c r="G34"/>
      <c r="H34"/>
      <c r="I34"/>
      <c r="J34"/>
      <c r="K34"/>
      <c r="L34"/>
      <c r="M34"/>
      <c r="N34"/>
      <c r="O34"/>
      <c r="P34"/>
    </row>
    <row r="35" spans="1:16" x14ac:dyDescent="0.2">
      <c r="G35"/>
      <c r="H35"/>
      <c r="I35"/>
      <c r="J35"/>
      <c r="K35"/>
      <c r="L35"/>
      <c r="M35"/>
      <c r="N35"/>
      <c r="O35"/>
      <c r="P35"/>
    </row>
    <row r="36" spans="1:16" x14ac:dyDescent="0.2">
      <c r="G36"/>
      <c r="H36"/>
      <c r="I36"/>
      <c r="J36"/>
      <c r="K36"/>
      <c r="L36"/>
      <c r="M36"/>
      <c r="N36"/>
      <c r="O36"/>
      <c r="P36"/>
    </row>
    <row r="37" spans="1:16" x14ac:dyDescent="0.2">
      <c r="G37"/>
      <c r="H37"/>
      <c r="I37"/>
      <c r="J37"/>
      <c r="K37"/>
      <c r="L37"/>
      <c r="M37"/>
      <c r="N37"/>
      <c r="O37"/>
      <c r="P37"/>
    </row>
    <row r="38" spans="1:16" x14ac:dyDescent="0.2">
      <c r="G38"/>
      <c r="H38"/>
      <c r="I38"/>
      <c r="J38"/>
      <c r="K38"/>
      <c r="L38"/>
      <c r="M38"/>
      <c r="N38"/>
      <c r="O38"/>
      <c r="P38"/>
    </row>
    <row r="39" spans="1:16" x14ac:dyDescent="0.2">
      <c r="G39"/>
      <c r="H39"/>
      <c r="I39"/>
      <c r="J39"/>
      <c r="K39"/>
      <c r="L39"/>
      <c r="M39"/>
      <c r="N39"/>
      <c r="O39"/>
      <c r="P39"/>
    </row>
    <row r="40" spans="1:16" x14ac:dyDescent="0.2">
      <c r="G40"/>
      <c r="H40"/>
      <c r="I40"/>
      <c r="J40"/>
      <c r="K40"/>
      <c r="L40"/>
      <c r="M40"/>
      <c r="N40"/>
      <c r="O40"/>
      <c r="P40"/>
    </row>
    <row r="41" spans="1:16" x14ac:dyDescent="0.2">
      <c r="G41"/>
      <c r="H41"/>
      <c r="I41"/>
      <c r="J41"/>
      <c r="K41"/>
      <c r="L41"/>
      <c r="M41"/>
      <c r="N41"/>
      <c r="O41"/>
      <c r="P41"/>
    </row>
    <row r="42" spans="1:16" x14ac:dyDescent="0.2">
      <c r="G42"/>
      <c r="H42"/>
      <c r="I42"/>
      <c r="J42"/>
      <c r="K42"/>
      <c r="L42"/>
      <c r="M42"/>
      <c r="N42"/>
      <c r="O42"/>
      <c r="P42"/>
    </row>
    <row r="43" spans="1:16" x14ac:dyDescent="0.2">
      <c r="G43"/>
      <c r="H43"/>
      <c r="I43"/>
      <c r="J43"/>
      <c r="K43"/>
      <c r="L43"/>
      <c r="M43"/>
      <c r="N43"/>
      <c r="O43"/>
      <c r="P43"/>
    </row>
    <row r="44" spans="1:16" x14ac:dyDescent="0.2">
      <c r="G44"/>
      <c r="H44"/>
      <c r="I44"/>
      <c r="J44"/>
      <c r="K44"/>
      <c r="L44"/>
      <c r="M44"/>
      <c r="N44"/>
      <c r="O44"/>
      <c r="P44"/>
    </row>
    <row r="45" spans="1:16" x14ac:dyDescent="0.2">
      <c r="G45"/>
      <c r="H45"/>
      <c r="I45"/>
      <c r="J45"/>
      <c r="K45"/>
      <c r="L45"/>
      <c r="M45"/>
      <c r="N45"/>
      <c r="O45"/>
      <c r="P45"/>
    </row>
    <row r="46" spans="1:16" x14ac:dyDescent="0.2">
      <c r="G46"/>
      <c r="H46"/>
      <c r="I46"/>
      <c r="J46"/>
      <c r="K46"/>
      <c r="L46"/>
      <c r="M46"/>
      <c r="N46"/>
      <c r="O46"/>
      <c r="P46"/>
    </row>
    <row r="47" spans="1:16" x14ac:dyDescent="0.2">
      <c r="G47"/>
      <c r="H47"/>
      <c r="I47"/>
      <c r="J47"/>
      <c r="K47"/>
      <c r="L47"/>
      <c r="M47"/>
      <c r="N47"/>
      <c r="O47"/>
      <c r="P47"/>
    </row>
    <row r="48" spans="1:16" x14ac:dyDescent="0.2">
      <c r="G48"/>
      <c r="H48"/>
      <c r="I48"/>
      <c r="J48"/>
      <c r="K48"/>
      <c r="L48"/>
      <c r="M48"/>
      <c r="N48"/>
      <c r="O48"/>
      <c r="P48"/>
    </row>
    <row r="49" spans="7:16" x14ac:dyDescent="0.2">
      <c r="G49"/>
      <c r="H49"/>
      <c r="I49"/>
      <c r="J49"/>
      <c r="K49"/>
      <c r="L49"/>
      <c r="M49"/>
      <c r="N49"/>
      <c r="O49"/>
      <c r="P49"/>
    </row>
    <row r="50" spans="7:16" x14ac:dyDescent="0.2">
      <c r="G50"/>
      <c r="H50"/>
      <c r="I50"/>
      <c r="J50"/>
      <c r="K50"/>
      <c r="L50"/>
      <c r="M50"/>
      <c r="N50"/>
      <c r="O50"/>
      <c r="P50"/>
    </row>
    <row r="51" spans="7:16" x14ac:dyDescent="0.2">
      <c r="G51"/>
      <c r="H51"/>
      <c r="I51"/>
      <c r="J51"/>
      <c r="K51"/>
      <c r="L51"/>
      <c r="M51"/>
      <c r="N51"/>
      <c r="O51"/>
      <c r="P51"/>
    </row>
    <row r="52" spans="7:16" x14ac:dyDescent="0.2">
      <c r="G52"/>
      <c r="H52"/>
      <c r="I52"/>
      <c r="J52"/>
      <c r="K52"/>
      <c r="L52"/>
      <c r="M52"/>
      <c r="N52"/>
      <c r="O52"/>
      <c r="P52"/>
    </row>
    <row r="53" spans="7:16" x14ac:dyDescent="0.2">
      <c r="G53"/>
      <c r="H53"/>
      <c r="I53"/>
      <c r="J53"/>
      <c r="K53"/>
      <c r="L53"/>
      <c r="M53"/>
      <c r="N53"/>
      <c r="O53"/>
      <c r="P53"/>
    </row>
    <row r="54" spans="7:16" x14ac:dyDescent="0.2">
      <c r="G54"/>
      <c r="H54"/>
      <c r="I54"/>
      <c r="J54"/>
      <c r="K54"/>
      <c r="L54"/>
      <c r="M54"/>
      <c r="N54"/>
      <c r="O54"/>
      <c r="P54"/>
    </row>
    <row r="55" spans="7:16" x14ac:dyDescent="0.2">
      <c r="G55"/>
      <c r="H55"/>
      <c r="I55"/>
      <c r="J55"/>
      <c r="K55"/>
      <c r="L55"/>
      <c r="M55"/>
      <c r="N55"/>
      <c r="O55"/>
      <c r="P55"/>
    </row>
    <row r="56" spans="7:16" x14ac:dyDescent="0.2">
      <c r="G56"/>
      <c r="H56"/>
      <c r="I56"/>
      <c r="J56"/>
      <c r="K56"/>
      <c r="L56"/>
      <c r="M56"/>
      <c r="N56"/>
      <c r="O56"/>
      <c r="P56"/>
    </row>
    <row r="57" spans="7:16" x14ac:dyDescent="0.2">
      <c r="G57"/>
      <c r="H57"/>
      <c r="I57"/>
      <c r="J57"/>
      <c r="K57"/>
      <c r="L57"/>
      <c r="M57"/>
      <c r="N57"/>
      <c r="O57"/>
      <c r="P57"/>
    </row>
    <row r="58" spans="7:16" x14ac:dyDescent="0.2">
      <c r="G58"/>
      <c r="H58"/>
      <c r="I58"/>
      <c r="J58"/>
      <c r="K58"/>
      <c r="L58"/>
      <c r="M58"/>
      <c r="N58"/>
      <c r="O58"/>
      <c r="P58"/>
    </row>
    <row r="59" spans="7:16" x14ac:dyDescent="0.2">
      <c r="G59"/>
      <c r="H59"/>
      <c r="I59"/>
      <c r="J59"/>
      <c r="K59"/>
      <c r="L59"/>
      <c r="M59"/>
      <c r="N59"/>
      <c r="O59"/>
      <c r="P59"/>
    </row>
    <row r="60" spans="7:16" x14ac:dyDescent="0.2">
      <c r="G60"/>
      <c r="H60"/>
      <c r="I60"/>
      <c r="J60"/>
      <c r="K60"/>
      <c r="L60"/>
      <c r="M60"/>
      <c r="N60"/>
      <c r="O60"/>
      <c r="P60"/>
    </row>
    <row r="61" spans="7:16" x14ac:dyDescent="0.2">
      <c r="G61"/>
      <c r="H61"/>
      <c r="I61"/>
      <c r="J61"/>
      <c r="K61"/>
      <c r="L61"/>
      <c r="M61"/>
      <c r="N61"/>
      <c r="O61"/>
      <c r="P61"/>
    </row>
    <row r="62" spans="7:16" x14ac:dyDescent="0.2">
      <c r="G62"/>
      <c r="H62"/>
      <c r="I62"/>
      <c r="J62"/>
      <c r="K62"/>
      <c r="L62"/>
      <c r="M62"/>
      <c r="N62"/>
      <c r="O62"/>
      <c r="P62"/>
    </row>
    <row r="63" spans="7:16" x14ac:dyDescent="0.2">
      <c r="G63"/>
      <c r="H63"/>
      <c r="I63"/>
      <c r="J63"/>
      <c r="K63"/>
      <c r="L63"/>
      <c r="M63"/>
      <c r="N63"/>
      <c r="O63"/>
      <c r="P63"/>
    </row>
    <row r="64" spans="7:16" x14ac:dyDescent="0.2">
      <c r="G64"/>
      <c r="H64"/>
      <c r="I64"/>
      <c r="J64"/>
      <c r="K64"/>
      <c r="L64"/>
      <c r="M64"/>
      <c r="N64"/>
      <c r="O64"/>
      <c r="P64"/>
    </row>
    <row r="65" spans="7:16" x14ac:dyDescent="0.2">
      <c r="G65"/>
      <c r="H65"/>
      <c r="I65"/>
      <c r="J65"/>
      <c r="K65"/>
      <c r="L65"/>
      <c r="M65"/>
      <c r="N65"/>
      <c r="O65"/>
      <c r="P65"/>
    </row>
    <row r="66" spans="7:16" x14ac:dyDescent="0.2">
      <c r="G66"/>
      <c r="H66"/>
      <c r="I66"/>
      <c r="J66"/>
      <c r="K66"/>
      <c r="L66"/>
      <c r="M66"/>
      <c r="N66"/>
      <c r="O66"/>
      <c r="P66"/>
    </row>
    <row r="67" spans="7:16" x14ac:dyDescent="0.2">
      <c r="G67"/>
      <c r="H67"/>
      <c r="I67"/>
      <c r="J67"/>
      <c r="K67"/>
      <c r="L67"/>
      <c r="M67"/>
      <c r="N67"/>
      <c r="O67"/>
      <c r="P67"/>
    </row>
    <row r="68" spans="7:16" x14ac:dyDescent="0.2">
      <c r="G68"/>
      <c r="H68"/>
      <c r="I68"/>
      <c r="J68"/>
      <c r="K68"/>
      <c r="L68"/>
      <c r="M68"/>
      <c r="N68"/>
      <c r="O68"/>
      <c r="P68"/>
    </row>
    <row r="69" spans="7:16" x14ac:dyDescent="0.2">
      <c r="G69"/>
      <c r="H69"/>
      <c r="I69"/>
      <c r="J69"/>
      <c r="K69"/>
      <c r="L69"/>
      <c r="M69"/>
      <c r="N69"/>
      <c r="O69"/>
      <c r="P69"/>
    </row>
    <row r="70" spans="7:16" x14ac:dyDescent="0.2">
      <c r="G70"/>
      <c r="H70"/>
      <c r="I70"/>
      <c r="J70"/>
      <c r="K70"/>
      <c r="L70"/>
      <c r="M70"/>
      <c r="N70"/>
      <c r="O70"/>
      <c r="P70"/>
    </row>
    <row r="71" spans="7:16" x14ac:dyDescent="0.2">
      <c r="G71"/>
      <c r="H71"/>
      <c r="I71"/>
      <c r="J71"/>
      <c r="K71"/>
      <c r="L71"/>
      <c r="M71"/>
      <c r="N71"/>
      <c r="O71"/>
      <c r="P71"/>
    </row>
    <row r="72" spans="7:16" x14ac:dyDescent="0.2">
      <c r="G72"/>
      <c r="H72"/>
      <c r="I72"/>
      <c r="J72"/>
      <c r="K72"/>
      <c r="L72"/>
      <c r="M72"/>
      <c r="N72"/>
      <c r="O72"/>
      <c r="P72"/>
    </row>
    <row r="73" spans="7:16" x14ac:dyDescent="0.2">
      <c r="G73"/>
      <c r="H73"/>
      <c r="I73"/>
      <c r="J73"/>
      <c r="K73"/>
      <c r="L73"/>
      <c r="M73"/>
      <c r="N73"/>
      <c r="O73"/>
      <c r="P73"/>
    </row>
    <row r="74" spans="7:16" x14ac:dyDescent="0.2">
      <c r="G74"/>
      <c r="H74"/>
      <c r="I74"/>
      <c r="J74"/>
      <c r="K74"/>
      <c r="L74"/>
      <c r="M74"/>
      <c r="N74"/>
      <c r="O74"/>
      <c r="P74"/>
    </row>
    <row r="75" spans="7:16" x14ac:dyDescent="0.2">
      <c r="G75"/>
      <c r="H75"/>
      <c r="I75"/>
      <c r="J75"/>
      <c r="K75"/>
      <c r="L75"/>
      <c r="M75"/>
      <c r="N75"/>
      <c r="O75"/>
      <c r="P75"/>
    </row>
    <row r="76" spans="7:16" x14ac:dyDescent="0.2">
      <c r="G76"/>
      <c r="H76"/>
      <c r="I76"/>
      <c r="J76"/>
      <c r="K76"/>
      <c r="L76"/>
      <c r="M76"/>
      <c r="N76"/>
      <c r="O76"/>
      <c r="P76"/>
    </row>
    <row r="77" spans="7:16" x14ac:dyDescent="0.2">
      <c r="G77"/>
      <c r="H77"/>
      <c r="I77"/>
      <c r="J77"/>
      <c r="K77"/>
      <c r="L77"/>
      <c r="M77"/>
      <c r="N77"/>
      <c r="O77"/>
      <c r="P77"/>
    </row>
    <row r="78" spans="7:16" x14ac:dyDescent="0.2">
      <c r="G78"/>
      <c r="H78"/>
      <c r="I78"/>
      <c r="J78"/>
      <c r="K78"/>
      <c r="L78"/>
      <c r="M78"/>
      <c r="N78"/>
      <c r="O78"/>
      <c r="P78"/>
    </row>
    <row r="79" spans="7:16" x14ac:dyDescent="0.2">
      <c r="G79"/>
      <c r="H79"/>
      <c r="I79"/>
      <c r="J79"/>
      <c r="K79"/>
      <c r="L79"/>
      <c r="M79"/>
      <c r="N79"/>
      <c r="O79"/>
      <c r="P79"/>
    </row>
    <row r="80" spans="7:16" x14ac:dyDescent="0.2">
      <c r="G80"/>
      <c r="H80"/>
      <c r="I80"/>
      <c r="J80"/>
      <c r="K80"/>
      <c r="L80"/>
      <c r="M80"/>
      <c r="N80"/>
      <c r="O80"/>
      <c r="P80"/>
    </row>
    <row r="81" spans="7:16" x14ac:dyDescent="0.2">
      <c r="G81"/>
      <c r="H81"/>
      <c r="I81"/>
      <c r="J81"/>
      <c r="K81"/>
      <c r="L81"/>
      <c r="M81"/>
      <c r="N81"/>
      <c r="O81"/>
      <c r="P81"/>
    </row>
    <row r="82" spans="7:16" x14ac:dyDescent="0.2">
      <c r="G82"/>
      <c r="H82"/>
      <c r="I82"/>
      <c r="J82"/>
      <c r="K82"/>
      <c r="L82"/>
      <c r="M82"/>
      <c r="N82"/>
      <c r="O82"/>
      <c r="P82"/>
    </row>
    <row r="83" spans="7:16" x14ac:dyDescent="0.2">
      <c r="G83"/>
      <c r="H83"/>
      <c r="I83"/>
      <c r="J83"/>
      <c r="K83"/>
      <c r="L83"/>
      <c r="M83"/>
      <c r="N83"/>
      <c r="O83"/>
      <c r="P83"/>
    </row>
    <row r="84" spans="7:16" x14ac:dyDescent="0.2">
      <c r="G84"/>
      <c r="H84"/>
      <c r="I84"/>
      <c r="J84"/>
      <c r="K84"/>
      <c r="L84"/>
      <c r="M84"/>
      <c r="N84"/>
      <c r="O84"/>
      <c r="P84"/>
    </row>
    <row r="85" spans="7:16" x14ac:dyDescent="0.2">
      <c r="G85"/>
      <c r="H85"/>
      <c r="I85"/>
      <c r="J85"/>
      <c r="K85"/>
      <c r="L85"/>
      <c r="M85"/>
      <c r="N85"/>
      <c r="O85"/>
      <c r="P85"/>
    </row>
    <row r="86" spans="7:16" x14ac:dyDescent="0.2">
      <c r="G86"/>
      <c r="H86"/>
      <c r="I86"/>
      <c r="J86"/>
      <c r="K86"/>
      <c r="L86"/>
      <c r="M86"/>
      <c r="N86"/>
      <c r="O86"/>
      <c r="P86"/>
    </row>
    <row r="87" spans="7:16" x14ac:dyDescent="0.2">
      <c r="G87"/>
      <c r="H87"/>
      <c r="I87"/>
      <c r="J87"/>
      <c r="K87"/>
      <c r="L87"/>
      <c r="M87"/>
      <c r="N87"/>
      <c r="O87"/>
      <c r="P87"/>
    </row>
    <row r="88" spans="7:16" x14ac:dyDescent="0.2">
      <c r="G88"/>
      <c r="H88"/>
      <c r="I88"/>
      <c r="J88"/>
      <c r="K88"/>
      <c r="L88"/>
      <c r="M88"/>
      <c r="N88"/>
      <c r="O88"/>
      <c r="P88"/>
    </row>
    <row r="89" spans="7:16" x14ac:dyDescent="0.2">
      <c r="G89"/>
      <c r="H89"/>
      <c r="I89"/>
      <c r="J89"/>
      <c r="K89"/>
      <c r="L89"/>
      <c r="M89"/>
      <c r="N89"/>
      <c r="O89"/>
      <c r="P89"/>
    </row>
    <row r="90" spans="7:16" x14ac:dyDescent="0.2">
      <c r="G90"/>
      <c r="H90"/>
      <c r="I90"/>
      <c r="J90"/>
      <c r="K90"/>
      <c r="L90"/>
      <c r="M90"/>
      <c r="N90"/>
      <c r="O90"/>
      <c r="P90"/>
    </row>
    <row r="91" spans="7:16" x14ac:dyDescent="0.2">
      <c r="G91"/>
      <c r="H91"/>
      <c r="I91"/>
      <c r="J91"/>
      <c r="K91"/>
      <c r="L91"/>
      <c r="M91"/>
      <c r="N91"/>
      <c r="O91"/>
      <c r="P91"/>
    </row>
    <row r="92" spans="7:16" x14ac:dyDescent="0.2">
      <c r="G92"/>
      <c r="H92"/>
      <c r="I92"/>
      <c r="J92"/>
      <c r="K92"/>
      <c r="L92"/>
      <c r="M92"/>
      <c r="N92"/>
      <c r="O92"/>
      <c r="P92"/>
    </row>
  </sheetData>
  <pageMargins left="0.7" right="0.7" top="0.75" bottom="0.75" header="0.3" footer="0.3"/>
  <pageSetup paperSize="5" scale="62" fitToHeight="0" orientation="landscape" r:id="rId1"/>
  <headerFooter>
    <oddHeader xml:space="preserve">&amp;RUpdated: 2017-06-07
EB-2017-0049
ExhibitH1-4-1
Attachment 2
Page &amp;P of &amp;N
</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121</v>
      </c>
      <c r="B1" s="186"/>
      <c r="C1" s="186"/>
      <c r="D1" s="186"/>
      <c r="E1" s="186"/>
      <c r="F1" s="186"/>
      <c r="G1" s="186"/>
      <c r="H1" s="186"/>
      <c r="I1" s="186"/>
      <c r="J1" s="186"/>
      <c r="K1" s="187"/>
    </row>
    <row r="3" spans="1:11" x14ac:dyDescent="0.2">
      <c r="A3" s="13" t="s">
        <v>13</v>
      </c>
      <c r="B3" s="13" t="s">
        <v>1</v>
      </c>
    </row>
    <row r="4" spans="1:11" x14ac:dyDescent="0.2">
      <c r="A4" s="15" t="s">
        <v>62</v>
      </c>
      <c r="B4" s="15">
        <v>1800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67">
        <f>B4*B6</f>
        <v>1936.8000000000002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0.16720695134140606</v>
      </c>
      <c r="K12" s="106"/>
    </row>
    <row r="13" spans="1:11" x14ac:dyDescent="0.2">
      <c r="A13" s="107" t="s">
        <v>32</v>
      </c>
      <c r="B13" s="73">
        <f>IF(B4&gt;B7,(B4)-B7,0)</f>
        <v>1200</v>
      </c>
      <c r="C13" s="21">
        <v>0.106</v>
      </c>
      <c r="D13" s="22">
        <f>B13*C13</f>
        <v>127.2</v>
      </c>
      <c r="E13" s="73">
        <f t="shared" ref="E13" si="1">B13</f>
        <v>1200</v>
      </c>
      <c r="F13" s="21">
        <f>C13</f>
        <v>0.106</v>
      </c>
      <c r="G13" s="22">
        <f>E13*F13</f>
        <v>127.2</v>
      </c>
      <c r="H13" s="22">
        <f t="shared" ref="H13:H46" si="2">G13-D13</f>
        <v>0</v>
      </c>
      <c r="I13" s="23">
        <f t="shared" si="0"/>
        <v>0</v>
      </c>
      <c r="J13" s="23">
        <f>G13/$G$46</f>
        <v>0.38953707345470423</v>
      </c>
      <c r="K13" s="108"/>
    </row>
    <row r="14" spans="1:11" s="1" customFormat="1" x14ac:dyDescent="0.2">
      <c r="A14" s="46" t="s">
        <v>33</v>
      </c>
      <c r="B14" s="24"/>
      <c r="C14" s="25"/>
      <c r="D14" s="25">
        <f>SUM(D12:D13)</f>
        <v>181.8</v>
      </c>
      <c r="E14" s="76"/>
      <c r="F14" s="25"/>
      <c r="G14" s="25">
        <f>SUM(G12:G13)</f>
        <v>181.8</v>
      </c>
      <c r="H14" s="25">
        <f t="shared" si="2"/>
        <v>0</v>
      </c>
      <c r="I14" s="27">
        <f t="shared" si="0"/>
        <v>0</v>
      </c>
      <c r="J14" s="27">
        <f>G14/$G$46</f>
        <v>0.55674402479611029</v>
      </c>
      <c r="K14" s="108"/>
    </row>
    <row r="15" spans="1:11" s="1" customFormat="1" x14ac:dyDescent="0.2">
      <c r="A15" s="109" t="s">
        <v>34</v>
      </c>
      <c r="B15" s="75">
        <f>B4*0.65</f>
        <v>1170</v>
      </c>
      <c r="C15" s="28">
        <v>7.6999999999999999E-2</v>
      </c>
      <c r="D15" s="22">
        <f>B15*C15</f>
        <v>90.09</v>
      </c>
      <c r="E15" s="73">
        <f t="shared" ref="E15:F17" si="3">B15</f>
        <v>1170</v>
      </c>
      <c r="F15" s="28">
        <f t="shared" si="3"/>
        <v>7.6999999999999999E-2</v>
      </c>
      <c r="G15" s="22">
        <f>E15*F15</f>
        <v>90.09</v>
      </c>
      <c r="H15" s="22">
        <f t="shared" si="2"/>
        <v>0</v>
      </c>
      <c r="I15" s="23">
        <f t="shared" si="0"/>
        <v>0</v>
      </c>
      <c r="J15" s="23"/>
      <c r="K15" s="108">
        <f t="shared" ref="K15:K26" si="4">G15/$G$51</f>
        <v>0.28263868067436793</v>
      </c>
    </row>
    <row r="16" spans="1:11" s="1" customFormat="1" x14ac:dyDescent="0.2">
      <c r="A16" s="109" t="s">
        <v>35</v>
      </c>
      <c r="B16" s="75">
        <f>B4*0.17</f>
        <v>306</v>
      </c>
      <c r="C16" s="28">
        <v>0.113</v>
      </c>
      <c r="D16" s="22">
        <f>B16*C16</f>
        <v>34.578000000000003</v>
      </c>
      <c r="E16" s="73">
        <f t="shared" si="3"/>
        <v>306</v>
      </c>
      <c r="F16" s="28">
        <f t="shared" si="3"/>
        <v>0.113</v>
      </c>
      <c r="G16" s="22">
        <f>E16*F16</f>
        <v>34.578000000000003</v>
      </c>
      <c r="H16" s="22">
        <f t="shared" si="2"/>
        <v>0</v>
      </c>
      <c r="I16" s="23">
        <f t="shared" si="0"/>
        <v>0</v>
      </c>
      <c r="J16" s="23"/>
      <c r="K16" s="108">
        <f t="shared" si="4"/>
        <v>0.10848129981527689</v>
      </c>
    </row>
    <row r="17" spans="1:11" s="1" customFormat="1" x14ac:dyDescent="0.2">
      <c r="A17" s="109" t="s">
        <v>36</v>
      </c>
      <c r="B17" s="75">
        <f>B4*0.18</f>
        <v>324</v>
      </c>
      <c r="C17" s="28">
        <v>0.157</v>
      </c>
      <c r="D17" s="22">
        <f>B17*C17</f>
        <v>50.868000000000002</v>
      </c>
      <c r="E17" s="73">
        <f t="shared" si="3"/>
        <v>324</v>
      </c>
      <c r="F17" s="28">
        <f t="shared" si="3"/>
        <v>0.157</v>
      </c>
      <c r="G17" s="22">
        <f>E17*F17</f>
        <v>50.868000000000002</v>
      </c>
      <c r="H17" s="22">
        <f t="shared" si="2"/>
        <v>0</v>
      </c>
      <c r="I17" s="23">
        <f t="shared" si="0"/>
        <v>0</v>
      </c>
      <c r="J17" s="23"/>
      <c r="K17" s="108">
        <f t="shared" si="4"/>
        <v>0.15958779452263011</v>
      </c>
    </row>
    <row r="18" spans="1:11" s="1" customFormat="1" x14ac:dyDescent="0.2">
      <c r="A18" s="61" t="s">
        <v>37</v>
      </c>
      <c r="B18" s="29"/>
      <c r="C18" s="30"/>
      <c r="D18" s="30">
        <f>SUM(D15:D17)</f>
        <v>175.536</v>
      </c>
      <c r="E18" s="77"/>
      <c r="F18" s="30"/>
      <c r="G18" s="30">
        <f>SUM(G15:G17)</f>
        <v>175.536</v>
      </c>
      <c r="H18" s="31">
        <f t="shared" si="2"/>
        <v>0</v>
      </c>
      <c r="I18" s="32">
        <f t="shared" si="0"/>
        <v>0</v>
      </c>
      <c r="J18" s="33">
        <f t="shared" ref="J18:J26" si="5">G18/$G$46</f>
        <v>0.53756116136749177</v>
      </c>
      <c r="K18" s="62">
        <f t="shared" si="4"/>
        <v>0.55070777501227497</v>
      </c>
    </row>
    <row r="19" spans="1:11" x14ac:dyDescent="0.2">
      <c r="A19" s="107" t="s">
        <v>38</v>
      </c>
      <c r="B19" s="73">
        <v>1</v>
      </c>
      <c r="C19" s="78">
        <f>VLOOKUP($B$3,'Data for Bill Impacts'!$A$6:$Y$18,7,0)</f>
        <v>37.79</v>
      </c>
      <c r="D19" s="22">
        <f>B19*C19</f>
        <v>37.79</v>
      </c>
      <c r="E19" s="73">
        <f t="shared" ref="E19:E41" si="6">B19</f>
        <v>1</v>
      </c>
      <c r="F19" s="78">
        <f>VLOOKUP($B$3,'Data for Bill Impacts'!$A$6:$Y$18,17,0)</f>
        <v>42.19</v>
      </c>
      <c r="G19" s="22">
        <f>E19*F19</f>
        <v>42.19</v>
      </c>
      <c r="H19" s="22">
        <f t="shared" si="2"/>
        <v>4.3999999999999986</v>
      </c>
      <c r="I19" s="23">
        <f>IF(ISERROR(H19/ABS(D19)),"N/A",(H19/ABS(D19)))</f>
        <v>0.1164329187615771</v>
      </c>
      <c r="J19" s="23">
        <f t="shared" si="5"/>
        <v>0.12920258749256266</v>
      </c>
      <c r="K19" s="108">
        <f t="shared" si="4"/>
        <v>0.13236237027030284</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4.0000000000000001E-3</v>
      </c>
      <c r="D22" s="22">
        <f t="shared" si="9"/>
        <v>4.0000000000000001E-3</v>
      </c>
      <c r="E22" s="73">
        <f t="shared" si="6"/>
        <v>1</v>
      </c>
      <c r="F22" s="121">
        <f>VLOOKUP($B$3,'Data for Bill Impacts'!$A$6:$Y$18,22,0)</f>
        <v>4.0000000000000001E-3</v>
      </c>
      <c r="G22" s="22">
        <f t="shared" si="7"/>
        <v>4.0000000000000001E-3</v>
      </c>
      <c r="H22" s="22">
        <f t="shared" si="2"/>
        <v>0</v>
      </c>
      <c r="I22" s="23">
        <f t="shared" ref="I22:I51" si="10">IF(ISERROR(H22/ABS(D22)),"N/A",(H22/ABS(D22)))</f>
        <v>0</v>
      </c>
      <c r="J22" s="23">
        <f t="shared" si="5"/>
        <v>1.2249593504864913E-5</v>
      </c>
      <c r="K22" s="108">
        <f t="shared" si="4"/>
        <v>1.2549169971111907E-5</v>
      </c>
    </row>
    <row r="23" spans="1:11" x14ac:dyDescent="0.2">
      <c r="A23" s="107" t="s">
        <v>39</v>
      </c>
      <c r="B23" s="73">
        <f>IF($B$9="kWh",$B$4,$B$5)</f>
        <v>1800</v>
      </c>
      <c r="C23" s="78">
        <f>VLOOKUP($B$3,'Data for Bill Impacts'!$A$6:$Y$18,10,0)</f>
        <v>2.18E-2</v>
      </c>
      <c r="D23" s="22">
        <f>B23*C23</f>
        <v>39.24</v>
      </c>
      <c r="E23" s="73">
        <f t="shared" si="6"/>
        <v>1800</v>
      </c>
      <c r="F23" s="78">
        <f>VLOOKUP($B$3,'Data for Bill Impacts'!$A$6:$Y$18,19,0)</f>
        <v>1.9300000000000001E-2</v>
      </c>
      <c r="G23" s="22">
        <f>E23*F23</f>
        <v>34.74</v>
      </c>
      <c r="H23" s="22">
        <f t="shared" si="2"/>
        <v>-4.5</v>
      </c>
      <c r="I23" s="23">
        <f t="shared" si="10"/>
        <v>-0.1146788990825688</v>
      </c>
      <c r="J23" s="23">
        <f t="shared" si="5"/>
        <v>0.10638771958975177</v>
      </c>
      <c r="K23" s="108">
        <f t="shared" si="4"/>
        <v>0.10898954119910692</v>
      </c>
    </row>
    <row r="24" spans="1:11" x14ac:dyDescent="0.2">
      <c r="A24" s="107" t="s">
        <v>122</v>
      </c>
      <c r="B24" s="73">
        <f>IF($B$9="kWh",$B$4,$B$5)</f>
        <v>1800</v>
      </c>
      <c r="C24" s="125">
        <f>VLOOKUP($B$3,'Data for Bill Impacts'!$A$6:$Y$18,14,0)</f>
        <v>2.0000000000000002E-5</v>
      </c>
      <c r="D24" s="22">
        <f>B24*C24</f>
        <v>3.6000000000000004E-2</v>
      </c>
      <c r="E24" s="73">
        <f>B24</f>
        <v>1800</v>
      </c>
      <c r="F24" s="125">
        <f>VLOOKUP($B$3,'Data for Bill Impacts'!$A$6:$Y$18,23,0)</f>
        <v>2.0000000000000002E-5</v>
      </c>
      <c r="G24" s="22">
        <f>E24*F24</f>
        <v>3.6000000000000004E-2</v>
      </c>
      <c r="H24" s="22">
        <f>G24-D24</f>
        <v>0</v>
      </c>
      <c r="I24" s="23">
        <f t="shared" si="10"/>
        <v>0</v>
      </c>
      <c r="J24" s="23">
        <f t="shared" si="5"/>
        <v>1.1024634154378422E-4</v>
      </c>
      <c r="K24" s="108">
        <f t="shared" si="4"/>
        <v>1.1294252974000717E-4</v>
      </c>
    </row>
    <row r="25" spans="1:11" s="1" customFormat="1" x14ac:dyDescent="0.2">
      <c r="A25" s="110" t="s">
        <v>72</v>
      </c>
      <c r="B25" s="74"/>
      <c r="C25" s="35"/>
      <c r="D25" s="35">
        <f>SUM(D19:D24)</f>
        <v>77.069999999999993</v>
      </c>
      <c r="E25" s="73"/>
      <c r="F25" s="35"/>
      <c r="G25" s="35">
        <f>SUM(G19:G24)</f>
        <v>76.97</v>
      </c>
      <c r="H25" s="35">
        <f t="shared" si="2"/>
        <v>-9.9999999999994316E-2</v>
      </c>
      <c r="I25" s="36">
        <f t="shared" si="10"/>
        <v>-1.2975217334889623E-3</v>
      </c>
      <c r="J25" s="36">
        <f t="shared" si="5"/>
        <v>0.23571280301736305</v>
      </c>
      <c r="K25" s="111">
        <f t="shared" si="4"/>
        <v>0.24147740316912086</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2.41929471721082E-3</v>
      </c>
      <c r="K26" s="108">
        <f t="shared" si="4"/>
        <v>2.4784610692946017E-3</v>
      </c>
    </row>
    <row r="27" spans="1:11" s="1" customFormat="1" x14ac:dyDescent="0.2">
      <c r="A27" s="119" t="s">
        <v>75</v>
      </c>
      <c r="B27" s="120">
        <f>B8-B4</f>
        <v>136.80000000000018</v>
      </c>
      <c r="C27" s="170">
        <f>IF(B4&gt;B7,C13,C12)</f>
        <v>0.106</v>
      </c>
      <c r="D27" s="22">
        <f>B27*C27</f>
        <v>14.500800000000019</v>
      </c>
      <c r="E27" s="73">
        <f>B27</f>
        <v>136.80000000000018</v>
      </c>
      <c r="F27" s="170">
        <f>C27</f>
        <v>0.106</v>
      </c>
      <c r="G27" s="22">
        <f>E27*F27</f>
        <v>14.500800000000019</v>
      </c>
      <c r="H27" s="22">
        <f t="shared" si="2"/>
        <v>0</v>
      </c>
      <c r="I27" s="23">
        <f t="shared" si="10"/>
        <v>0</v>
      </c>
      <c r="J27" s="23">
        <f t="shared" ref="J27:J46" si="11">G27/$G$46</f>
        <v>4.4407226373836338E-2</v>
      </c>
      <c r="K27" s="108">
        <f t="shared" ref="K27:K41" si="12">G27/$G$51</f>
        <v>4.5493250979274945E-2</v>
      </c>
    </row>
    <row r="28" spans="1:11" s="1" customFormat="1" x14ac:dyDescent="0.2">
      <c r="A28" s="119" t="s">
        <v>74</v>
      </c>
      <c r="B28" s="120">
        <f>B8-B4</f>
        <v>136.80000000000018</v>
      </c>
      <c r="C28" s="170">
        <f>0.65*C15+0.17*C16+0.18*C17</f>
        <v>9.7519999999999996E-2</v>
      </c>
      <c r="D28" s="22">
        <f>B28*C28</f>
        <v>13.340736000000017</v>
      </c>
      <c r="E28" s="73">
        <f>B28</f>
        <v>136.80000000000018</v>
      </c>
      <c r="F28" s="170">
        <f>C28</f>
        <v>9.7519999999999996E-2</v>
      </c>
      <c r="G28" s="22">
        <f>E28*F28</f>
        <v>13.340736000000017</v>
      </c>
      <c r="H28" s="22">
        <f t="shared" si="2"/>
        <v>0</v>
      </c>
      <c r="I28" s="23">
        <f t="shared" si="10"/>
        <v>0</v>
      </c>
      <c r="J28" s="23">
        <f t="shared" si="11"/>
        <v>4.0854648263929427E-2</v>
      </c>
      <c r="K28" s="108">
        <f t="shared" si="12"/>
        <v>4.1853790900932948E-2</v>
      </c>
    </row>
    <row r="29" spans="1:11" s="1" customFormat="1" x14ac:dyDescent="0.2">
      <c r="A29" s="110" t="s">
        <v>78</v>
      </c>
      <c r="B29" s="74"/>
      <c r="C29" s="35"/>
      <c r="D29" s="35">
        <f>SUM(D25,D26:D27)</f>
        <v>92.360800000000012</v>
      </c>
      <c r="E29" s="73"/>
      <c r="F29" s="35"/>
      <c r="G29" s="35">
        <f>SUM(G25,G26:G27)</f>
        <v>92.260800000000017</v>
      </c>
      <c r="H29" s="35">
        <f t="shared" si="2"/>
        <v>-9.9999999999994316E-2</v>
      </c>
      <c r="I29" s="36">
        <f t="shared" si="10"/>
        <v>-1.0827104139417838E-3</v>
      </c>
      <c r="J29" s="36">
        <f t="shared" si="11"/>
        <v>0.28253932410841021</v>
      </c>
      <c r="K29" s="111">
        <f t="shared" si="12"/>
        <v>0.2894491152176904</v>
      </c>
    </row>
    <row r="30" spans="1:11" s="1" customFormat="1" x14ac:dyDescent="0.2">
      <c r="A30" s="110" t="s">
        <v>77</v>
      </c>
      <c r="B30" s="74"/>
      <c r="C30" s="35"/>
      <c r="D30" s="35">
        <f>SUM(D25,D26,D28)</f>
        <v>91.20073600000002</v>
      </c>
      <c r="E30" s="73"/>
      <c r="F30" s="35"/>
      <c r="G30" s="35">
        <f>SUM(G25,G26,G28)</f>
        <v>91.100736000000026</v>
      </c>
      <c r="H30" s="35">
        <f t="shared" si="2"/>
        <v>-9.9999999999994316E-2</v>
      </c>
      <c r="I30" s="36">
        <f t="shared" si="10"/>
        <v>-1.0964823792649469E-3</v>
      </c>
      <c r="J30" s="36">
        <f t="shared" si="11"/>
        <v>0.27898674599850337</v>
      </c>
      <c r="K30" s="111">
        <f t="shared" si="12"/>
        <v>0.28580965513934842</v>
      </c>
    </row>
    <row r="31" spans="1:11" x14ac:dyDescent="0.2">
      <c r="A31" s="107" t="s">
        <v>40</v>
      </c>
      <c r="B31" s="73">
        <f>B8</f>
        <v>1936.8000000000002</v>
      </c>
      <c r="C31" s="125">
        <f>VLOOKUP($B$3,'Data for Bill Impacts'!$A$6:$Y$18,15,0)</f>
        <v>7.2069999999999999E-3</v>
      </c>
      <c r="D31" s="22">
        <f>B31*C31</f>
        <v>13.9585176</v>
      </c>
      <c r="E31" s="73">
        <f t="shared" si="6"/>
        <v>1936.8000000000002</v>
      </c>
      <c r="F31" s="125">
        <f>VLOOKUP($B$3,'Data for Bill Impacts'!$A$6:$Y$18,24,0)</f>
        <v>7.2069999999999999E-3</v>
      </c>
      <c r="G31" s="22">
        <f>E31*F31</f>
        <v>13.9585176</v>
      </c>
      <c r="H31" s="22">
        <f t="shared" si="2"/>
        <v>0</v>
      </c>
      <c r="I31" s="23">
        <f t="shared" si="10"/>
        <v>0</v>
      </c>
      <c r="J31" s="23">
        <f t="shared" si="11"/>
        <v>4.2746541632625638E-2</v>
      </c>
      <c r="K31" s="108">
        <f t="shared" si="12"/>
        <v>4.3791952476789263E-2</v>
      </c>
    </row>
    <row r="32" spans="1:11" x14ac:dyDescent="0.2">
      <c r="A32" s="107" t="s">
        <v>41</v>
      </c>
      <c r="B32" s="73">
        <f>B8</f>
        <v>1936.8000000000002</v>
      </c>
      <c r="C32" s="125">
        <f>VLOOKUP($B$3,'Data for Bill Impacts'!$A$6:$Y$18,16,0)</f>
        <v>6.0319999999999992E-3</v>
      </c>
      <c r="D32" s="22">
        <f>B32*C32</f>
        <v>11.6827776</v>
      </c>
      <c r="E32" s="73">
        <f t="shared" si="6"/>
        <v>1936.8000000000002</v>
      </c>
      <c r="F32" s="125">
        <f>VLOOKUP($B$3,'Data for Bill Impacts'!$A$6:$Y$18,25,0)</f>
        <v>6.0319999999999992E-3</v>
      </c>
      <c r="G32" s="22">
        <f>E32*F32</f>
        <v>11.6827776</v>
      </c>
      <c r="H32" s="22">
        <f t="shared" si="2"/>
        <v>0</v>
      </c>
      <c r="I32" s="23">
        <f t="shared" si="10"/>
        <v>0</v>
      </c>
      <c r="J32" s="23">
        <f t="shared" si="11"/>
        <v>3.577731915193532E-2</v>
      </c>
      <c r="K32" s="108">
        <f t="shared" si="12"/>
        <v>3.6652290459274706E-2</v>
      </c>
    </row>
    <row r="33" spans="1:11" s="1" customFormat="1" x14ac:dyDescent="0.2">
      <c r="A33" s="110" t="s">
        <v>76</v>
      </c>
      <c r="B33" s="74"/>
      <c r="C33" s="35"/>
      <c r="D33" s="35">
        <f>SUM(D31:D32)</f>
        <v>25.641295200000002</v>
      </c>
      <c r="E33" s="73"/>
      <c r="F33" s="35"/>
      <c r="G33" s="35">
        <f>SUM(G31:G32)</f>
        <v>25.641295200000002</v>
      </c>
      <c r="H33" s="35">
        <f t="shared" si="2"/>
        <v>0</v>
      </c>
      <c r="I33" s="36">
        <f t="shared" si="10"/>
        <v>0</v>
      </c>
      <c r="J33" s="36">
        <f t="shared" si="11"/>
        <v>7.8523860784560973E-2</v>
      </c>
      <c r="K33" s="111">
        <f t="shared" si="12"/>
        <v>8.0444242936063975E-2</v>
      </c>
    </row>
    <row r="34" spans="1:11" s="1" customFormat="1" x14ac:dyDescent="0.2">
      <c r="A34" s="110" t="s">
        <v>91</v>
      </c>
      <c r="B34" s="74"/>
      <c r="C34" s="35"/>
      <c r="D34" s="35">
        <f>D29+D33</f>
        <v>118.00209520000001</v>
      </c>
      <c r="E34" s="73"/>
      <c r="F34" s="35"/>
      <c r="G34" s="35">
        <f>G29+G33</f>
        <v>117.90209520000002</v>
      </c>
      <c r="H34" s="35">
        <f t="shared" si="2"/>
        <v>-9.9999999999994316E-2</v>
      </c>
      <c r="I34" s="36">
        <f t="shared" si="10"/>
        <v>-8.4744257998559927E-4</v>
      </c>
      <c r="J34" s="36">
        <f t="shared" si="11"/>
        <v>0.36106318489297118</v>
      </c>
      <c r="K34" s="111">
        <f t="shared" si="12"/>
        <v>0.3698933581537544</v>
      </c>
    </row>
    <row r="35" spans="1:11" s="1" customFormat="1" x14ac:dyDescent="0.2">
      <c r="A35" s="110" t="s">
        <v>92</v>
      </c>
      <c r="B35" s="74"/>
      <c r="C35" s="35"/>
      <c r="D35" s="35">
        <f>D30+D33</f>
        <v>116.84203120000002</v>
      </c>
      <c r="E35" s="73"/>
      <c r="F35" s="35"/>
      <c r="G35" s="35">
        <f>G30+G33</f>
        <v>116.74203120000003</v>
      </c>
      <c r="H35" s="35">
        <f t="shared" si="2"/>
        <v>-9.9999999999994316E-2</v>
      </c>
      <c r="I35" s="36">
        <f t="shared" si="10"/>
        <v>-8.5585639836081775E-4</v>
      </c>
      <c r="J35" s="36">
        <f t="shared" si="11"/>
        <v>0.35751060678306429</v>
      </c>
      <c r="K35" s="111">
        <f t="shared" si="12"/>
        <v>0.36625389807541242</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2"/>
        <v>0</v>
      </c>
      <c r="I36" s="23">
        <f t="shared" si="10"/>
        <v>0</v>
      </c>
      <c r="J36" s="23">
        <f t="shared" si="11"/>
        <v>2.1352511430200127E-2</v>
      </c>
      <c r="K36" s="108">
        <f t="shared" si="12"/>
        <v>2.1874709160044591E-2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10"/>
        <v>0</v>
      </c>
      <c r="J37" s="23">
        <f t="shared" si="11"/>
        <v>1.245563166761674E-2</v>
      </c>
      <c r="K37" s="108">
        <f t="shared" si="12"/>
        <v>1.276024701002601E-2</v>
      </c>
    </row>
    <row r="38" spans="1:11" x14ac:dyDescent="0.2">
      <c r="A38" s="107" t="s">
        <v>96</v>
      </c>
      <c r="B38" s="73">
        <f>B8</f>
        <v>1936.8000000000002</v>
      </c>
      <c r="C38" s="34">
        <v>0</v>
      </c>
      <c r="D38" s="22">
        <f>B38*C38</f>
        <v>0</v>
      </c>
      <c r="E38" s="73">
        <f t="shared" si="6"/>
        <v>1936.8000000000002</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7.6559959405405698E-4</v>
      </c>
      <c r="K39" s="108">
        <f t="shared" si="12"/>
        <v>7.8432312319449418E-4</v>
      </c>
    </row>
    <row r="40" spans="1:11" s="1" customFormat="1" x14ac:dyDescent="0.2">
      <c r="A40" s="110" t="s">
        <v>45</v>
      </c>
      <c r="B40" s="74"/>
      <c r="C40" s="35"/>
      <c r="D40" s="35">
        <f>SUM(D36:D39)</f>
        <v>11.289760000000001</v>
      </c>
      <c r="E40" s="73"/>
      <c r="F40" s="35"/>
      <c r="G40" s="35">
        <f>SUM(G36:G39)</f>
        <v>11.289760000000001</v>
      </c>
      <c r="H40" s="35">
        <f t="shared" si="2"/>
        <v>0</v>
      </c>
      <c r="I40" s="36">
        <f t="shared" si="10"/>
        <v>0</v>
      </c>
      <c r="J40" s="36">
        <f t="shared" si="11"/>
        <v>3.4573742691870926E-2</v>
      </c>
      <c r="K40" s="111">
        <f t="shared" si="12"/>
        <v>3.5419279293265091E-2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311.09185520000005</v>
      </c>
      <c r="E42" s="38"/>
      <c r="F42" s="39"/>
      <c r="G42" s="39">
        <f>SUM(G14,G25,G26,G27,G33,G40,G41)</f>
        <v>310.99185520000003</v>
      </c>
      <c r="H42" s="39">
        <f t="shared" si="2"/>
        <v>-0.10000000000002274</v>
      </c>
      <c r="I42" s="40">
        <f t="shared" si="10"/>
        <v>-3.2144846716007088E-4</v>
      </c>
      <c r="J42" s="40">
        <f t="shared" si="11"/>
        <v>0.95238095238095244</v>
      </c>
      <c r="K42" s="41"/>
    </row>
    <row r="43" spans="1:11" x14ac:dyDescent="0.2">
      <c r="A43" s="153" t="s">
        <v>102</v>
      </c>
      <c r="B43" s="43"/>
      <c r="C43" s="26">
        <v>0.13</v>
      </c>
      <c r="D43" s="26">
        <f>D42*C43</f>
        <v>40.441941176000007</v>
      </c>
      <c r="E43" s="26"/>
      <c r="F43" s="26">
        <f>C43</f>
        <v>0.13</v>
      </c>
      <c r="G43" s="26">
        <f>G42*F43</f>
        <v>40.428941176000002</v>
      </c>
      <c r="H43" s="26">
        <f t="shared" si="2"/>
        <v>-1.300000000000523E-2</v>
      </c>
      <c r="I43" s="44">
        <f t="shared" si="10"/>
        <v>-3.214484671601271E-4</v>
      </c>
      <c r="J43" s="44">
        <f t="shared" si="11"/>
        <v>0.1238095238095238</v>
      </c>
      <c r="K43" s="45"/>
    </row>
    <row r="44" spans="1:11" s="1" customFormat="1" x14ac:dyDescent="0.2">
      <c r="A44" s="46" t="s">
        <v>103</v>
      </c>
      <c r="B44" s="24"/>
      <c r="C44" s="25"/>
      <c r="D44" s="25">
        <f>SUM(D42:D43)</f>
        <v>351.53379637600005</v>
      </c>
      <c r="E44" s="25"/>
      <c r="F44" s="25"/>
      <c r="G44" s="25">
        <f>SUM(G42:G43)</f>
        <v>351.42079637600006</v>
      </c>
      <c r="H44" s="25">
        <f t="shared" si="2"/>
        <v>-0.11299999999999955</v>
      </c>
      <c r="I44" s="27">
        <f t="shared" si="10"/>
        <v>-3.2144846715999651E-4</v>
      </c>
      <c r="J44" s="27">
        <f t="shared" si="11"/>
        <v>1.0761904761904764</v>
      </c>
      <c r="K44" s="47"/>
    </row>
    <row r="45" spans="1:11" x14ac:dyDescent="0.2">
      <c r="A45" s="42" t="s">
        <v>104</v>
      </c>
      <c r="B45" s="43"/>
      <c r="C45" s="26">
        <v>-0.08</v>
      </c>
      <c r="D45" s="26">
        <f>D42*C45</f>
        <v>-24.887348416000005</v>
      </c>
      <c r="E45" s="26"/>
      <c r="F45" s="26">
        <f>C45</f>
        <v>-0.08</v>
      </c>
      <c r="G45" s="26">
        <f>G42*F45</f>
        <v>-24.879348416000003</v>
      </c>
      <c r="H45" s="26">
        <f t="shared" si="2"/>
        <v>8.0000000000026716E-3</v>
      </c>
      <c r="I45" s="44">
        <f t="shared" si="10"/>
        <v>3.2144846716010509E-4</v>
      </c>
      <c r="J45" s="44">
        <f t="shared" si="11"/>
        <v>-7.6190476190476197E-2</v>
      </c>
      <c r="K45" s="45"/>
    </row>
    <row r="46" spans="1:11" s="1" customFormat="1" ht="13.5" thickBot="1" x14ac:dyDescent="0.25">
      <c r="A46" s="48" t="s">
        <v>105</v>
      </c>
      <c r="B46" s="49"/>
      <c r="C46" s="50"/>
      <c r="D46" s="50">
        <f>SUM(D44:D45)</f>
        <v>326.64644796000005</v>
      </c>
      <c r="E46" s="50"/>
      <c r="F46" s="50"/>
      <c r="G46" s="50">
        <f>SUM(G44:G45)</f>
        <v>326.54144796000003</v>
      </c>
      <c r="H46" s="50">
        <f t="shared" si="2"/>
        <v>-0.10500000000001819</v>
      </c>
      <c r="I46" s="51">
        <f t="shared" si="10"/>
        <v>-3.2144846716005348E-4</v>
      </c>
      <c r="J46" s="51">
        <f t="shared" si="11"/>
        <v>1</v>
      </c>
      <c r="K46" s="52"/>
    </row>
    <row r="47" spans="1:11" x14ac:dyDescent="0.2">
      <c r="A47" s="53" t="s">
        <v>106</v>
      </c>
      <c r="B47" s="54"/>
      <c r="C47" s="55"/>
      <c r="D47" s="55">
        <f>SUM(D18,D25,D26,D28,D33,D40,D41)</f>
        <v>303.66779120000001</v>
      </c>
      <c r="E47" s="55"/>
      <c r="F47" s="55"/>
      <c r="G47" s="55">
        <f>SUM(G18,G25,G26,G28,G33,G40,G41)</f>
        <v>303.56779119999999</v>
      </c>
      <c r="H47" s="55">
        <f>G47-D47</f>
        <v>-0.10000000000002274</v>
      </c>
      <c r="I47" s="56">
        <f t="shared" si="10"/>
        <v>-3.2930723276529937E-4</v>
      </c>
      <c r="J47" s="56"/>
      <c r="K47" s="57">
        <f>G47/$G$51</f>
        <v>0.95238095238095233</v>
      </c>
    </row>
    <row r="48" spans="1:11" x14ac:dyDescent="0.2">
      <c r="A48" s="58" t="s">
        <v>102</v>
      </c>
      <c r="B48" s="59"/>
      <c r="C48" s="31">
        <v>0.13</v>
      </c>
      <c r="D48" s="31">
        <f>D47*C48</f>
        <v>39.476812856000002</v>
      </c>
      <c r="E48" s="31"/>
      <c r="F48" s="31">
        <f>C48</f>
        <v>0.13</v>
      </c>
      <c r="G48" s="31">
        <f>G47*F48</f>
        <v>39.463812855999997</v>
      </c>
      <c r="H48" s="31">
        <f>G48-D48</f>
        <v>-1.300000000000523E-2</v>
      </c>
      <c r="I48" s="32">
        <f t="shared" si="10"/>
        <v>-3.2930723276535699E-4</v>
      </c>
      <c r="J48" s="32"/>
      <c r="K48" s="60">
        <f>G48/$G$51</f>
        <v>0.1238095238095238</v>
      </c>
    </row>
    <row r="49" spans="1:11" x14ac:dyDescent="0.2">
      <c r="A49" s="61" t="s">
        <v>107</v>
      </c>
      <c r="B49" s="29"/>
      <c r="C49" s="30"/>
      <c r="D49" s="30">
        <f>SUM(D47:D48)</f>
        <v>343.14460405599999</v>
      </c>
      <c r="E49" s="30"/>
      <c r="F49" s="30"/>
      <c r="G49" s="30">
        <f>SUM(G47:G48)</f>
        <v>343.03160405599999</v>
      </c>
      <c r="H49" s="30">
        <f>G49-D49</f>
        <v>-0.11299999999999955</v>
      </c>
      <c r="I49" s="33">
        <f t="shared" si="10"/>
        <v>-3.293072327652232E-4</v>
      </c>
      <c r="J49" s="33"/>
      <c r="K49" s="62">
        <f>G49/$G$51</f>
        <v>1.0761904761904761</v>
      </c>
    </row>
    <row r="50" spans="1:11" x14ac:dyDescent="0.2">
      <c r="A50" s="58" t="s">
        <v>104</v>
      </c>
      <c r="B50" s="59"/>
      <c r="C50" s="31">
        <v>-0.08</v>
      </c>
      <c r="D50" s="31">
        <f>D47*C50</f>
        <v>-24.293423296</v>
      </c>
      <c r="E50" s="31"/>
      <c r="F50" s="31">
        <f>C50</f>
        <v>-0.08</v>
      </c>
      <c r="G50" s="31">
        <f>G47*F50</f>
        <v>-24.285423296000001</v>
      </c>
      <c r="H50" s="31">
        <f>G50-D50</f>
        <v>7.9999999999991189E-3</v>
      </c>
      <c r="I50" s="32">
        <f t="shared" si="10"/>
        <v>3.2930723276518824E-4</v>
      </c>
      <c r="J50" s="32"/>
      <c r="K50" s="60">
        <f>G50/$G$51</f>
        <v>-7.6190476190476183E-2</v>
      </c>
    </row>
    <row r="51" spans="1:11" ht="13.5" thickBot="1" x14ac:dyDescent="0.25">
      <c r="A51" s="63" t="s">
        <v>116</v>
      </c>
      <c r="B51" s="64"/>
      <c r="C51" s="65"/>
      <c r="D51" s="65">
        <f>SUM(D49:D50)</f>
        <v>318.85118075999998</v>
      </c>
      <c r="E51" s="65"/>
      <c r="F51" s="65"/>
      <c r="G51" s="65">
        <f>SUM(G49:G50)</f>
        <v>318.74618076000002</v>
      </c>
      <c r="H51" s="65">
        <f>G51-D51</f>
        <v>-0.10499999999996135</v>
      </c>
      <c r="I51" s="66">
        <f t="shared" si="10"/>
        <v>-3.2930723276510334E-4</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118</v>
      </c>
      <c r="B1" s="186"/>
      <c r="C1" s="186"/>
      <c r="D1" s="186"/>
      <c r="E1" s="186"/>
      <c r="F1" s="186"/>
      <c r="G1" s="186"/>
      <c r="H1" s="186"/>
      <c r="I1" s="186"/>
      <c r="J1" s="186"/>
      <c r="K1" s="187"/>
    </row>
    <row r="3" spans="1:11" x14ac:dyDescent="0.2">
      <c r="A3" s="13" t="s">
        <v>13</v>
      </c>
      <c r="B3" s="13" t="s">
        <v>2</v>
      </c>
    </row>
    <row r="4" spans="1:11" x14ac:dyDescent="0.2">
      <c r="A4" s="15" t="s">
        <v>62</v>
      </c>
      <c r="B4" s="15">
        <v>450</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67">
        <f>B4*B6</f>
        <v>497.25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9.0999999999999998E-2</v>
      </c>
      <c r="D12" s="104">
        <f>B12*C12</f>
        <v>40.949999999999996</v>
      </c>
      <c r="E12" s="102">
        <f>B12</f>
        <v>450</v>
      </c>
      <c r="F12" s="103">
        <f>C12</f>
        <v>9.0999999999999998E-2</v>
      </c>
      <c r="G12" s="104">
        <f>E12*F12</f>
        <v>40.949999999999996</v>
      </c>
      <c r="H12" s="104">
        <f>G12-D12</f>
        <v>0</v>
      </c>
      <c r="I12" s="105">
        <f t="shared" ref="I12:I18" si="0">IF(ISERROR(H12/ABS(D12)),"N/A",(H12/ABS(D12)))</f>
        <v>0</v>
      </c>
      <c r="J12" s="105">
        <f>G12/$G$46</f>
        <v>0.3757470291433973</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40.949999999999996</v>
      </c>
      <c r="E14" s="76"/>
      <c r="F14" s="25"/>
      <c r="G14" s="25">
        <f>SUM(G12:G13)</f>
        <v>40.949999999999996</v>
      </c>
      <c r="H14" s="25">
        <f t="shared" si="2"/>
        <v>0</v>
      </c>
      <c r="I14" s="27">
        <f t="shared" si="0"/>
        <v>0</v>
      </c>
      <c r="J14" s="27">
        <f>G14/$G$46</f>
        <v>0.3757470291433973</v>
      </c>
      <c r="K14" s="108"/>
    </row>
    <row r="15" spans="1:11" s="1" customFormat="1" x14ac:dyDescent="0.2">
      <c r="A15" s="109" t="s">
        <v>34</v>
      </c>
      <c r="B15" s="75">
        <f>B4*0.65</f>
        <v>292.5</v>
      </c>
      <c r="C15" s="28">
        <v>7.6999999999999999E-2</v>
      </c>
      <c r="D15" s="22">
        <f>B15*C15</f>
        <v>22.522500000000001</v>
      </c>
      <c r="E15" s="73">
        <f t="shared" ref="E15:F17" si="3">B15</f>
        <v>292.5</v>
      </c>
      <c r="F15" s="28">
        <f t="shared" si="3"/>
        <v>7.6999999999999999E-2</v>
      </c>
      <c r="G15" s="22">
        <f>E15*F15</f>
        <v>22.522500000000001</v>
      </c>
      <c r="H15" s="22">
        <f t="shared" si="2"/>
        <v>0</v>
      </c>
      <c r="I15" s="23">
        <f t="shared" si="0"/>
        <v>0</v>
      </c>
      <c r="J15" s="23"/>
      <c r="K15" s="108">
        <f t="shared" ref="K15:K26" si="4">G15/$G$51</f>
        <v>0.20040116518652523</v>
      </c>
    </row>
    <row r="16" spans="1:11" s="1" customFormat="1" x14ac:dyDescent="0.2">
      <c r="A16" s="109" t="s">
        <v>35</v>
      </c>
      <c r="B16" s="75">
        <f>B4*0.17</f>
        <v>76.5</v>
      </c>
      <c r="C16" s="28">
        <v>0.113</v>
      </c>
      <c r="D16" s="22">
        <f>B16*C16</f>
        <v>8.6445000000000007</v>
      </c>
      <c r="E16" s="73">
        <f t="shared" si="3"/>
        <v>76.5</v>
      </c>
      <c r="F16" s="28">
        <f t="shared" si="3"/>
        <v>0.113</v>
      </c>
      <c r="G16" s="22">
        <f>E16*F16</f>
        <v>8.6445000000000007</v>
      </c>
      <c r="H16" s="22">
        <f t="shared" si="2"/>
        <v>0</v>
      </c>
      <c r="I16" s="23">
        <f t="shared" si="0"/>
        <v>0</v>
      </c>
      <c r="J16" s="23"/>
      <c r="K16" s="108">
        <f t="shared" si="4"/>
        <v>7.6917210454208795E-2</v>
      </c>
    </row>
    <row r="17" spans="1:11" s="1" customFormat="1" x14ac:dyDescent="0.2">
      <c r="A17" s="109" t="s">
        <v>36</v>
      </c>
      <c r="B17" s="75">
        <f>B4*0.18</f>
        <v>81</v>
      </c>
      <c r="C17" s="28">
        <v>0.157</v>
      </c>
      <c r="D17" s="22">
        <f>B17*C17</f>
        <v>12.717000000000001</v>
      </c>
      <c r="E17" s="73">
        <f t="shared" si="3"/>
        <v>81</v>
      </c>
      <c r="F17" s="28">
        <f t="shared" si="3"/>
        <v>0.157</v>
      </c>
      <c r="G17" s="22">
        <f>E17*F17</f>
        <v>12.717000000000001</v>
      </c>
      <c r="H17" s="22">
        <f t="shared" si="2"/>
        <v>0</v>
      </c>
      <c r="I17" s="23">
        <f t="shared" si="0"/>
        <v>0</v>
      </c>
      <c r="J17" s="23"/>
      <c r="K17" s="108">
        <f t="shared" si="4"/>
        <v>0.11315358497844562</v>
      </c>
    </row>
    <row r="18" spans="1:11" s="1" customFormat="1" x14ac:dyDescent="0.2">
      <c r="A18" s="61" t="s">
        <v>37</v>
      </c>
      <c r="B18" s="29"/>
      <c r="C18" s="30"/>
      <c r="D18" s="30">
        <f>SUM(D15:D17)</f>
        <v>43.884</v>
      </c>
      <c r="E18" s="77"/>
      <c r="F18" s="30"/>
      <c r="G18" s="30">
        <f>SUM(G15:G17)</f>
        <v>43.884</v>
      </c>
      <c r="H18" s="31">
        <f t="shared" si="2"/>
        <v>0</v>
      </c>
      <c r="I18" s="32">
        <f t="shared" si="0"/>
        <v>0</v>
      </c>
      <c r="J18" s="33">
        <f t="shared" ref="J18:J26" si="5">G18/$G$46</f>
        <v>0.40266868441828696</v>
      </c>
      <c r="K18" s="62">
        <f t="shared" si="4"/>
        <v>0.39047196061917966</v>
      </c>
    </row>
    <row r="19" spans="1:11" x14ac:dyDescent="0.2">
      <c r="A19" s="107" t="s">
        <v>112</v>
      </c>
      <c r="B19" s="73">
        <v>1</v>
      </c>
      <c r="C19" s="121">
        <f>VLOOKUP($B$3,'Data for Bill Impacts'!$A$6:$Y$18,7,0)</f>
        <v>25.019678307903931</v>
      </c>
      <c r="D19" s="22">
        <f>B19*C19</f>
        <v>25.019678307903931</v>
      </c>
      <c r="E19" s="73">
        <f t="shared" ref="E19:E41" si="6">B19</f>
        <v>1</v>
      </c>
      <c r="F19" s="121">
        <f>VLOOKUP($B$3,'Data for Bill Impacts'!$A$6:$Y$18,17,0)</f>
        <v>34.089678307903938</v>
      </c>
      <c r="G19" s="22">
        <f>E19*F19</f>
        <v>34.089678307903938</v>
      </c>
      <c r="H19" s="22">
        <f t="shared" si="2"/>
        <v>9.0700000000000074</v>
      </c>
      <c r="I19" s="23">
        <f>IF(ISERROR(H19/ABS(D19)),"N/A",(H19/ABS(D19)))</f>
        <v>0.36251465300154223</v>
      </c>
      <c r="J19" s="23">
        <f t="shared" si="5"/>
        <v>0.31279842121243034</v>
      </c>
      <c r="K19" s="108">
        <f t="shared" si="4"/>
        <v>0.3033238429897997</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-2.1000000000000001E-2</v>
      </c>
      <c r="D22" s="22">
        <f t="shared" si="9"/>
        <v>-2.1000000000000001E-2</v>
      </c>
      <c r="E22" s="73">
        <f t="shared" si="6"/>
        <v>1</v>
      </c>
      <c r="F22" s="121">
        <f>VLOOKUP($B$3,'Data for Bill Impacts'!$A$6:$Y$18,22,0)</f>
        <v>-2.1000000000000001E-2</v>
      </c>
      <c r="G22" s="22">
        <f t="shared" si="7"/>
        <v>-2.1000000000000001E-2</v>
      </c>
      <c r="H22" s="22">
        <f t="shared" si="2"/>
        <v>0</v>
      </c>
      <c r="I22" s="23">
        <f t="shared" ref="I22:I51" si="10">IF(ISERROR(H22/ABS(D22)),"N/A",(H22/ABS(D22)))</f>
        <v>0</v>
      </c>
      <c r="J22" s="23">
        <f t="shared" si="5"/>
        <v>-1.9269078417610122E-4</v>
      </c>
      <c r="K22" s="108">
        <f t="shared" si="4"/>
        <v>-1.8685423327414942E-4</v>
      </c>
    </row>
    <row r="23" spans="1:11" x14ac:dyDescent="0.2">
      <c r="A23" s="107" t="s">
        <v>39</v>
      </c>
      <c r="B23" s="73">
        <f>IF($B$9="kWh",$B$4,$B$5)</f>
        <v>450</v>
      </c>
      <c r="C23" s="125">
        <f>VLOOKUP($B$3,'Data for Bill Impacts'!$A$6:$Y$18,10,0)</f>
        <v>3.5900000000000001E-2</v>
      </c>
      <c r="D23" s="22">
        <f>B23*C23</f>
        <v>16.155000000000001</v>
      </c>
      <c r="E23" s="73">
        <f t="shared" si="6"/>
        <v>450</v>
      </c>
      <c r="F23" s="78">
        <f>VLOOKUP($B$3,'Data for Bill Impacts'!$A$6:$Y$18,19,0)</f>
        <v>3.2099999999999997E-2</v>
      </c>
      <c r="G23" s="22">
        <f>E23*F23</f>
        <v>14.444999999999999</v>
      </c>
      <c r="H23" s="22">
        <f t="shared" si="2"/>
        <v>-1.7100000000000026</v>
      </c>
      <c r="I23" s="23">
        <f t="shared" si="10"/>
        <v>-0.1058495821727021</v>
      </c>
      <c r="J23" s="23">
        <f t="shared" si="5"/>
        <v>0.13254373225827532</v>
      </c>
      <c r="K23" s="108">
        <f t="shared" si="4"/>
        <v>0.12852901903071848</v>
      </c>
    </row>
    <row r="24" spans="1:11" x14ac:dyDescent="0.2">
      <c r="A24" s="107" t="s">
        <v>122</v>
      </c>
      <c r="B24" s="73">
        <f>IF($B$9="kWh",$B$4,$B$5)</f>
        <v>450</v>
      </c>
      <c r="C24" s="125">
        <f>VLOOKUP($B$3,'Data for Bill Impacts'!$A$6:$Y$18,14,0)</f>
        <v>1.0000000000000003E-5</v>
      </c>
      <c r="D24" s="22">
        <f>B24*C24</f>
        <v>4.5000000000000014E-3</v>
      </c>
      <c r="E24" s="73">
        <f>B24</f>
        <v>450</v>
      </c>
      <c r="F24" s="125">
        <f>VLOOKUP($B$3,'Data for Bill Impacts'!$A$6:$Y$18,23,0)</f>
        <v>1.0000000000000003E-5</v>
      </c>
      <c r="G24" s="22">
        <f>E24*F24</f>
        <v>4.5000000000000014E-3</v>
      </c>
      <c r="H24" s="22">
        <f>G24-D24</f>
        <v>0</v>
      </c>
      <c r="I24" s="23">
        <f t="shared" si="10"/>
        <v>0</v>
      </c>
      <c r="J24" s="23">
        <f t="shared" si="5"/>
        <v>4.129088232345027E-5</v>
      </c>
      <c r="K24" s="108">
        <f t="shared" si="4"/>
        <v>4.0040192844460598E-5</v>
      </c>
    </row>
    <row r="25" spans="1:11" s="1" customFormat="1" x14ac:dyDescent="0.2">
      <c r="A25" s="110" t="s">
        <v>72</v>
      </c>
      <c r="B25" s="74"/>
      <c r="C25" s="35"/>
      <c r="D25" s="35">
        <f>SUM(D19:D24)</f>
        <v>41.158178307903931</v>
      </c>
      <c r="E25" s="73"/>
      <c r="F25" s="35"/>
      <c r="G25" s="35">
        <f>SUM(G19:G24)</f>
        <v>48.518178307903938</v>
      </c>
      <c r="H25" s="35">
        <f t="shared" si="2"/>
        <v>7.3600000000000065</v>
      </c>
      <c r="I25" s="36">
        <f t="shared" si="10"/>
        <v>0.17882229735582364</v>
      </c>
      <c r="J25" s="36">
        <f t="shared" si="5"/>
        <v>0.44519075356885301</v>
      </c>
      <c r="K25" s="111">
        <f t="shared" si="4"/>
        <v>0.43170604798008844</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7.2488437856723792E-3</v>
      </c>
      <c r="K26" s="108">
        <f t="shared" si="4"/>
        <v>7.0292782993608589E-3</v>
      </c>
    </row>
    <row r="27" spans="1:11" s="1" customFormat="1" x14ac:dyDescent="0.2">
      <c r="A27" s="119" t="s">
        <v>75</v>
      </c>
      <c r="B27" s="120">
        <f>B8-B4</f>
        <v>47.25</v>
      </c>
      <c r="C27" s="170">
        <f>IF(B4&gt;B7,C13,C12)</f>
        <v>9.0999999999999998E-2</v>
      </c>
      <c r="D27" s="22">
        <f>B27*C27</f>
        <v>4.2997499999999995</v>
      </c>
      <c r="E27" s="73">
        <f>B27</f>
        <v>47.25</v>
      </c>
      <c r="F27" s="170">
        <f>C27</f>
        <v>9.0999999999999998E-2</v>
      </c>
      <c r="G27" s="22">
        <f>E27*F27</f>
        <v>4.2997499999999995</v>
      </c>
      <c r="H27" s="22">
        <f t="shared" si="2"/>
        <v>0</v>
      </c>
      <c r="I27" s="23">
        <f t="shared" si="10"/>
        <v>0</v>
      </c>
      <c r="J27" s="23">
        <f t="shared" ref="J27:J46" si="11">G27/$G$46</f>
        <v>3.9453438060056717E-2</v>
      </c>
      <c r="K27" s="108">
        <f t="shared" ref="K27:K41" si="12">G27/$G$51</f>
        <v>3.8258404262882087E-2</v>
      </c>
    </row>
    <row r="28" spans="1:11" s="1" customFormat="1" x14ac:dyDescent="0.2">
      <c r="A28" s="119" t="s">
        <v>74</v>
      </c>
      <c r="B28" s="120">
        <f>B8-B4</f>
        <v>47.25</v>
      </c>
      <c r="C28" s="170">
        <f>0.65*C15+0.17*C16+0.18*C17</f>
        <v>9.7519999999999996E-2</v>
      </c>
      <c r="D28" s="22">
        <f>B28*C28</f>
        <v>4.6078199999999994</v>
      </c>
      <c r="E28" s="73">
        <f>B28</f>
        <v>47.25</v>
      </c>
      <c r="F28" s="170">
        <f>C28</f>
        <v>9.7519999999999996E-2</v>
      </c>
      <c r="G28" s="22">
        <f>E28*F28</f>
        <v>4.6078199999999994</v>
      </c>
      <c r="H28" s="22">
        <f t="shared" si="2"/>
        <v>0</v>
      </c>
      <c r="I28" s="23">
        <f t="shared" si="10"/>
        <v>0</v>
      </c>
      <c r="J28" s="23">
        <f t="shared" si="11"/>
        <v>4.2280211863920121E-2</v>
      </c>
      <c r="K28" s="108">
        <f t="shared" si="12"/>
        <v>4.0999555865013859E-2</v>
      </c>
    </row>
    <row r="29" spans="1:11" s="1" customFormat="1" x14ac:dyDescent="0.2">
      <c r="A29" s="110" t="s">
        <v>78</v>
      </c>
      <c r="B29" s="74"/>
      <c r="C29" s="35"/>
      <c r="D29" s="35">
        <f>SUM(D25,D26:D27)</f>
        <v>46.247928307903933</v>
      </c>
      <c r="E29" s="73"/>
      <c r="F29" s="35"/>
      <c r="G29" s="35">
        <f>SUM(G25,G26:G27)</f>
        <v>53.607928307903933</v>
      </c>
      <c r="H29" s="35">
        <f t="shared" si="2"/>
        <v>7.3599999999999994</v>
      </c>
      <c r="I29" s="36">
        <f t="shared" si="10"/>
        <v>0.15914226364907572</v>
      </c>
      <c r="J29" s="36">
        <f t="shared" si="11"/>
        <v>0.49189303541458207</v>
      </c>
      <c r="K29" s="111">
        <f t="shared" si="12"/>
        <v>0.47699373054233135</v>
      </c>
    </row>
    <row r="30" spans="1:11" s="1" customFormat="1" x14ac:dyDescent="0.2">
      <c r="A30" s="110" t="s">
        <v>77</v>
      </c>
      <c r="B30" s="74"/>
      <c r="C30" s="35"/>
      <c r="D30" s="35">
        <f>SUM(D25,D26,D28)</f>
        <v>46.555998307903927</v>
      </c>
      <c r="E30" s="73"/>
      <c r="F30" s="35"/>
      <c r="G30" s="35">
        <f>SUM(G25,G26,G28)</f>
        <v>53.915998307903934</v>
      </c>
      <c r="H30" s="35">
        <f t="shared" si="2"/>
        <v>7.3600000000000065</v>
      </c>
      <c r="I30" s="36">
        <f t="shared" si="10"/>
        <v>0.15808918866530849</v>
      </c>
      <c r="J30" s="36">
        <f t="shared" si="11"/>
        <v>0.49471980921844549</v>
      </c>
      <c r="K30" s="111">
        <f t="shared" si="12"/>
        <v>0.47973488214446314</v>
      </c>
    </row>
    <row r="31" spans="1:11" x14ac:dyDescent="0.2">
      <c r="A31" s="107" t="s">
        <v>40</v>
      </c>
      <c r="B31" s="73">
        <f>B8</f>
        <v>497.25</v>
      </c>
      <c r="C31" s="125">
        <f>VLOOKUP($B$3,'Data for Bill Impacts'!$A$6:$Y$18,15,0)</f>
        <v>6.7400000000000003E-3</v>
      </c>
      <c r="D31" s="22">
        <f>B31*C31</f>
        <v>3.3514650000000001</v>
      </c>
      <c r="E31" s="73">
        <f t="shared" si="6"/>
        <v>497.25</v>
      </c>
      <c r="F31" s="125">
        <f>VLOOKUP($B$3,'Data for Bill Impacts'!$A$6:$Y$18,24,0)</f>
        <v>6.7400000000000003E-3</v>
      </c>
      <c r="G31" s="22">
        <f>E31*F31</f>
        <v>3.3514650000000001</v>
      </c>
      <c r="H31" s="22">
        <f t="shared" si="2"/>
        <v>0</v>
      </c>
      <c r="I31" s="23">
        <f t="shared" si="10"/>
        <v>0</v>
      </c>
      <c r="J31" s="23">
        <f t="shared" si="11"/>
        <v>3.075221042803605E-2</v>
      </c>
      <c r="K31" s="108">
        <f t="shared" si="12"/>
        <v>2.9820734424768913E-2</v>
      </c>
    </row>
    <row r="32" spans="1:11" x14ac:dyDescent="0.2">
      <c r="A32" s="107" t="s">
        <v>41</v>
      </c>
      <c r="B32" s="73">
        <f>B8</f>
        <v>497.25</v>
      </c>
      <c r="C32" s="125">
        <f>VLOOKUP($B$3,'Data for Bill Impacts'!$A$6:$Y$18,16,0)</f>
        <v>5.6299999999999996E-3</v>
      </c>
      <c r="D32" s="22">
        <f>B32*C32</f>
        <v>2.7995174999999999</v>
      </c>
      <c r="E32" s="73">
        <f t="shared" si="6"/>
        <v>497.25</v>
      </c>
      <c r="F32" s="125">
        <f>VLOOKUP($B$3,'Data for Bill Impacts'!$A$6:$Y$18,25,0)</f>
        <v>5.6299999999999996E-3</v>
      </c>
      <c r="G32" s="22">
        <f>E32*F32</f>
        <v>2.7995174999999999</v>
      </c>
      <c r="H32" s="22">
        <f t="shared" si="2"/>
        <v>0</v>
      </c>
      <c r="I32" s="23">
        <f t="shared" si="10"/>
        <v>0</v>
      </c>
      <c r="J32" s="23">
        <f t="shared" si="11"/>
        <v>2.5687677256653257E-2</v>
      </c>
      <c r="K32" s="108">
        <f t="shared" si="12"/>
        <v>2.4909604571431595E-2</v>
      </c>
    </row>
    <row r="33" spans="1:11" s="1" customFormat="1" x14ac:dyDescent="0.2">
      <c r="A33" s="110" t="s">
        <v>76</v>
      </c>
      <c r="B33" s="74"/>
      <c r="C33" s="35"/>
      <c r="D33" s="35">
        <f>SUM(D31:D32)</f>
        <v>6.1509824999999996</v>
      </c>
      <c r="E33" s="73"/>
      <c r="F33" s="35"/>
      <c r="G33" s="35">
        <f>SUM(G31:G32)</f>
        <v>6.1509824999999996</v>
      </c>
      <c r="H33" s="35">
        <f t="shared" si="2"/>
        <v>0</v>
      </c>
      <c r="I33" s="36">
        <f t="shared" si="10"/>
        <v>0</v>
      </c>
      <c r="J33" s="36">
        <f t="shared" si="11"/>
        <v>5.6439887684689306E-2</v>
      </c>
      <c r="K33" s="111">
        <f t="shared" si="12"/>
        <v>5.4730338996200507E-2</v>
      </c>
    </row>
    <row r="34" spans="1:11" s="1" customFormat="1" x14ac:dyDescent="0.2">
      <c r="A34" s="110" t="s">
        <v>91</v>
      </c>
      <c r="B34" s="74"/>
      <c r="C34" s="35"/>
      <c r="D34" s="35">
        <f>D29+D33</f>
        <v>52.398910807903931</v>
      </c>
      <c r="E34" s="73"/>
      <c r="F34" s="35"/>
      <c r="G34" s="35">
        <f>G29+G33</f>
        <v>59.758910807903931</v>
      </c>
      <c r="H34" s="35">
        <f t="shared" si="2"/>
        <v>7.3599999999999994</v>
      </c>
      <c r="I34" s="36">
        <f t="shared" si="10"/>
        <v>0.14046093490343708</v>
      </c>
      <c r="J34" s="36">
        <f t="shared" si="11"/>
        <v>0.5483329230992714</v>
      </c>
      <c r="K34" s="111">
        <f t="shared" si="12"/>
        <v>0.53172406953853191</v>
      </c>
    </row>
    <row r="35" spans="1:11" s="1" customFormat="1" x14ac:dyDescent="0.2">
      <c r="A35" s="110" t="s">
        <v>92</v>
      </c>
      <c r="B35" s="74"/>
      <c r="C35" s="35"/>
      <c r="D35" s="35">
        <f>D30+D33</f>
        <v>52.706980807903925</v>
      </c>
      <c r="E35" s="73"/>
      <c r="F35" s="35"/>
      <c r="G35" s="35">
        <f>G30+G33</f>
        <v>60.066980807903931</v>
      </c>
      <c r="H35" s="35">
        <f t="shared" si="2"/>
        <v>7.3600000000000065</v>
      </c>
      <c r="I35" s="36">
        <f t="shared" si="10"/>
        <v>0.13963994687580933</v>
      </c>
      <c r="J35" s="36">
        <f t="shared" si="11"/>
        <v>0.55115969690313471</v>
      </c>
      <c r="K35" s="111">
        <f t="shared" si="12"/>
        <v>0.53446522114066364</v>
      </c>
    </row>
    <row r="36" spans="1:11" x14ac:dyDescent="0.2">
      <c r="A36" s="107" t="s">
        <v>42</v>
      </c>
      <c r="B36" s="73">
        <f>B8</f>
        <v>497.25</v>
      </c>
      <c r="C36" s="34">
        <v>3.5999999999999999E-3</v>
      </c>
      <c r="D36" s="22">
        <f>B36*C36</f>
        <v>1.7901</v>
      </c>
      <c r="E36" s="73">
        <f t="shared" si="6"/>
        <v>497.25</v>
      </c>
      <c r="F36" s="34">
        <v>3.5999999999999999E-3</v>
      </c>
      <c r="G36" s="22">
        <f>E36*F36</f>
        <v>1.7901</v>
      </c>
      <c r="H36" s="22">
        <f t="shared" si="2"/>
        <v>0</v>
      </c>
      <c r="I36" s="23">
        <f t="shared" si="10"/>
        <v>0</v>
      </c>
      <c r="J36" s="23">
        <f t="shared" si="11"/>
        <v>1.6425512988268512E-2</v>
      </c>
      <c r="K36" s="108">
        <f t="shared" si="12"/>
        <v>1.5927988713526423E-2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10"/>
        <v>0</v>
      </c>
      <c r="J37" s="23">
        <f t="shared" si="11"/>
        <v>9.581549243156632E-3</v>
      </c>
      <c r="K37" s="108">
        <f t="shared" si="12"/>
        <v>9.2913267495570787E-3</v>
      </c>
    </row>
    <row r="38" spans="1:11" x14ac:dyDescent="0.2">
      <c r="A38" s="107" t="s">
        <v>96</v>
      </c>
      <c r="B38" s="73">
        <f>B8</f>
        <v>497.25</v>
      </c>
      <c r="C38" s="34">
        <v>0</v>
      </c>
      <c r="D38" s="22">
        <f>B38*C38</f>
        <v>0</v>
      </c>
      <c r="E38" s="73">
        <f t="shared" si="6"/>
        <v>497.25</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2.2939379068583478E-3</v>
      </c>
      <c r="K39" s="108">
        <f t="shared" si="12"/>
        <v>2.224455158025588E-3</v>
      </c>
    </row>
    <row r="40" spans="1:11" s="1" customFormat="1" x14ac:dyDescent="0.2">
      <c r="A40" s="110" t="s">
        <v>45</v>
      </c>
      <c r="B40" s="74"/>
      <c r="C40" s="35"/>
      <c r="D40" s="35">
        <f>SUM(D36:D39)</f>
        <v>3.0843249999999998</v>
      </c>
      <c r="E40" s="73"/>
      <c r="F40" s="35"/>
      <c r="G40" s="35">
        <f>SUM(G36:G39)</f>
        <v>3.0843249999999998</v>
      </c>
      <c r="H40" s="35">
        <f t="shared" si="2"/>
        <v>0</v>
      </c>
      <c r="I40" s="36">
        <f t="shared" si="10"/>
        <v>0</v>
      </c>
      <c r="J40" s="36">
        <f t="shared" si="11"/>
        <v>2.8301000138283492E-2</v>
      </c>
      <c r="K40" s="111">
        <f t="shared" si="12"/>
        <v>2.7443770621109087E-2</v>
      </c>
    </row>
    <row r="41" spans="1:11" s="1" customFormat="1" ht="13.5" thickBot="1" x14ac:dyDescent="0.25">
      <c r="A41" s="112" t="s">
        <v>46</v>
      </c>
      <c r="B41" s="113">
        <f>B4</f>
        <v>450</v>
      </c>
      <c r="C41" s="114">
        <v>0</v>
      </c>
      <c r="D41" s="115">
        <f>B41*C41</f>
        <v>0</v>
      </c>
      <c r="E41" s="116">
        <f t="shared" si="6"/>
        <v>450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96.433235807903941</v>
      </c>
      <c r="E42" s="38"/>
      <c r="F42" s="39"/>
      <c r="G42" s="39">
        <f>SUM(G14,G25,G26,G27,G33,G40,G41)</f>
        <v>103.79323580790395</v>
      </c>
      <c r="H42" s="39">
        <f t="shared" si="2"/>
        <v>7.3600000000000136</v>
      </c>
      <c r="I42" s="40">
        <f t="shared" si="10"/>
        <v>7.632223411709646E-2</v>
      </c>
      <c r="J42" s="40">
        <f t="shared" si="11"/>
        <v>0.95238095238095244</v>
      </c>
      <c r="K42" s="41"/>
    </row>
    <row r="43" spans="1:11" x14ac:dyDescent="0.2">
      <c r="A43" s="153" t="s">
        <v>102</v>
      </c>
      <c r="B43" s="43"/>
      <c r="C43" s="26">
        <v>0.13</v>
      </c>
      <c r="D43" s="26">
        <f>D42*C43</f>
        <v>12.536320655027513</v>
      </c>
      <c r="E43" s="26"/>
      <c r="F43" s="26">
        <f>C43</f>
        <v>0.13</v>
      </c>
      <c r="G43" s="26">
        <f>G42*F43</f>
        <v>13.493120655027514</v>
      </c>
      <c r="H43" s="26">
        <f t="shared" si="2"/>
        <v>0.95680000000000121</v>
      </c>
      <c r="I43" s="44">
        <f t="shared" si="10"/>
        <v>7.6322234117096405E-2</v>
      </c>
      <c r="J43" s="44">
        <f t="shared" si="11"/>
        <v>0.12380952380952381</v>
      </c>
      <c r="K43" s="45"/>
    </row>
    <row r="44" spans="1:11" s="1" customFormat="1" x14ac:dyDescent="0.2">
      <c r="A44" s="46" t="s">
        <v>103</v>
      </c>
      <c r="B44" s="24"/>
      <c r="C44" s="25"/>
      <c r="D44" s="25">
        <f>SUM(D42:D43)</f>
        <v>108.96955646293145</v>
      </c>
      <c r="E44" s="25"/>
      <c r="F44" s="25"/>
      <c r="G44" s="25">
        <f>SUM(G42:G43)</f>
        <v>117.28635646293147</v>
      </c>
      <c r="H44" s="25">
        <f t="shared" si="2"/>
        <v>8.3168000000000148</v>
      </c>
      <c r="I44" s="27">
        <f t="shared" si="10"/>
        <v>7.6322234117096446E-2</v>
      </c>
      <c r="J44" s="27">
        <f t="shared" si="11"/>
        <v>1.0761904761904761</v>
      </c>
      <c r="K44" s="47"/>
    </row>
    <row r="45" spans="1:11" x14ac:dyDescent="0.2">
      <c r="A45" s="42" t="s">
        <v>104</v>
      </c>
      <c r="B45" s="43"/>
      <c r="C45" s="26">
        <v>-0.08</v>
      </c>
      <c r="D45" s="26">
        <f>D42*C45</f>
        <v>-7.7146588646323151</v>
      </c>
      <c r="E45" s="26"/>
      <c r="F45" s="26">
        <f>C45</f>
        <v>-0.08</v>
      </c>
      <c r="G45" s="26">
        <f>G42*F45</f>
        <v>-8.3034588646323169</v>
      </c>
      <c r="H45" s="26">
        <f t="shared" si="2"/>
        <v>-0.58880000000000177</v>
      </c>
      <c r="I45" s="44">
        <f t="shared" si="10"/>
        <v>-7.6322234117096543E-2</v>
      </c>
      <c r="J45" s="44">
        <f t="shared" si="11"/>
        <v>-7.6190476190476197E-2</v>
      </c>
      <c r="K45" s="45"/>
    </row>
    <row r="46" spans="1:11" s="1" customFormat="1" ht="13.5" thickBot="1" x14ac:dyDescent="0.25">
      <c r="A46" s="48" t="s">
        <v>105</v>
      </c>
      <c r="B46" s="49"/>
      <c r="C46" s="50"/>
      <c r="D46" s="50">
        <f>SUM(D44:D45)</f>
        <v>101.25489759829914</v>
      </c>
      <c r="E46" s="50"/>
      <c r="F46" s="50"/>
      <c r="G46" s="50">
        <f>SUM(G44:G45)</f>
        <v>108.98289759829915</v>
      </c>
      <c r="H46" s="50">
        <f t="shared" si="2"/>
        <v>7.7280000000000086</v>
      </c>
      <c r="I46" s="51">
        <f t="shared" si="10"/>
        <v>7.6322234117096405E-2</v>
      </c>
      <c r="J46" s="51">
        <f t="shared" si="11"/>
        <v>1</v>
      </c>
      <c r="K46" s="52"/>
    </row>
    <row r="47" spans="1:11" x14ac:dyDescent="0.2">
      <c r="A47" s="53" t="s">
        <v>106</v>
      </c>
      <c r="B47" s="54"/>
      <c r="C47" s="55"/>
      <c r="D47" s="55">
        <f>SUM(D18,D25,D26,D28,D33,D40,D41)</f>
        <v>99.675305807903925</v>
      </c>
      <c r="E47" s="55"/>
      <c r="F47" s="55"/>
      <c r="G47" s="55">
        <f>SUM(G18,G25,G26,G28,G33,G40,G41)</f>
        <v>107.03530580790394</v>
      </c>
      <c r="H47" s="55">
        <f>G47-D47</f>
        <v>7.3600000000000136</v>
      </c>
      <c r="I47" s="56">
        <f t="shared" si="10"/>
        <v>7.3839753390717869E-2</v>
      </c>
      <c r="J47" s="56"/>
      <c r="K47" s="57">
        <f>G47/$G$51</f>
        <v>0.95238095238095244</v>
      </c>
    </row>
    <row r="48" spans="1:11" x14ac:dyDescent="0.2">
      <c r="A48" s="154" t="s">
        <v>102</v>
      </c>
      <c r="B48" s="59"/>
      <c r="C48" s="31">
        <v>0.13</v>
      </c>
      <c r="D48" s="31">
        <f>D47*C48</f>
        <v>12.957789755027511</v>
      </c>
      <c r="E48" s="31"/>
      <c r="F48" s="31">
        <f>C48</f>
        <v>0.13</v>
      </c>
      <c r="G48" s="31">
        <f>G47*F48</f>
        <v>13.914589755027512</v>
      </c>
      <c r="H48" s="31">
        <f>G48-D48</f>
        <v>0.95680000000000121</v>
      </c>
      <c r="I48" s="32">
        <f t="shared" si="10"/>
        <v>7.3839753390717813E-2</v>
      </c>
      <c r="J48" s="32"/>
      <c r="K48" s="60">
        <f>G48/$G$51</f>
        <v>0.12380952380952381</v>
      </c>
    </row>
    <row r="49" spans="1:11" x14ac:dyDescent="0.2">
      <c r="A49" s="61" t="s">
        <v>107</v>
      </c>
      <c r="B49" s="29"/>
      <c r="C49" s="30"/>
      <c r="D49" s="30">
        <f>SUM(D47:D48)</f>
        <v>112.63309556293143</v>
      </c>
      <c r="E49" s="30"/>
      <c r="F49" s="30"/>
      <c r="G49" s="30">
        <f>SUM(G47:G48)</f>
        <v>120.94989556293145</v>
      </c>
      <c r="H49" s="30">
        <f>G49-D49</f>
        <v>8.3168000000000148</v>
      </c>
      <c r="I49" s="33">
        <f t="shared" si="10"/>
        <v>7.3839753390717855E-2</v>
      </c>
      <c r="J49" s="33"/>
      <c r="K49" s="62">
        <f>G49/$G$51</f>
        <v>1.0761904761904761</v>
      </c>
    </row>
    <row r="50" spans="1:11" x14ac:dyDescent="0.2">
      <c r="A50" s="58" t="s">
        <v>104</v>
      </c>
      <c r="B50" s="59"/>
      <c r="C50" s="31">
        <v>-0.08</v>
      </c>
      <c r="D50" s="31">
        <f>D47*C50</f>
        <v>-7.974024464632314</v>
      </c>
      <c r="E50" s="31"/>
      <c r="F50" s="31">
        <f>C50</f>
        <v>-0.08</v>
      </c>
      <c r="G50" s="31">
        <f>G47*F50</f>
        <v>-8.5628244646323157</v>
      </c>
      <c r="H50" s="31">
        <f>G50-D50</f>
        <v>-0.58880000000000177</v>
      </c>
      <c r="I50" s="32">
        <f t="shared" si="10"/>
        <v>-7.3839753390717952E-2</v>
      </c>
      <c r="J50" s="32"/>
      <c r="K50" s="60">
        <f>G50/$G$51</f>
        <v>-7.6190476190476197E-2</v>
      </c>
    </row>
    <row r="51" spans="1:11" ht="13.5" thickBot="1" x14ac:dyDescent="0.25">
      <c r="A51" s="63" t="s">
        <v>116</v>
      </c>
      <c r="B51" s="64"/>
      <c r="C51" s="65"/>
      <c r="D51" s="65">
        <f>SUM(D49:D50)</f>
        <v>104.65907109829912</v>
      </c>
      <c r="E51" s="65"/>
      <c r="F51" s="65"/>
      <c r="G51" s="65">
        <f>SUM(G49:G50)</f>
        <v>112.38707109829913</v>
      </c>
      <c r="H51" s="65">
        <f>G51-D51</f>
        <v>7.7280000000000086</v>
      </c>
      <c r="I51" s="66">
        <f t="shared" si="10"/>
        <v>7.3839753390717813E-2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119</v>
      </c>
      <c r="B1" s="186"/>
      <c r="C1" s="186"/>
      <c r="D1" s="186"/>
      <c r="E1" s="186"/>
      <c r="F1" s="186"/>
      <c r="G1" s="186"/>
      <c r="H1" s="186"/>
      <c r="I1" s="186"/>
      <c r="J1" s="186"/>
      <c r="K1" s="187"/>
    </row>
    <row r="3" spans="1:11" x14ac:dyDescent="0.2">
      <c r="A3" s="13" t="s">
        <v>13</v>
      </c>
      <c r="B3" s="13" t="s">
        <v>2</v>
      </c>
    </row>
    <row r="4" spans="1:11" x14ac:dyDescent="0.2">
      <c r="A4" s="15" t="s">
        <v>62</v>
      </c>
      <c r="B4" s="15">
        <v>750</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67">
        <f>B4*B6</f>
        <v>828.75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0.33983776096480817</v>
      </c>
      <c r="K12" s="106"/>
    </row>
    <row r="13" spans="1:11" x14ac:dyDescent="0.2">
      <c r="A13" s="107" t="s">
        <v>32</v>
      </c>
      <c r="B13" s="73">
        <f>IF(B4&gt;B7,(B4)-B7,0)</f>
        <v>150</v>
      </c>
      <c r="C13" s="21">
        <v>0.106</v>
      </c>
      <c r="D13" s="22">
        <f>B13*C13</f>
        <v>15.9</v>
      </c>
      <c r="E13" s="73">
        <f t="shared" ref="E13" si="1">B13</f>
        <v>150</v>
      </c>
      <c r="F13" s="21">
        <f>C13</f>
        <v>0.106</v>
      </c>
      <c r="G13" s="22">
        <f>E13*F13</f>
        <v>15.9</v>
      </c>
      <c r="H13" s="22">
        <f t="shared" ref="H13:H46" si="2">G13-D13</f>
        <v>0</v>
      </c>
      <c r="I13" s="23">
        <f t="shared" si="0"/>
        <v>0</v>
      </c>
      <c r="J13" s="23">
        <f>G13/$G$46</f>
        <v>9.8963743577663923E-2</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0.43880150454247208</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6" si="4">G15/$G$51</f>
        <v>0.23066541399954221</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8.8533118939684449E-2</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0.13024185014239886</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6" si="5">G18/$G$46</f>
        <v>0.45523322045725412</v>
      </c>
      <c r="K18" s="62">
        <f t="shared" si="4"/>
        <v>0.44944038308162559</v>
      </c>
    </row>
    <row r="19" spans="1:11" x14ac:dyDescent="0.2">
      <c r="A19" s="107" t="s">
        <v>112</v>
      </c>
      <c r="B19" s="73">
        <v>1</v>
      </c>
      <c r="C19" s="121">
        <f>VLOOKUP($B$3,'Data for Bill Impacts'!$A$6:$Y$18,7,0)</f>
        <v>25.019678307903931</v>
      </c>
      <c r="D19" s="22">
        <f>B19*C19</f>
        <v>25.019678307903931</v>
      </c>
      <c r="E19" s="73">
        <f t="shared" ref="E19:E41" si="6">B19</f>
        <v>1</v>
      </c>
      <c r="F19" s="121">
        <f>VLOOKUP($B$3,'Data for Bill Impacts'!$A$6:$Y$18,17,0)</f>
        <v>34.089678307903938</v>
      </c>
      <c r="G19" s="22">
        <f>E19*F19</f>
        <v>34.089678307903938</v>
      </c>
      <c r="H19" s="22">
        <f t="shared" si="2"/>
        <v>9.0700000000000074</v>
      </c>
      <c r="I19" s="23">
        <f>IF(ISERROR(H19/ABS(D19)),"N/A",(H19/ABS(D19)))</f>
        <v>0.36251465300154223</v>
      </c>
      <c r="J19" s="23">
        <f t="shared" si="5"/>
        <v>0.21217875362946273</v>
      </c>
      <c r="K19" s="108">
        <f t="shared" si="4"/>
        <v>0.20947878148528473</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-2.1000000000000001E-2</v>
      </c>
      <c r="D22" s="22">
        <f t="shared" si="9"/>
        <v>-2.1000000000000001E-2</v>
      </c>
      <c r="E22" s="73">
        <f t="shared" si="6"/>
        <v>1</v>
      </c>
      <c r="F22" s="121">
        <f>VLOOKUP($B$3,'Data for Bill Impacts'!$A$6:$Y$18,22,0)</f>
        <v>-2.1000000000000001E-2</v>
      </c>
      <c r="G22" s="22">
        <f t="shared" si="7"/>
        <v>-2.1000000000000001E-2</v>
      </c>
      <c r="H22" s="22">
        <f t="shared" si="2"/>
        <v>0</v>
      </c>
      <c r="I22" s="23">
        <f t="shared" ref="I22:I51" si="10">IF(ISERROR(H22/ABS(D22)),"N/A",(H22/ABS(D22)))</f>
        <v>0</v>
      </c>
      <c r="J22" s="23">
        <f t="shared" si="5"/>
        <v>-1.3070683114031084E-4</v>
      </c>
      <c r="K22" s="108">
        <f t="shared" si="4"/>
        <v>-1.2904358825149216E-4</v>
      </c>
    </row>
    <row r="23" spans="1:11" x14ac:dyDescent="0.2">
      <c r="A23" s="107" t="s">
        <v>39</v>
      </c>
      <c r="B23" s="73">
        <f>IF($B$9="kWh",$B$4,$B$5)</f>
        <v>750</v>
      </c>
      <c r="C23" s="125">
        <f>VLOOKUP($B$3,'Data for Bill Impacts'!$A$6:$Y$18,10,0)</f>
        <v>3.5900000000000001E-2</v>
      </c>
      <c r="D23" s="22">
        <f>B23*C23</f>
        <v>26.925000000000001</v>
      </c>
      <c r="E23" s="73">
        <f t="shared" si="6"/>
        <v>750</v>
      </c>
      <c r="F23" s="78">
        <f>VLOOKUP($B$3,'Data for Bill Impacts'!$A$6:$Y$18,19,0)</f>
        <v>3.2099999999999997E-2</v>
      </c>
      <c r="G23" s="22">
        <f>E23*F23</f>
        <v>24.074999999999996</v>
      </c>
      <c r="H23" s="22">
        <f t="shared" si="2"/>
        <v>-2.850000000000005</v>
      </c>
      <c r="I23" s="23">
        <f t="shared" si="10"/>
        <v>-0.10584958217270213</v>
      </c>
      <c r="J23" s="23">
        <f t="shared" si="5"/>
        <v>0.14984604570014204</v>
      </c>
      <c r="K23" s="108">
        <f t="shared" si="4"/>
        <v>0.1479392565311749</v>
      </c>
    </row>
    <row r="24" spans="1:11" x14ac:dyDescent="0.2">
      <c r="A24" s="107" t="s">
        <v>122</v>
      </c>
      <c r="B24" s="73">
        <f>IF($B$9="kWh",$B$4,$B$5)</f>
        <v>750</v>
      </c>
      <c r="C24" s="125">
        <f>VLOOKUP($B$3,'Data for Bill Impacts'!$A$6:$Y$18,14,0)</f>
        <v>1.0000000000000003E-5</v>
      </c>
      <c r="D24" s="22">
        <f>B24*C24</f>
        <v>7.5000000000000015E-3</v>
      </c>
      <c r="E24" s="73">
        <f>B24</f>
        <v>750</v>
      </c>
      <c r="F24" s="125">
        <f>VLOOKUP($B$3,'Data for Bill Impacts'!$A$6:$Y$18,23,0)</f>
        <v>1.0000000000000003E-5</v>
      </c>
      <c r="G24" s="22">
        <f>E24*F24</f>
        <v>7.5000000000000015E-3</v>
      </c>
      <c r="H24" s="22">
        <f>G24-D24</f>
        <v>0</v>
      </c>
      <c r="I24" s="23">
        <f t="shared" si="10"/>
        <v>0</v>
      </c>
      <c r="J24" s="23">
        <f t="shared" si="5"/>
        <v>4.6681011121539591E-5</v>
      </c>
      <c r="K24" s="108">
        <f t="shared" si="4"/>
        <v>4.6086995804104349E-5</v>
      </c>
    </row>
    <row r="25" spans="1:11" s="1" customFormat="1" x14ac:dyDescent="0.2">
      <c r="A25" s="110" t="s">
        <v>72</v>
      </c>
      <c r="B25" s="74"/>
      <c r="C25" s="35"/>
      <c r="D25" s="35">
        <f>SUM(D19:D24)</f>
        <v>51.931178307903927</v>
      </c>
      <c r="E25" s="73"/>
      <c r="F25" s="35"/>
      <c r="G25" s="35">
        <f>SUM(G19:G24)</f>
        <v>58.151178307903933</v>
      </c>
      <c r="H25" s="35">
        <f t="shared" si="2"/>
        <v>6.220000000000006</v>
      </c>
      <c r="I25" s="36">
        <f t="shared" si="10"/>
        <v>0.11977390466900539</v>
      </c>
      <c r="J25" s="36">
        <f t="shared" si="5"/>
        <v>0.36194077350958598</v>
      </c>
      <c r="K25" s="111">
        <f t="shared" si="4"/>
        <v>0.35733508142401227</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4.91706650480217E-3</v>
      </c>
      <c r="K26" s="108">
        <f t="shared" si="4"/>
        <v>4.8544968913656573E-3</v>
      </c>
    </row>
    <row r="27" spans="1:11" s="1" customFormat="1" x14ac:dyDescent="0.2">
      <c r="A27" s="119" t="s">
        <v>75</v>
      </c>
      <c r="B27" s="120">
        <f>B8-B4</f>
        <v>78.75</v>
      </c>
      <c r="C27" s="170">
        <f>IF(B4&gt;B7,C13,C12)</f>
        <v>0.106</v>
      </c>
      <c r="D27" s="22">
        <f>B27*C27</f>
        <v>8.3475000000000001</v>
      </c>
      <c r="E27" s="73">
        <f>B27</f>
        <v>78.75</v>
      </c>
      <c r="F27" s="170">
        <f>C27</f>
        <v>0.106</v>
      </c>
      <c r="G27" s="22">
        <f>E27*F27</f>
        <v>8.3475000000000001</v>
      </c>
      <c r="H27" s="22">
        <f t="shared" si="2"/>
        <v>0</v>
      </c>
      <c r="I27" s="23">
        <f t="shared" si="10"/>
        <v>0</v>
      </c>
      <c r="J27" s="23">
        <f t="shared" ref="J27:J46" si="11">G27/$G$46</f>
        <v>5.1955965378273558E-2</v>
      </c>
      <c r="K27" s="108">
        <f t="shared" ref="K27:K41" si="12">G27/$G$51</f>
        <v>5.1294826329968131E-2</v>
      </c>
    </row>
    <row r="28" spans="1:11" s="1" customFormat="1" x14ac:dyDescent="0.2">
      <c r="A28" s="119" t="s">
        <v>74</v>
      </c>
      <c r="B28" s="120">
        <f>B8-B4</f>
        <v>78.75</v>
      </c>
      <c r="C28" s="170">
        <f>0.65*C15+0.17*C16+0.18*C17</f>
        <v>9.7519999999999996E-2</v>
      </c>
      <c r="D28" s="22">
        <f>B28*C28</f>
        <v>7.6796999999999995</v>
      </c>
      <c r="E28" s="73">
        <f>B28</f>
        <v>78.75</v>
      </c>
      <c r="F28" s="170">
        <f>C28</f>
        <v>9.7519999999999996E-2</v>
      </c>
      <c r="G28" s="22">
        <f>E28*F28</f>
        <v>7.6796999999999995</v>
      </c>
      <c r="H28" s="22">
        <f t="shared" si="2"/>
        <v>0</v>
      </c>
      <c r="I28" s="23">
        <f t="shared" si="10"/>
        <v>0</v>
      </c>
      <c r="J28" s="23">
        <f t="shared" si="11"/>
        <v>4.7799488148011673E-2</v>
      </c>
      <c r="K28" s="108">
        <f t="shared" si="12"/>
        <v>4.7191240223570678E-2</v>
      </c>
    </row>
    <row r="29" spans="1:11" s="1" customFormat="1" x14ac:dyDescent="0.2">
      <c r="A29" s="110" t="s">
        <v>78</v>
      </c>
      <c r="B29" s="74"/>
      <c r="C29" s="35"/>
      <c r="D29" s="35">
        <f>SUM(D25,D26:D27)</f>
        <v>61.068678307903923</v>
      </c>
      <c r="E29" s="73"/>
      <c r="F29" s="35"/>
      <c r="G29" s="35">
        <f>SUM(G25,G26:G27)</f>
        <v>67.288678307903936</v>
      </c>
      <c r="H29" s="35">
        <f t="shared" si="2"/>
        <v>6.2200000000000131</v>
      </c>
      <c r="I29" s="36">
        <f t="shared" si="10"/>
        <v>0.10185253999831495</v>
      </c>
      <c r="J29" s="36">
        <f t="shared" si="11"/>
        <v>0.41881380539266172</v>
      </c>
      <c r="K29" s="111">
        <f t="shared" si="12"/>
        <v>0.41348440464534603</v>
      </c>
    </row>
    <row r="30" spans="1:11" s="1" customFormat="1" x14ac:dyDescent="0.2">
      <c r="A30" s="110" t="s">
        <v>77</v>
      </c>
      <c r="B30" s="74"/>
      <c r="C30" s="35"/>
      <c r="D30" s="35">
        <f>SUM(D25,D26,D28)</f>
        <v>60.400878307903923</v>
      </c>
      <c r="E30" s="73"/>
      <c r="F30" s="35"/>
      <c r="G30" s="35">
        <f>SUM(G25,G26,G28)</f>
        <v>66.620878307903936</v>
      </c>
      <c r="H30" s="35">
        <f t="shared" si="2"/>
        <v>6.2200000000000131</v>
      </c>
      <c r="I30" s="36">
        <f t="shared" si="10"/>
        <v>0.1029786349842876</v>
      </c>
      <c r="J30" s="36">
        <f t="shared" si="11"/>
        <v>0.41465732816239986</v>
      </c>
      <c r="K30" s="111">
        <f t="shared" si="12"/>
        <v>0.40938081853894859</v>
      </c>
    </row>
    <row r="31" spans="1:11" x14ac:dyDescent="0.2">
      <c r="A31" s="107" t="s">
        <v>40</v>
      </c>
      <c r="B31" s="73">
        <f>B8</f>
        <v>828.75</v>
      </c>
      <c r="C31" s="125">
        <f>VLOOKUP($B$3,'Data for Bill Impacts'!$A$6:$Y$18,15,0)</f>
        <v>6.7400000000000003E-3</v>
      </c>
      <c r="D31" s="22">
        <f>B31*C31</f>
        <v>5.5857749999999999</v>
      </c>
      <c r="E31" s="73">
        <f t="shared" si="6"/>
        <v>828.75</v>
      </c>
      <c r="F31" s="125">
        <f>VLOOKUP($B$3,'Data for Bill Impacts'!$A$6:$Y$18,24,0)</f>
        <v>6.7400000000000003E-3</v>
      </c>
      <c r="G31" s="22">
        <f>E31*F31</f>
        <v>5.5857749999999999</v>
      </c>
      <c r="H31" s="22">
        <f t="shared" si="2"/>
        <v>0</v>
      </c>
      <c r="I31" s="23">
        <f t="shared" si="10"/>
        <v>0</v>
      </c>
      <c r="J31" s="23">
        <f t="shared" si="11"/>
        <v>3.4766616652989038E-2</v>
      </c>
      <c r="K31" s="108">
        <f t="shared" si="12"/>
        <v>3.432421186502279E-2</v>
      </c>
    </row>
    <row r="32" spans="1:11" x14ac:dyDescent="0.2">
      <c r="A32" s="107" t="s">
        <v>41</v>
      </c>
      <c r="B32" s="73">
        <f>B8</f>
        <v>828.75</v>
      </c>
      <c r="C32" s="125">
        <f>VLOOKUP($B$3,'Data for Bill Impacts'!$A$6:$Y$18,16,0)</f>
        <v>5.6299999999999996E-3</v>
      </c>
      <c r="D32" s="22">
        <f>B32*C32</f>
        <v>4.6658624999999994</v>
      </c>
      <c r="E32" s="73">
        <f t="shared" si="6"/>
        <v>828.75</v>
      </c>
      <c r="F32" s="125">
        <f>VLOOKUP($B$3,'Data for Bill Impacts'!$A$6:$Y$18,25,0)</f>
        <v>5.6299999999999996E-3</v>
      </c>
      <c r="G32" s="22">
        <f>E32*F32</f>
        <v>4.6658624999999994</v>
      </c>
      <c r="H32" s="22">
        <f t="shared" si="2"/>
        <v>0</v>
      </c>
      <c r="I32" s="23">
        <f t="shared" si="10"/>
        <v>0</v>
      </c>
      <c r="J32" s="23">
        <f t="shared" si="11"/>
        <v>2.9040957233876594E-2</v>
      </c>
      <c r="K32" s="108">
        <f t="shared" si="12"/>
        <v>2.8671411394670367E-2</v>
      </c>
    </row>
    <row r="33" spans="1:11" s="1" customFormat="1" x14ac:dyDescent="0.2">
      <c r="A33" s="110" t="s">
        <v>76</v>
      </c>
      <c r="B33" s="74"/>
      <c r="C33" s="35"/>
      <c r="D33" s="35">
        <f>SUM(D31:D32)</f>
        <v>10.251637499999999</v>
      </c>
      <c r="E33" s="73"/>
      <c r="F33" s="35"/>
      <c r="G33" s="35">
        <f>SUM(G31:G32)</f>
        <v>10.251637499999999</v>
      </c>
      <c r="H33" s="35">
        <f t="shared" si="2"/>
        <v>0</v>
      </c>
      <c r="I33" s="36">
        <f t="shared" si="10"/>
        <v>0</v>
      </c>
      <c r="J33" s="36">
        <f t="shared" si="11"/>
        <v>6.3807573886865629E-2</v>
      </c>
      <c r="K33" s="111">
        <f t="shared" si="12"/>
        <v>6.2995623259693156E-2</v>
      </c>
    </row>
    <row r="34" spans="1:11" s="1" customFormat="1" x14ac:dyDescent="0.2">
      <c r="A34" s="110" t="s">
        <v>91</v>
      </c>
      <c r="B34" s="74"/>
      <c r="C34" s="35"/>
      <c r="D34" s="35">
        <f>D29+D33</f>
        <v>71.320315807903924</v>
      </c>
      <c r="E34" s="73"/>
      <c r="F34" s="35"/>
      <c r="G34" s="35">
        <f>G29+G33</f>
        <v>77.540315807903937</v>
      </c>
      <c r="H34" s="35">
        <f t="shared" si="2"/>
        <v>6.2200000000000131</v>
      </c>
      <c r="I34" s="36">
        <f t="shared" si="10"/>
        <v>8.7212176916786663E-2</v>
      </c>
      <c r="J34" s="36">
        <f t="shared" si="11"/>
        <v>0.48262137927952736</v>
      </c>
      <c r="K34" s="111">
        <f t="shared" si="12"/>
        <v>0.47648002790503924</v>
      </c>
    </row>
    <row r="35" spans="1:11" s="1" customFormat="1" x14ac:dyDescent="0.2">
      <c r="A35" s="110" t="s">
        <v>92</v>
      </c>
      <c r="B35" s="74"/>
      <c r="C35" s="35"/>
      <c r="D35" s="35">
        <f>D30+D33</f>
        <v>70.652515807903924</v>
      </c>
      <c r="E35" s="73"/>
      <c r="F35" s="35"/>
      <c r="G35" s="35">
        <f>G30+G33</f>
        <v>76.872515807903937</v>
      </c>
      <c r="H35" s="35">
        <f t="shared" si="2"/>
        <v>6.2200000000000131</v>
      </c>
      <c r="I35" s="36">
        <f t="shared" si="10"/>
        <v>8.8036497057110877E-2</v>
      </c>
      <c r="J35" s="36">
        <f t="shared" si="11"/>
        <v>0.47846490204926551</v>
      </c>
      <c r="K35" s="111">
        <f t="shared" si="12"/>
        <v>0.47237644179864174</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2"/>
        <v>0</v>
      </c>
      <c r="I36" s="23">
        <f t="shared" si="10"/>
        <v>0</v>
      </c>
      <c r="J36" s="23">
        <f t="shared" si="11"/>
        <v>1.8569706224148445E-2</v>
      </c>
      <c r="K36" s="108">
        <f t="shared" si="12"/>
        <v>1.8333406930872705E-2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10"/>
        <v>0</v>
      </c>
      <c r="J37" s="23">
        <f t="shared" si="11"/>
        <v>1.0832328630753259E-2</v>
      </c>
      <c r="K37" s="108">
        <f t="shared" si="12"/>
        <v>1.0694487376342411E-2</v>
      </c>
    </row>
    <row r="38" spans="1:11" x14ac:dyDescent="0.2">
      <c r="A38" s="107" t="s">
        <v>96</v>
      </c>
      <c r="B38" s="73">
        <f>B8</f>
        <v>828.75</v>
      </c>
      <c r="C38" s="34">
        <v>0</v>
      </c>
      <c r="D38" s="22">
        <f>B38*C38</f>
        <v>0</v>
      </c>
      <c r="E38" s="73">
        <f t="shared" si="6"/>
        <v>828.75</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1.5560337040513195E-3</v>
      </c>
      <c r="K39" s="108">
        <f t="shared" si="12"/>
        <v>1.5362331934701445E-3</v>
      </c>
    </row>
    <row r="40" spans="1:11" s="1" customFormat="1" x14ac:dyDescent="0.2">
      <c r="A40" s="110" t="s">
        <v>45</v>
      </c>
      <c r="B40" s="74"/>
      <c r="C40" s="35"/>
      <c r="D40" s="35">
        <f>SUM(D36:D39)</f>
        <v>4.9738749999999996</v>
      </c>
      <c r="E40" s="73"/>
      <c r="F40" s="35"/>
      <c r="G40" s="35">
        <f>SUM(G36:G39)</f>
        <v>4.9738749999999996</v>
      </c>
      <c r="H40" s="35">
        <f t="shared" si="2"/>
        <v>0</v>
      </c>
      <c r="I40" s="36">
        <f t="shared" si="10"/>
        <v>0</v>
      </c>
      <c r="J40" s="36">
        <f t="shared" si="11"/>
        <v>3.0958068558953025E-2</v>
      </c>
      <c r="K40" s="111">
        <f t="shared" si="12"/>
        <v>3.0564127500685261E-2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146.79419080790393</v>
      </c>
      <c r="E42" s="38"/>
      <c r="F42" s="39"/>
      <c r="G42" s="39">
        <f>SUM(G14,G25,G26,G27,G33,G40,G41)</f>
        <v>153.0141908079039</v>
      </c>
      <c r="H42" s="39">
        <f t="shared" si="2"/>
        <v>6.2199999999999704</v>
      </c>
      <c r="I42" s="40">
        <f t="shared" si="10"/>
        <v>4.2372248968213684E-2</v>
      </c>
      <c r="J42" s="40">
        <f t="shared" si="11"/>
        <v>0.95238095238095233</v>
      </c>
      <c r="K42" s="41"/>
    </row>
    <row r="43" spans="1:11" x14ac:dyDescent="0.2">
      <c r="A43" s="153" t="s">
        <v>102</v>
      </c>
      <c r="B43" s="43"/>
      <c r="C43" s="26">
        <v>0.13</v>
      </c>
      <c r="D43" s="26">
        <f>D42*C43</f>
        <v>19.083244805027512</v>
      </c>
      <c r="E43" s="26"/>
      <c r="F43" s="26">
        <f>C43</f>
        <v>0.13</v>
      </c>
      <c r="G43" s="26">
        <f>G42*F43</f>
        <v>19.891844805027507</v>
      </c>
      <c r="H43" s="26">
        <f t="shared" si="2"/>
        <v>0.80859999999999488</v>
      </c>
      <c r="I43" s="44">
        <f t="shared" si="10"/>
        <v>4.2372248968213622E-2</v>
      </c>
      <c r="J43" s="44">
        <f t="shared" si="11"/>
        <v>0.1238095238095238</v>
      </c>
      <c r="K43" s="45"/>
    </row>
    <row r="44" spans="1:11" s="1" customFormat="1" x14ac:dyDescent="0.2">
      <c r="A44" s="46" t="s">
        <v>103</v>
      </c>
      <c r="B44" s="24"/>
      <c r="C44" s="25"/>
      <c r="D44" s="25">
        <f>SUM(D42:D43)</f>
        <v>165.87743561293144</v>
      </c>
      <c r="E44" s="25"/>
      <c r="F44" s="25"/>
      <c r="G44" s="25">
        <f>SUM(G42:G43)</f>
        <v>172.90603561293142</v>
      </c>
      <c r="H44" s="25">
        <f t="shared" si="2"/>
        <v>7.0285999999999831</v>
      </c>
      <c r="I44" s="27">
        <f t="shared" si="10"/>
        <v>4.2372248968213788E-2</v>
      </c>
      <c r="J44" s="27">
        <f t="shared" si="11"/>
        <v>1.0761904761904761</v>
      </c>
      <c r="K44" s="47"/>
    </row>
    <row r="45" spans="1:11" x14ac:dyDescent="0.2">
      <c r="A45" s="42" t="s">
        <v>104</v>
      </c>
      <c r="B45" s="43"/>
      <c r="C45" s="26">
        <v>-0.08</v>
      </c>
      <c r="D45" s="26">
        <f>D42*C45</f>
        <v>-11.743535264632314</v>
      </c>
      <c r="E45" s="26"/>
      <c r="F45" s="26">
        <f>C45</f>
        <v>-0.08</v>
      </c>
      <c r="G45" s="26">
        <f>G42*F45</f>
        <v>-12.241135264632312</v>
      </c>
      <c r="H45" s="26">
        <f t="shared" si="2"/>
        <v>-0.49759999999999849</v>
      </c>
      <c r="I45" s="44">
        <f t="shared" si="10"/>
        <v>-4.237224896821376E-2</v>
      </c>
      <c r="J45" s="44">
        <f t="shared" si="11"/>
        <v>-7.6190476190476183E-2</v>
      </c>
      <c r="K45" s="45"/>
    </row>
    <row r="46" spans="1:11" s="1" customFormat="1" ht="13.5" thickBot="1" x14ac:dyDescent="0.25">
      <c r="A46" s="48" t="s">
        <v>105</v>
      </c>
      <c r="B46" s="49"/>
      <c r="C46" s="50"/>
      <c r="D46" s="50">
        <f>SUM(D44:D45)</f>
        <v>154.13390034829911</v>
      </c>
      <c r="E46" s="50"/>
      <c r="F46" s="50"/>
      <c r="G46" s="50">
        <f>SUM(G44:G45)</f>
        <v>160.66490034829911</v>
      </c>
      <c r="H46" s="50">
        <f t="shared" si="2"/>
        <v>6.5310000000000059</v>
      </c>
      <c r="I46" s="51">
        <f t="shared" si="10"/>
        <v>4.2372248968213934E-2</v>
      </c>
      <c r="J46" s="51">
        <f t="shared" si="11"/>
        <v>1</v>
      </c>
      <c r="K46" s="52"/>
    </row>
    <row r="47" spans="1:11" x14ac:dyDescent="0.2">
      <c r="A47" s="53" t="s">
        <v>106</v>
      </c>
      <c r="B47" s="54"/>
      <c r="C47" s="55"/>
      <c r="D47" s="55">
        <f>SUM(D18,D25,D26,D28,D33,D40,D41)</f>
        <v>148.76639080790395</v>
      </c>
      <c r="E47" s="55"/>
      <c r="F47" s="55"/>
      <c r="G47" s="55">
        <f>SUM(G18,G25,G26,G28,G33,G40,G41)</f>
        <v>154.98639080790392</v>
      </c>
      <c r="H47" s="55">
        <f>G47-D47</f>
        <v>6.2199999999999704</v>
      </c>
      <c r="I47" s="56">
        <f t="shared" si="10"/>
        <v>4.1810518936576245E-2</v>
      </c>
      <c r="J47" s="56"/>
      <c r="K47" s="57">
        <f>G47/$G$51</f>
        <v>0.95238095238095244</v>
      </c>
    </row>
    <row r="48" spans="1:11" x14ac:dyDescent="0.2">
      <c r="A48" s="58" t="s">
        <v>102</v>
      </c>
      <c r="B48" s="59"/>
      <c r="C48" s="31">
        <v>0.13</v>
      </c>
      <c r="D48" s="31">
        <f>D47*C48</f>
        <v>19.339630805027515</v>
      </c>
      <c r="E48" s="31"/>
      <c r="F48" s="31">
        <f>C48</f>
        <v>0.13</v>
      </c>
      <c r="G48" s="31">
        <f>G47*F48</f>
        <v>20.148230805027509</v>
      </c>
      <c r="H48" s="31">
        <f>G48-D48</f>
        <v>0.80859999999999488</v>
      </c>
      <c r="I48" s="32">
        <f t="shared" si="10"/>
        <v>4.1810518936576176E-2</v>
      </c>
      <c r="J48" s="32"/>
      <c r="K48" s="60">
        <f>G48/$G$51</f>
        <v>0.12380952380952381</v>
      </c>
    </row>
    <row r="49" spans="1:11" x14ac:dyDescent="0.2">
      <c r="A49" s="61" t="s">
        <v>107</v>
      </c>
      <c r="B49" s="29"/>
      <c r="C49" s="30"/>
      <c r="D49" s="30">
        <f>SUM(D47:D48)</f>
        <v>168.10602161293147</v>
      </c>
      <c r="E49" s="30"/>
      <c r="F49" s="30"/>
      <c r="G49" s="30">
        <f>SUM(G47:G48)</f>
        <v>175.13462161293143</v>
      </c>
      <c r="H49" s="30">
        <f>G49-D49</f>
        <v>7.0285999999999547</v>
      </c>
      <c r="I49" s="33">
        <f t="shared" si="10"/>
        <v>4.1810518936576176E-2</v>
      </c>
      <c r="J49" s="33"/>
      <c r="K49" s="62">
        <f>G49/$G$51</f>
        <v>1.0761904761904761</v>
      </c>
    </row>
    <row r="50" spans="1:11" x14ac:dyDescent="0.2">
      <c r="A50" s="58" t="s">
        <v>104</v>
      </c>
      <c r="B50" s="59"/>
      <c r="C50" s="31">
        <v>-0.08</v>
      </c>
      <c r="D50" s="31">
        <f>D47*C50</f>
        <v>-11.901311264632316</v>
      </c>
      <c r="E50" s="31"/>
      <c r="F50" s="31">
        <f>C50</f>
        <v>-0.08</v>
      </c>
      <c r="G50" s="31">
        <f>G47*F50</f>
        <v>-12.398911264632314</v>
      </c>
      <c r="H50" s="31">
        <f>G50-D50</f>
        <v>-0.49759999999999849</v>
      </c>
      <c r="I50" s="32">
        <f t="shared" si="10"/>
        <v>-4.1810518936576321E-2</v>
      </c>
      <c r="J50" s="32"/>
      <c r="K50" s="60">
        <f>G50/$G$51</f>
        <v>-7.6190476190476197E-2</v>
      </c>
    </row>
    <row r="51" spans="1:11" ht="13.5" thickBot="1" x14ac:dyDescent="0.25">
      <c r="A51" s="63" t="s">
        <v>116</v>
      </c>
      <c r="B51" s="64"/>
      <c r="C51" s="65"/>
      <c r="D51" s="65">
        <f>SUM(D49:D50)</f>
        <v>156.20471034829916</v>
      </c>
      <c r="E51" s="65"/>
      <c r="F51" s="65"/>
      <c r="G51" s="65">
        <f>SUM(G49:G50)</f>
        <v>162.73571034829911</v>
      </c>
      <c r="H51" s="65">
        <f>G51-D51</f>
        <v>6.5309999999999491</v>
      </c>
      <c r="I51" s="66">
        <f t="shared" si="10"/>
        <v>4.1810518936576113E-2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120</v>
      </c>
      <c r="B1" s="186"/>
      <c r="C1" s="186"/>
      <c r="D1" s="186"/>
      <c r="E1" s="186"/>
      <c r="F1" s="186"/>
      <c r="G1" s="186"/>
      <c r="H1" s="186"/>
      <c r="I1" s="186"/>
      <c r="J1" s="186"/>
      <c r="K1" s="187"/>
    </row>
    <row r="3" spans="1:11" x14ac:dyDescent="0.2">
      <c r="A3" s="13" t="s">
        <v>13</v>
      </c>
      <c r="B3" s="13" t="s">
        <v>2</v>
      </c>
    </row>
    <row r="4" spans="1:11" x14ac:dyDescent="0.2">
      <c r="A4" s="15" t="s">
        <v>62</v>
      </c>
      <c r="B4" s="15">
        <f>VLOOKUP(B3,'Data for Bill Impacts'!A22:D34,3,FALSE)</f>
        <v>1152</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67">
        <f>B4*B6</f>
        <v>1272.96</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0.23525627916773478</v>
      </c>
      <c r="K12" s="106"/>
    </row>
    <row r="13" spans="1:11" x14ac:dyDescent="0.2">
      <c r="A13" s="107" t="s">
        <v>32</v>
      </c>
      <c r="B13" s="73">
        <f>IF(B4&gt;B7,(B4)-B7,0)</f>
        <v>552</v>
      </c>
      <c r="C13" s="21">
        <v>0.106</v>
      </c>
      <c r="D13" s="22">
        <f>B13*C13</f>
        <v>58.512</v>
      </c>
      <c r="E13" s="73">
        <f t="shared" ref="E13" si="1">B13</f>
        <v>552</v>
      </c>
      <c r="F13" s="21">
        <f>C13</f>
        <v>0.106</v>
      </c>
      <c r="G13" s="22">
        <f>E13*F13</f>
        <v>58.512</v>
      </c>
      <c r="H13" s="22">
        <f t="shared" ref="H13:H46" si="2">G13-D13</f>
        <v>0</v>
      </c>
      <c r="I13" s="23">
        <f t="shared" si="0"/>
        <v>0</v>
      </c>
      <c r="J13" s="23">
        <f>G13/$G$46</f>
        <v>0.25211200378502741</v>
      </c>
      <c r="K13" s="108"/>
    </row>
    <row r="14" spans="1:11" s="1" customFormat="1" x14ac:dyDescent="0.2">
      <c r="A14" s="46" t="s">
        <v>33</v>
      </c>
      <c r="B14" s="24"/>
      <c r="C14" s="25"/>
      <c r="D14" s="25">
        <f>SUM(D12:D13)</f>
        <v>113.11199999999999</v>
      </c>
      <c r="E14" s="76"/>
      <c r="F14" s="25"/>
      <c r="G14" s="25">
        <f>SUM(G12:G13)</f>
        <v>113.11199999999999</v>
      </c>
      <c r="H14" s="25">
        <f t="shared" si="2"/>
        <v>0</v>
      </c>
      <c r="I14" s="27">
        <f t="shared" si="0"/>
        <v>0</v>
      </c>
      <c r="J14" s="27">
        <f>G14/$G$46</f>
        <v>0.48736828295276219</v>
      </c>
      <c r="K14" s="108"/>
    </row>
    <row r="15" spans="1:11" s="1" customFormat="1" x14ac:dyDescent="0.2">
      <c r="A15" s="109" t="s">
        <v>34</v>
      </c>
      <c r="B15" s="75">
        <f>B4*0.65</f>
        <v>748.80000000000007</v>
      </c>
      <c r="C15" s="28">
        <v>7.6999999999999999E-2</v>
      </c>
      <c r="D15" s="22">
        <f>B15*C15</f>
        <v>57.657600000000002</v>
      </c>
      <c r="E15" s="73">
        <f t="shared" ref="E15:F17" si="3">B15</f>
        <v>748.80000000000007</v>
      </c>
      <c r="F15" s="28">
        <f t="shared" si="3"/>
        <v>7.6999999999999999E-2</v>
      </c>
      <c r="G15" s="22">
        <f>E15*F15</f>
        <v>57.657600000000002</v>
      </c>
      <c r="H15" s="22">
        <f t="shared" si="2"/>
        <v>0</v>
      </c>
      <c r="I15" s="23">
        <f t="shared" si="0"/>
        <v>0</v>
      </c>
      <c r="J15" s="23"/>
      <c r="K15" s="108">
        <f t="shared" ref="K15:K26" si="4">G15/$G$51</f>
        <v>0.25046427855703446</v>
      </c>
    </row>
    <row r="16" spans="1:11" s="1" customFormat="1" x14ac:dyDescent="0.2">
      <c r="A16" s="109" t="s">
        <v>35</v>
      </c>
      <c r="B16" s="75">
        <f>B4*0.17</f>
        <v>195.84</v>
      </c>
      <c r="C16" s="28">
        <v>0.113</v>
      </c>
      <c r="D16" s="22">
        <f>B16*C16</f>
        <v>22.129920000000002</v>
      </c>
      <c r="E16" s="73">
        <f t="shared" si="3"/>
        <v>195.84</v>
      </c>
      <c r="F16" s="28">
        <f t="shared" si="3"/>
        <v>0.113</v>
      </c>
      <c r="G16" s="22">
        <f>E16*F16</f>
        <v>22.129920000000002</v>
      </c>
      <c r="H16" s="22">
        <f t="shared" si="2"/>
        <v>0</v>
      </c>
      <c r="I16" s="23">
        <f t="shared" si="0"/>
        <v>0</v>
      </c>
      <c r="J16" s="23"/>
      <c r="K16" s="108">
        <f t="shared" si="4"/>
        <v>9.6132243578034626E-2</v>
      </c>
    </row>
    <row r="17" spans="1:11" s="1" customFormat="1" x14ac:dyDescent="0.2">
      <c r="A17" s="109" t="s">
        <v>36</v>
      </c>
      <c r="B17" s="75">
        <f>B4*0.18</f>
        <v>207.35999999999999</v>
      </c>
      <c r="C17" s="28">
        <v>0.157</v>
      </c>
      <c r="D17" s="22">
        <f>B17*C17</f>
        <v>32.555520000000001</v>
      </c>
      <c r="E17" s="73">
        <f t="shared" si="3"/>
        <v>207.35999999999999</v>
      </c>
      <c r="F17" s="28">
        <f t="shared" si="3"/>
        <v>0.157</v>
      </c>
      <c r="G17" s="22">
        <f>E17*F17</f>
        <v>32.555520000000001</v>
      </c>
      <c r="H17" s="22">
        <f t="shared" si="2"/>
        <v>0</v>
      </c>
      <c r="I17" s="23">
        <f t="shared" si="0"/>
        <v>0</v>
      </c>
      <c r="J17" s="23"/>
      <c r="K17" s="108">
        <f t="shared" si="4"/>
        <v>0.14142098925118471</v>
      </c>
    </row>
    <row r="18" spans="1:11" s="1" customFormat="1" x14ac:dyDescent="0.2">
      <c r="A18" s="61" t="s">
        <v>37</v>
      </c>
      <c r="B18" s="29"/>
      <c r="C18" s="30"/>
      <c r="D18" s="30">
        <f>SUM(D15:D17)</f>
        <v>112.34304</v>
      </c>
      <c r="E18" s="77"/>
      <c r="F18" s="30"/>
      <c r="G18" s="30">
        <f>SUM(G15:G17)</f>
        <v>112.34304</v>
      </c>
      <c r="H18" s="31">
        <f t="shared" si="2"/>
        <v>0</v>
      </c>
      <c r="I18" s="32">
        <f t="shared" si="0"/>
        <v>0</v>
      </c>
      <c r="J18" s="33">
        <f t="shared" ref="J18:J26" si="5">G18/$G$46</f>
        <v>0.48405504726725268</v>
      </c>
      <c r="K18" s="62">
        <f t="shared" si="4"/>
        <v>0.48801751138625382</v>
      </c>
    </row>
    <row r="19" spans="1:11" x14ac:dyDescent="0.2">
      <c r="A19" s="107" t="s">
        <v>112</v>
      </c>
      <c r="B19" s="73">
        <v>1</v>
      </c>
      <c r="C19" s="121">
        <f>VLOOKUP($B$3,'Data for Bill Impacts'!$A$6:$Y$18,7,0)</f>
        <v>25.019678307903931</v>
      </c>
      <c r="D19" s="22">
        <f>B19*C19</f>
        <v>25.019678307903931</v>
      </c>
      <c r="E19" s="73">
        <f t="shared" ref="E19:E41" si="6">B19</f>
        <v>1</v>
      </c>
      <c r="F19" s="121">
        <f>VLOOKUP($B$3,'Data for Bill Impacts'!$A$6:$Y$18,17,0)</f>
        <v>34.089678307903938</v>
      </c>
      <c r="G19" s="22">
        <f>E19*F19</f>
        <v>34.089678307903938</v>
      </c>
      <c r="H19" s="22">
        <f t="shared" si="2"/>
        <v>9.0700000000000074</v>
      </c>
      <c r="I19" s="23">
        <f>IF(ISERROR(H19/ABS(D19)),"N/A",(H19/ABS(D19)))</f>
        <v>0.36251465300154223</v>
      </c>
      <c r="J19" s="23">
        <f t="shared" si="5"/>
        <v>0.14688298309052236</v>
      </c>
      <c r="K19" s="108">
        <f t="shared" si="4"/>
        <v>0.1480853640045813</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-2.1000000000000001E-2</v>
      </c>
      <c r="D22" s="22">
        <f t="shared" si="9"/>
        <v>-2.1000000000000001E-2</v>
      </c>
      <c r="E22" s="73">
        <f t="shared" si="6"/>
        <v>1</v>
      </c>
      <c r="F22" s="121">
        <f>VLOOKUP($B$3,'Data for Bill Impacts'!$A$6:$Y$18,22,0)</f>
        <v>-2.1000000000000001E-2</v>
      </c>
      <c r="G22" s="22">
        <f t="shared" si="7"/>
        <v>-2.1000000000000001E-2</v>
      </c>
      <c r="H22" s="22">
        <f t="shared" si="2"/>
        <v>0</v>
      </c>
      <c r="I22" s="23">
        <f t="shared" ref="I22:I51" si="10">IF(ISERROR(H22/ABS(D22)),"N/A",(H22/ABS(D22)))</f>
        <v>0</v>
      </c>
      <c r="J22" s="23">
        <f t="shared" si="5"/>
        <v>-9.0483184295282615E-5</v>
      </c>
      <c r="K22" s="108">
        <f t="shared" si="4"/>
        <v>-9.1223877679572592E-5</v>
      </c>
    </row>
    <row r="23" spans="1:11" x14ac:dyDescent="0.2">
      <c r="A23" s="107" t="s">
        <v>39</v>
      </c>
      <c r="B23" s="73">
        <f>IF($B$9="kWh",$B$4,$B$5)</f>
        <v>1152</v>
      </c>
      <c r="C23" s="125">
        <f>VLOOKUP($B$3,'Data for Bill Impacts'!$A$6:$Y$18,10,0)</f>
        <v>3.5900000000000001E-2</v>
      </c>
      <c r="D23" s="22">
        <f>B23*C23</f>
        <v>41.3568</v>
      </c>
      <c r="E23" s="73">
        <f t="shared" si="6"/>
        <v>1152</v>
      </c>
      <c r="F23" s="78">
        <f>VLOOKUP($B$3,'Data for Bill Impacts'!$A$6:$Y$18,19,0)</f>
        <v>3.2099999999999997E-2</v>
      </c>
      <c r="G23" s="22">
        <f>E23*F23</f>
        <v>36.979199999999999</v>
      </c>
      <c r="H23" s="22">
        <f t="shared" si="2"/>
        <v>-4.377600000000001</v>
      </c>
      <c r="I23" s="23">
        <f t="shared" si="10"/>
        <v>-0.10584958217270198</v>
      </c>
      <c r="J23" s="23">
        <f t="shared" si="5"/>
        <v>0.15933313184248166</v>
      </c>
      <c r="K23" s="108">
        <f t="shared" si="4"/>
        <v>0.16063742940421191</v>
      </c>
    </row>
    <row r="24" spans="1:11" x14ac:dyDescent="0.2">
      <c r="A24" s="107" t="s">
        <v>122</v>
      </c>
      <c r="B24" s="73">
        <f>IF($B$9="kWh",$B$4,$B$5)</f>
        <v>1152</v>
      </c>
      <c r="C24" s="125">
        <f>VLOOKUP($B$3,'Data for Bill Impacts'!$A$6:$Y$18,14,0)</f>
        <v>1.0000000000000003E-5</v>
      </c>
      <c r="D24" s="22">
        <f>B24*C24</f>
        <v>1.1520000000000002E-2</v>
      </c>
      <c r="E24" s="73">
        <f>B24</f>
        <v>1152</v>
      </c>
      <c r="F24" s="125">
        <f>VLOOKUP($B$3,'Data for Bill Impacts'!$A$6:$Y$18,23,0)</f>
        <v>1.0000000000000003E-5</v>
      </c>
      <c r="G24" s="22">
        <f>E24*F24</f>
        <v>1.1520000000000002E-2</v>
      </c>
      <c r="H24" s="22">
        <f>G24-D24</f>
        <v>0</v>
      </c>
      <c r="I24" s="23">
        <f t="shared" si="10"/>
        <v>0</v>
      </c>
      <c r="J24" s="23">
        <f t="shared" si="5"/>
        <v>4.9636489670555044E-5</v>
      </c>
      <c r="K24" s="108">
        <f t="shared" si="4"/>
        <v>5.0042812898508401E-5</v>
      </c>
    </row>
    <row r="25" spans="1:11" s="1" customFormat="1" x14ac:dyDescent="0.2">
      <c r="A25" s="110" t="s">
        <v>72</v>
      </c>
      <c r="B25" s="74"/>
      <c r="C25" s="35"/>
      <c r="D25" s="35">
        <f>SUM(D19:D24)</f>
        <v>66.366998307903927</v>
      </c>
      <c r="E25" s="73"/>
      <c r="F25" s="35"/>
      <c r="G25" s="35">
        <f>SUM(G19:G24)</f>
        <v>71.059398307903948</v>
      </c>
      <c r="H25" s="35">
        <f t="shared" si="2"/>
        <v>4.6924000000000206</v>
      </c>
      <c r="I25" s="36">
        <f t="shared" si="10"/>
        <v>7.070381544499027E-2</v>
      </c>
      <c r="J25" s="36">
        <f t="shared" si="5"/>
        <v>0.30617526823837932</v>
      </c>
      <c r="K25" s="111">
        <f t="shared" si="4"/>
        <v>0.3086816123440122</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3.4038912187272985E-3</v>
      </c>
      <c r="K26" s="108">
        <f t="shared" si="4"/>
        <v>3.4317553984220162E-3</v>
      </c>
    </row>
    <row r="27" spans="1:11" s="1" customFormat="1" x14ac:dyDescent="0.2">
      <c r="A27" s="119" t="s">
        <v>75</v>
      </c>
      <c r="B27" s="120">
        <f>B8-B4</f>
        <v>120.96000000000004</v>
      </c>
      <c r="C27" s="170">
        <f>IF(B4&gt;B7,C13,C12)</f>
        <v>0.106</v>
      </c>
      <c r="D27" s="22">
        <f>B27*C27</f>
        <v>12.821760000000003</v>
      </c>
      <c r="E27" s="73">
        <f>B27</f>
        <v>120.96000000000004</v>
      </c>
      <c r="F27" s="170">
        <f>C27</f>
        <v>0.106</v>
      </c>
      <c r="G27" s="22">
        <f>E27*F27</f>
        <v>12.821760000000003</v>
      </c>
      <c r="H27" s="22">
        <f t="shared" si="2"/>
        <v>0</v>
      </c>
      <c r="I27" s="23">
        <f t="shared" si="10"/>
        <v>0</v>
      </c>
      <c r="J27" s="23">
        <f t="shared" ref="J27:J46" si="11">G27/$G$46</f>
        <v>5.5245413003327762E-2</v>
      </c>
      <c r="K27" s="108">
        <f t="shared" ref="K27:K41" si="12">G27/$G$51</f>
        <v>5.569765075603985E-2</v>
      </c>
    </row>
    <row r="28" spans="1:11" s="1" customFormat="1" x14ac:dyDescent="0.2">
      <c r="A28" s="119" t="s">
        <v>74</v>
      </c>
      <c r="B28" s="120">
        <f>B8-B4</f>
        <v>120.96000000000004</v>
      </c>
      <c r="C28" s="170">
        <f>0.65*C15+0.17*C16+0.18*C17</f>
        <v>9.7519999999999996E-2</v>
      </c>
      <c r="D28" s="22">
        <f>B28*C28</f>
        <v>11.796019200000003</v>
      </c>
      <c r="E28" s="73">
        <f>B28</f>
        <v>120.96000000000004</v>
      </c>
      <c r="F28" s="170">
        <f>C28</f>
        <v>9.7519999999999996E-2</v>
      </c>
      <c r="G28" s="22">
        <f>E28*F28</f>
        <v>11.796019200000003</v>
      </c>
      <c r="H28" s="22">
        <f t="shared" si="2"/>
        <v>0</v>
      </c>
      <c r="I28" s="23">
        <f t="shared" si="10"/>
        <v>0</v>
      </c>
      <c r="J28" s="23">
        <f t="shared" si="11"/>
        <v>5.0825779963061542E-2</v>
      </c>
      <c r="K28" s="108">
        <f t="shared" si="12"/>
        <v>5.1241838695556666E-2</v>
      </c>
    </row>
    <row r="29" spans="1:11" s="1" customFormat="1" x14ac:dyDescent="0.2">
      <c r="A29" s="110" t="s">
        <v>78</v>
      </c>
      <c r="B29" s="74"/>
      <c r="C29" s="35"/>
      <c r="D29" s="35">
        <f>SUM(D25,D26:D27)</f>
        <v>79.978758307903931</v>
      </c>
      <c r="E29" s="73"/>
      <c r="F29" s="35"/>
      <c r="G29" s="35">
        <f>SUM(G25,G26:G27)</f>
        <v>84.671158307903951</v>
      </c>
      <c r="H29" s="35">
        <f t="shared" si="2"/>
        <v>4.6924000000000206</v>
      </c>
      <c r="I29" s="36">
        <f t="shared" si="10"/>
        <v>5.867057827948665E-2</v>
      </c>
      <c r="J29" s="36">
        <f t="shared" si="11"/>
        <v>0.36482457246043443</v>
      </c>
      <c r="K29" s="111">
        <f t="shared" si="12"/>
        <v>0.36781101849847408</v>
      </c>
    </row>
    <row r="30" spans="1:11" s="1" customFormat="1" x14ac:dyDescent="0.2">
      <c r="A30" s="110" t="s">
        <v>77</v>
      </c>
      <c r="B30" s="74"/>
      <c r="C30" s="35"/>
      <c r="D30" s="35">
        <f>SUM(D25,D26,D28)</f>
        <v>78.953017507903937</v>
      </c>
      <c r="E30" s="73"/>
      <c r="F30" s="35"/>
      <c r="G30" s="35">
        <f>SUM(G25,G26,G28)</f>
        <v>83.645417507903957</v>
      </c>
      <c r="H30" s="35">
        <f t="shared" si="2"/>
        <v>4.6924000000000206</v>
      </c>
      <c r="I30" s="36">
        <f t="shared" si="10"/>
        <v>5.9432813945714834E-2</v>
      </c>
      <c r="J30" s="36">
        <f t="shared" si="11"/>
        <v>0.36040493942016821</v>
      </c>
      <c r="K30" s="111">
        <f t="shared" si="12"/>
        <v>0.36335520643799091</v>
      </c>
    </row>
    <row r="31" spans="1:11" x14ac:dyDescent="0.2">
      <c r="A31" s="107" t="s">
        <v>40</v>
      </c>
      <c r="B31" s="73">
        <f>B8</f>
        <v>1272.96</v>
      </c>
      <c r="C31" s="125">
        <f>VLOOKUP($B$3,'Data for Bill Impacts'!$A$6:$Y$18,15,0)</f>
        <v>6.7400000000000003E-3</v>
      </c>
      <c r="D31" s="22">
        <f>B31*C31</f>
        <v>8.5797504</v>
      </c>
      <c r="E31" s="73">
        <f t="shared" si="6"/>
        <v>1272.96</v>
      </c>
      <c r="F31" s="125">
        <f>VLOOKUP($B$3,'Data for Bill Impacts'!$A$6:$Y$18,24,0)</f>
        <v>6.7400000000000003E-3</v>
      </c>
      <c r="G31" s="22">
        <f>E31*F31</f>
        <v>8.5797504</v>
      </c>
      <c r="H31" s="22">
        <f t="shared" si="2"/>
        <v>0</v>
      </c>
      <c r="I31" s="23">
        <f t="shared" si="10"/>
        <v>0</v>
      </c>
      <c r="J31" s="23">
        <f t="shared" si="11"/>
        <v>3.6967768411939272E-2</v>
      </c>
      <c r="K31" s="108">
        <f t="shared" si="12"/>
        <v>3.7270385762422094E-2</v>
      </c>
    </row>
    <row r="32" spans="1:11" x14ac:dyDescent="0.2">
      <c r="A32" s="107" t="s">
        <v>41</v>
      </c>
      <c r="B32" s="73">
        <f>B8</f>
        <v>1272.96</v>
      </c>
      <c r="C32" s="125">
        <f>VLOOKUP($B$3,'Data for Bill Impacts'!$A$6:$Y$18,16,0)</f>
        <v>5.6299999999999996E-3</v>
      </c>
      <c r="D32" s="22">
        <f>B32*C32</f>
        <v>7.1667647999999993</v>
      </c>
      <c r="E32" s="73">
        <f t="shared" si="6"/>
        <v>1272.96</v>
      </c>
      <c r="F32" s="125">
        <f>VLOOKUP($B$3,'Data for Bill Impacts'!$A$6:$Y$18,25,0)</f>
        <v>5.6299999999999996E-3</v>
      </c>
      <c r="G32" s="22">
        <f>E32*F32</f>
        <v>7.1667647999999993</v>
      </c>
      <c r="H32" s="22">
        <f t="shared" si="2"/>
        <v>0</v>
      </c>
      <c r="I32" s="23">
        <f t="shared" si="10"/>
        <v>0</v>
      </c>
      <c r="J32" s="23">
        <f t="shared" si="11"/>
        <v>3.087960477139734E-2</v>
      </c>
      <c r="K32" s="108">
        <f t="shared" si="12"/>
        <v>3.1132384546355543E-2</v>
      </c>
    </row>
    <row r="33" spans="1:11" s="1" customFormat="1" x14ac:dyDescent="0.2">
      <c r="A33" s="110" t="s">
        <v>76</v>
      </c>
      <c r="B33" s="74"/>
      <c r="C33" s="35"/>
      <c r="D33" s="35">
        <f>SUM(D31:D32)</f>
        <v>15.746515199999999</v>
      </c>
      <c r="E33" s="73"/>
      <c r="F33" s="35"/>
      <c r="G33" s="35">
        <f>SUM(G31:G32)</f>
        <v>15.746515199999999</v>
      </c>
      <c r="H33" s="35">
        <f t="shared" si="2"/>
        <v>0</v>
      </c>
      <c r="I33" s="36">
        <f t="shared" si="10"/>
        <v>0</v>
      </c>
      <c r="J33" s="36">
        <f t="shared" si="11"/>
        <v>6.7847373183336612E-2</v>
      </c>
      <c r="K33" s="111">
        <f t="shared" si="12"/>
        <v>6.840277030877763E-2</v>
      </c>
    </row>
    <row r="34" spans="1:11" s="1" customFormat="1" x14ac:dyDescent="0.2">
      <c r="A34" s="110" t="s">
        <v>91</v>
      </c>
      <c r="B34" s="74"/>
      <c r="C34" s="35"/>
      <c r="D34" s="35">
        <f>D29+D33</f>
        <v>95.725273507903935</v>
      </c>
      <c r="E34" s="73"/>
      <c r="F34" s="35"/>
      <c r="G34" s="35">
        <f>G29+G33</f>
        <v>100.41767350790396</v>
      </c>
      <c r="H34" s="35">
        <f t="shared" si="2"/>
        <v>4.6924000000000206</v>
      </c>
      <c r="I34" s="36">
        <f t="shared" si="10"/>
        <v>4.9019447300012925E-2</v>
      </c>
      <c r="J34" s="36">
        <f t="shared" si="11"/>
        <v>0.43267194564377104</v>
      </c>
      <c r="K34" s="111">
        <f t="shared" si="12"/>
        <v>0.43621378880725176</v>
      </c>
    </row>
    <row r="35" spans="1:11" s="1" customFormat="1" x14ac:dyDescent="0.2">
      <c r="A35" s="110" t="s">
        <v>92</v>
      </c>
      <c r="B35" s="74"/>
      <c r="C35" s="35"/>
      <c r="D35" s="35">
        <f>D30+D33</f>
        <v>94.699532707903941</v>
      </c>
      <c r="E35" s="73"/>
      <c r="F35" s="35"/>
      <c r="G35" s="35">
        <f>G30+G33</f>
        <v>99.391932707903962</v>
      </c>
      <c r="H35" s="35">
        <f t="shared" si="2"/>
        <v>4.6924000000000206</v>
      </c>
      <c r="I35" s="36">
        <f t="shared" si="10"/>
        <v>4.9550402898750283E-2</v>
      </c>
      <c r="J35" s="36">
        <f t="shared" si="11"/>
        <v>0.42825231260350483</v>
      </c>
      <c r="K35" s="111">
        <f t="shared" si="12"/>
        <v>0.43175797674676858</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2"/>
        <v>0</v>
      </c>
      <c r="I36" s="23">
        <f t="shared" si="10"/>
        <v>0</v>
      </c>
      <c r="J36" s="23">
        <f t="shared" si="11"/>
        <v>1.974539559094679E-2</v>
      </c>
      <c r="K36" s="108">
        <f t="shared" si="12"/>
        <v>1.9907030971026637E-2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10"/>
        <v>0</v>
      </c>
      <c r="J37" s="23">
        <f t="shared" si="11"/>
        <v>1.1518147428052294E-2</v>
      </c>
      <c r="K37" s="108">
        <f t="shared" si="12"/>
        <v>1.1612434733098871E-2</v>
      </c>
    </row>
    <row r="38" spans="1:11" x14ac:dyDescent="0.2">
      <c r="A38" s="107" t="s">
        <v>96</v>
      </c>
      <c r="B38" s="73">
        <f>B8</f>
        <v>1272.96</v>
      </c>
      <c r="C38" s="34">
        <v>0</v>
      </c>
      <c r="D38" s="22">
        <f>B38*C38</f>
        <v>0</v>
      </c>
      <c r="E38" s="73">
        <f t="shared" si="6"/>
        <v>1272.96</v>
      </c>
      <c r="F38" s="34">
        <v>0</v>
      </c>
      <c r="G38" s="22">
        <f>E38*F38</f>
        <v>0</v>
      </c>
      <c r="H38" s="22">
        <f>G38-D38</f>
        <v>0</v>
      </c>
      <c r="I38" s="23" t="str">
        <f t="shared" si="10"/>
        <v>N/A</v>
      </c>
      <c r="J38" s="23">
        <f t="shared" si="11"/>
        <v>0</v>
      </c>
      <c r="K38" s="108">
        <f t="shared" si="12"/>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1.077180765420031E-3</v>
      </c>
      <c r="K39" s="108">
        <f t="shared" si="12"/>
        <v>1.0859985438044354E-3</v>
      </c>
    </row>
    <row r="40" spans="1:11" s="1" customFormat="1" x14ac:dyDescent="0.2">
      <c r="A40" s="110" t="s">
        <v>45</v>
      </c>
      <c r="B40" s="74"/>
      <c r="C40" s="35"/>
      <c r="D40" s="35">
        <f>SUM(D36:D39)</f>
        <v>7.5058720000000001</v>
      </c>
      <c r="E40" s="73"/>
      <c r="F40" s="35"/>
      <c r="G40" s="35">
        <f>SUM(G36:G39)</f>
        <v>7.5058720000000001</v>
      </c>
      <c r="H40" s="35">
        <f t="shared" si="2"/>
        <v>0</v>
      </c>
      <c r="I40" s="36">
        <f t="shared" si="10"/>
        <v>0</v>
      </c>
      <c r="J40" s="36">
        <f t="shared" si="11"/>
        <v>3.2340723784419115E-2</v>
      </c>
      <c r="K40" s="111">
        <f t="shared" si="12"/>
        <v>3.2605464247929941E-2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216.34314550790393</v>
      </c>
      <c r="E42" s="38"/>
      <c r="F42" s="39"/>
      <c r="G42" s="39">
        <f>SUM(G14,G25,G26,G27,G33,G40,G41)</f>
        <v>221.03554550790395</v>
      </c>
      <c r="H42" s="39">
        <f t="shared" si="2"/>
        <v>4.6924000000000206</v>
      </c>
      <c r="I42" s="40">
        <f t="shared" si="10"/>
        <v>2.1689617154191685E-2</v>
      </c>
      <c r="J42" s="40">
        <f t="shared" si="11"/>
        <v>0.95238095238095233</v>
      </c>
      <c r="K42" s="41"/>
    </row>
    <row r="43" spans="1:11" x14ac:dyDescent="0.2">
      <c r="A43" s="153" t="s">
        <v>102</v>
      </c>
      <c r="B43" s="43"/>
      <c r="C43" s="26">
        <v>0.13</v>
      </c>
      <c r="D43" s="26">
        <f>D42*C43</f>
        <v>28.124608916027512</v>
      </c>
      <c r="E43" s="26"/>
      <c r="F43" s="26">
        <f>C43</f>
        <v>0.13</v>
      </c>
      <c r="G43" s="26">
        <f>G42*F43</f>
        <v>28.734620916027513</v>
      </c>
      <c r="H43" s="26">
        <f t="shared" si="2"/>
        <v>0.61001200000000111</v>
      </c>
      <c r="I43" s="44">
        <f t="shared" si="10"/>
        <v>2.1689617154191626E-2</v>
      </c>
      <c r="J43" s="44">
        <f t="shared" si="11"/>
        <v>0.1238095238095238</v>
      </c>
      <c r="K43" s="45"/>
    </row>
    <row r="44" spans="1:11" s="1" customFormat="1" x14ac:dyDescent="0.2">
      <c r="A44" s="46" t="s">
        <v>103</v>
      </c>
      <c r="B44" s="24"/>
      <c r="C44" s="25"/>
      <c r="D44" s="25">
        <f>SUM(D42:D43)</f>
        <v>244.46775442393144</v>
      </c>
      <c r="E44" s="25"/>
      <c r="F44" s="25"/>
      <c r="G44" s="25">
        <f>SUM(G42:G43)</f>
        <v>249.77016642393147</v>
      </c>
      <c r="H44" s="25">
        <f t="shared" si="2"/>
        <v>5.3024120000000323</v>
      </c>
      <c r="I44" s="27">
        <f t="shared" si="10"/>
        <v>2.168961715419172E-2</v>
      </c>
      <c r="J44" s="27">
        <f t="shared" si="11"/>
        <v>1.0761904761904761</v>
      </c>
      <c r="K44" s="47"/>
    </row>
    <row r="45" spans="1:11" x14ac:dyDescent="0.2">
      <c r="A45" s="42" t="s">
        <v>104</v>
      </c>
      <c r="B45" s="43"/>
      <c r="C45" s="26">
        <v>-0.08</v>
      </c>
      <c r="D45" s="26">
        <f>D42*C45</f>
        <v>-17.307451640632316</v>
      </c>
      <c r="E45" s="26"/>
      <c r="F45" s="26">
        <f>C45</f>
        <v>-0.08</v>
      </c>
      <c r="G45" s="26">
        <f>G42*F45</f>
        <v>-17.682843640632317</v>
      </c>
      <c r="H45" s="26">
        <f t="shared" si="2"/>
        <v>-0.3753920000000015</v>
      </c>
      <c r="I45" s="44">
        <f t="shared" si="10"/>
        <v>-2.1689617154191675E-2</v>
      </c>
      <c r="J45" s="44">
        <f t="shared" si="11"/>
        <v>-7.6190476190476197E-2</v>
      </c>
      <c r="K45" s="45"/>
    </row>
    <row r="46" spans="1:11" s="1" customFormat="1" ht="13.5" thickBot="1" x14ac:dyDescent="0.25">
      <c r="A46" s="48" t="s">
        <v>105</v>
      </c>
      <c r="B46" s="49"/>
      <c r="C46" s="50"/>
      <c r="D46" s="50">
        <f>SUM(D44:D45)</f>
        <v>227.16030278329913</v>
      </c>
      <c r="E46" s="50"/>
      <c r="F46" s="50"/>
      <c r="G46" s="50">
        <f>SUM(G44:G45)</f>
        <v>232.08732278329916</v>
      </c>
      <c r="H46" s="50">
        <f t="shared" si="2"/>
        <v>4.9270200000000273</v>
      </c>
      <c r="I46" s="51">
        <f t="shared" si="10"/>
        <v>2.1689617154191709E-2</v>
      </c>
      <c r="J46" s="51">
        <f t="shared" si="11"/>
        <v>1</v>
      </c>
      <c r="K46" s="52"/>
    </row>
    <row r="47" spans="1:11" x14ac:dyDescent="0.2">
      <c r="A47" s="53" t="s">
        <v>106</v>
      </c>
      <c r="B47" s="54"/>
      <c r="C47" s="55"/>
      <c r="D47" s="55">
        <f>SUM(D18,D25,D26,D28,D33,D40,D41)</f>
        <v>214.54844470790394</v>
      </c>
      <c r="E47" s="55"/>
      <c r="F47" s="55"/>
      <c r="G47" s="55">
        <f>SUM(G18,G25,G26,G28,G33,G40,G41)</f>
        <v>219.24084470790396</v>
      </c>
      <c r="H47" s="55">
        <f>G47-D47</f>
        <v>4.6924000000000206</v>
      </c>
      <c r="I47" s="56">
        <f t="shared" si="10"/>
        <v>2.1871051111036804E-2</v>
      </c>
      <c r="J47" s="56"/>
      <c r="K47" s="57">
        <f>G47/$G$51</f>
        <v>0.95238095238095233</v>
      </c>
    </row>
    <row r="48" spans="1:11" x14ac:dyDescent="0.2">
      <c r="A48" s="58" t="s">
        <v>102</v>
      </c>
      <c r="B48" s="59"/>
      <c r="C48" s="31">
        <v>0.13</v>
      </c>
      <c r="D48" s="31">
        <f>D47*C48</f>
        <v>27.891297812027513</v>
      </c>
      <c r="E48" s="31"/>
      <c r="F48" s="31">
        <f>C48</f>
        <v>0.13</v>
      </c>
      <c r="G48" s="31">
        <f>G47*F48</f>
        <v>28.501309812027515</v>
      </c>
      <c r="H48" s="31">
        <f>G48-D48</f>
        <v>0.61001200000000111</v>
      </c>
      <c r="I48" s="32">
        <f t="shared" si="10"/>
        <v>2.1871051111036745E-2</v>
      </c>
      <c r="J48" s="32"/>
      <c r="K48" s="60">
        <f>G48/$G$51</f>
        <v>0.1238095238095238</v>
      </c>
    </row>
    <row r="49" spans="1:11" x14ac:dyDescent="0.2">
      <c r="A49" s="61" t="s">
        <v>107</v>
      </c>
      <c r="B49" s="29"/>
      <c r="C49" s="30"/>
      <c r="D49" s="30">
        <f>SUM(D47:D48)</f>
        <v>242.43974251993146</v>
      </c>
      <c r="E49" s="30"/>
      <c r="F49" s="30"/>
      <c r="G49" s="30">
        <f>SUM(G47:G48)</f>
        <v>247.74215451993149</v>
      </c>
      <c r="H49" s="30">
        <f>G49-D49</f>
        <v>5.3024120000000323</v>
      </c>
      <c r="I49" s="33">
        <f t="shared" si="10"/>
        <v>2.1871051111036838E-2</v>
      </c>
      <c r="J49" s="33"/>
      <c r="K49" s="62">
        <f>G49/$G$51</f>
        <v>1.0761904761904761</v>
      </c>
    </row>
    <row r="50" spans="1:11" x14ac:dyDescent="0.2">
      <c r="A50" s="58" t="s">
        <v>104</v>
      </c>
      <c r="B50" s="59"/>
      <c r="C50" s="31">
        <v>-0.08</v>
      </c>
      <c r="D50" s="31">
        <f>D47*C50</f>
        <v>-17.163875576632314</v>
      </c>
      <c r="E50" s="31"/>
      <c r="F50" s="31">
        <f>C50</f>
        <v>-0.08</v>
      </c>
      <c r="G50" s="31">
        <f>G47*F50</f>
        <v>-17.539267576632316</v>
      </c>
      <c r="H50" s="31">
        <f>G50-D50</f>
        <v>-0.3753920000000015</v>
      </c>
      <c r="I50" s="32">
        <f t="shared" si="10"/>
        <v>-2.1871051111036797E-2</v>
      </c>
      <c r="J50" s="32"/>
      <c r="K50" s="60">
        <f>G50/$G$51</f>
        <v>-7.6190476190476183E-2</v>
      </c>
    </row>
    <row r="51" spans="1:11" ht="13.5" thickBot="1" x14ac:dyDescent="0.25">
      <c r="A51" s="63" t="s">
        <v>116</v>
      </c>
      <c r="B51" s="64"/>
      <c r="C51" s="65"/>
      <c r="D51" s="65">
        <f>SUM(D49:D50)</f>
        <v>225.27586694329915</v>
      </c>
      <c r="E51" s="65"/>
      <c r="F51" s="65"/>
      <c r="G51" s="65">
        <f>SUM(G49:G50)</f>
        <v>230.20288694329918</v>
      </c>
      <c r="H51" s="65">
        <f>G51-D51</f>
        <v>4.9270200000000273</v>
      </c>
      <c r="I51" s="66">
        <f t="shared" si="10"/>
        <v>2.1871051111036828E-2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1" tint="0.499984740745262"/>
    <pageSetUpPr fitToPage="1"/>
  </sheetPr>
  <dimension ref="A1:K68"/>
  <sheetViews>
    <sheetView tabSelected="1" view="pageLayout" topLeftCell="A4"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121</v>
      </c>
      <c r="B1" s="186"/>
      <c r="C1" s="186"/>
      <c r="D1" s="186"/>
      <c r="E1" s="186"/>
      <c r="F1" s="186"/>
      <c r="G1" s="186"/>
      <c r="H1" s="186"/>
      <c r="I1" s="186"/>
      <c r="J1" s="186"/>
      <c r="K1" s="187"/>
    </row>
    <row r="3" spans="1:11" x14ac:dyDescent="0.2">
      <c r="A3" s="13" t="s">
        <v>13</v>
      </c>
      <c r="B3" s="13" t="s">
        <v>2</v>
      </c>
    </row>
    <row r="4" spans="1:11" x14ac:dyDescent="0.2">
      <c r="A4" s="15" t="s">
        <v>62</v>
      </c>
      <c r="B4" s="15">
        <v>2300</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67">
        <f>B4*B6</f>
        <v>2541.5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0.12521503777184048</v>
      </c>
      <c r="K12" s="106"/>
    </row>
    <row r="13" spans="1:11" x14ac:dyDescent="0.2">
      <c r="A13" s="107" t="s">
        <v>32</v>
      </c>
      <c r="B13" s="73">
        <f>IF(B4&gt;B7,(B4)-B7,0)</f>
        <v>1700</v>
      </c>
      <c r="C13" s="21">
        <v>0.106</v>
      </c>
      <c r="D13" s="22">
        <f>B13*C13</f>
        <v>180.2</v>
      </c>
      <c r="E13" s="73">
        <f t="shared" ref="E13" si="1">B13</f>
        <v>1700</v>
      </c>
      <c r="F13" s="21">
        <f>C13</f>
        <v>0.106</v>
      </c>
      <c r="G13" s="22">
        <f>E13*F13</f>
        <v>180.2</v>
      </c>
      <c r="H13" s="22">
        <f t="shared" ref="H13:H46" si="2">G13-D13</f>
        <v>0</v>
      </c>
      <c r="I13" s="23">
        <f t="shared" si="0"/>
        <v>0</v>
      </c>
      <c r="J13" s="23">
        <f>G13/$G$46</f>
        <v>0.41325549096127567</v>
      </c>
      <c r="K13" s="108"/>
    </row>
    <row r="14" spans="1:11" s="1" customFormat="1" x14ac:dyDescent="0.2">
      <c r="A14" s="46" t="s">
        <v>33</v>
      </c>
      <c r="B14" s="24"/>
      <c r="C14" s="25"/>
      <c r="D14" s="25">
        <f>SUM(D12:D13)</f>
        <v>234.79999999999998</v>
      </c>
      <c r="E14" s="76"/>
      <c r="F14" s="25"/>
      <c r="G14" s="25">
        <f>SUM(G12:G13)</f>
        <v>234.79999999999998</v>
      </c>
      <c r="H14" s="25">
        <f t="shared" si="2"/>
        <v>0</v>
      </c>
      <c r="I14" s="27">
        <f t="shared" si="0"/>
        <v>0</v>
      </c>
      <c r="J14" s="27">
        <f>G14/$G$46</f>
        <v>0.53847052873311607</v>
      </c>
      <c r="K14" s="108"/>
    </row>
    <row r="15" spans="1:11" s="1" customFormat="1" x14ac:dyDescent="0.2">
      <c r="A15" s="109" t="s">
        <v>34</v>
      </c>
      <c r="B15" s="75">
        <f>B4*0.65</f>
        <v>1495</v>
      </c>
      <c r="C15" s="28">
        <v>7.6999999999999999E-2</v>
      </c>
      <c r="D15" s="22">
        <f>B15*C15</f>
        <v>115.11499999999999</v>
      </c>
      <c r="E15" s="73">
        <f t="shared" ref="E15:F17" si="3">B15</f>
        <v>1495</v>
      </c>
      <c r="F15" s="28">
        <f t="shared" si="3"/>
        <v>7.6999999999999999E-2</v>
      </c>
      <c r="G15" s="22">
        <f>E15*F15</f>
        <v>115.11499999999999</v>
      </c>
      <c r="H15" s="22">
        <f t="shared" si="2"/>
        <v>0</v>
      </c>
      <c r="I15" s="23">
        <f t="shared" si="0"/>
        <v>0</v>
      </c>
      <c r="J15" s="23"/>
      <c r="K15" s="108">
        <f t="shared" ref="K15:K26" si="4">G15/$G$51</f>
        <v>0.2722229188214515</v>
      </c>
    </row>
    <row r="16" spans="1:11" s="1" customFormat="1" x14ac:dyDescent="0.2">
      <c r="A16" s="109" t="s">
        <v>35</v>
      </c>
      <c r="B16" s="75">
        <f>B4*0.17</f>
        <v>391</v>
      </c>
      <c r="C16" s="28">
        <v>0.113</v>
      </c>
      <c r="D16" s="22">
        <f>B16*C16</f>
        <v>44.183</v>
      </c>
      <c r="E16" s="73">
        <f t="shared" si="3"/>
        <v>391</v>
      </c>
      <c r="F16" s="28">
        <f t="shared" si="3"/>
        <v>0.113</v>
      </c>
      <c r="G16" s="22">
        <f>E16*F16</f>
        <v>44.183</v>
      </c>
      <c r="H16" s="22">
        <f t="shared" si="2"/>
        <v>0</v>
      </c>
      <c r="I16" s="23">
        <f t="shared" si="0"/>
        <v>0</v>
      </c>
      <c r="J16" s="23"/>
      <c r="K16" s="108">
        <f t="shared" si="4"/>
        <v>0.10448356184935231</v>
      </c>
    </row>
    <row r="17" spans="1:11" s="1" customFormat="1" x14ac:dyDescent="0.2">
      <c r="A17" s="109" t="s">
        <v>36</v>
      </c>
      <c r="B17" s="75">
        <f>B4*0.18</f>
        <v>414</v>
      </c>
      <c r="C17" s="28">
        <v>0.157</v>
      </c>
      <c r="D17" s="22">
        <f>B17*C17</f>
        <v>64.998000000000005</v>
      </c>
      <c r="E17" s="73">
        <f t="shared" si="3"/>
        <v>414</v>
      </c>
      <c r="F17" s="28">
        <f t="shared" si="3"/>
        <v>0.157</v>
      </c>
      <c r="G17" s="22">
        <f>E17*F17</f>
        <v>64.998000000000005</v>
      </c>
      <c r="H17" s="22">
        <f t="shared" si="2"/>
        <v>0</v>
      </c>
      <c r="I17" s="23">
        <f t="shared" si="0"/>
        <v>0</v>
      </c>
      <c r="J17" s="23"/>
      <c r="K17" s="108">
        <f t="shared" si="4"/>
        <v>0.15370668703085355</v>
      </c>
    </row>
    <row r="18" spans="1:11" s="1" customFormat="1" x14ac:dyDescent="0.2">
      <c r="A18" s="61" t="s">
        <v>37</v>
      </c>
      <c r="B18" s="29"/>
      <c r="C18" s="30"/>
      <c r="D18" s="30">
        <f>SUM(D15:D17)</f>
        <v>224.29599999999999</v>
      </c>
      <c r="E18" s="77"/>
      <c r="F18" s="30"/>
      <c r="G18" s="30">
        <f>SUM(G15:G17)</f>
        <v>224.29599999999999</v>
      </c>
      <c r="H18" s="31">
        <f t="shared" si="2"/>
        <v>0</v>
      </c>
      <c r="I18" s="32">
        <f t="shared" si="0"/>
        <v>0</v>
      </c>
      <c r="J18" s="33">
        <f t="shared" ref="J18:J26" si="5">G18/$G$46</f>
        <v>0.51438154051415252</v>
      </c>
      <c r="K18" s="62">
        <f t="shared" si="4"/>
        <v>0.53041316770165736</v>
      </c>
    </row>
    <row r="19" spans="1:11" x14ac:dyDescent="0.2">
      <c r="A19" s="107" t="s">
        <v>112</v>
      </c>
      <c r="B19" s="73">
        <v>1</v>
      </c>
      <c r="C19" s="121">
        <f>VLOOKUP($B$3,'Data for Bill Impacts'!$A$6:$Y$18,7,0)</f>
        <v>25.019678307903931</v>
      </c>
      <c r="D19" s="22">
        <f>B19*C19</f>
        <v>25.019678307903931</v>
      </c>
      <c r="E19" s="73">
        <f t="shared" ref="E19:E41" si="6">B19</f>
        <v>1</v>
      </c>
      <c r="F19" s="121">
        <f>VLOOKUP($B$3,'Data for Bill Impacts'!$A$6:$Y$18,17,0)</f>
        <v>34.089678307903938</v>
      </c>
      <c r="G19" s="22">
        <f>E19*F19</f>
        <v>34.089678307903938</v>
      </c>
      <c r="H19" s="22">
        <f t="shared" si="2"/>
        <v>9.0700000000000074</v>
      </c>
      <c r="I19" s="23">
        <f>IF(ISERROR(H19/ABS(D19)),"N/A",(H19/ABS(D19)))</f>
        <v>0.36251465300154223</v>
      </c>
      <c r="J19" s="23">
        <f t="shared" si="5"/>
        <v>7.8178394816008828E-2</v>
      </c>
      <c r="K19" s="108">
        <f t="shared" si="4"/>
        <v>8.0614965301324157E-2</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-2.1000000000000001E-2</v>
      </c>
      <c r="D22" s="22">
        <f t="shared" si="9"/>
        <v>-2.1000000000000001E-2</v>
      </c>
      <c r="E22" s="73">
        <f t="shared" si="6"/>
        <v>1</v>
      </c>
      <c r="F22" s="121">
        <f>VLOOKUP($B$3,'Data for Bill Impacts'!$A$6:$Y$18,22,0)</f>
        <v>-2.1000000000000001E-2</v>
      </c>
      <c r="G22" s="22">
        <f t="shared" si="7"/>
        <v>-2.1000000000000001E-2</v>
      </c>
      <c r="H22" s="22">
        <f t="shared" si="2"/>
        <v>0</v>
      </c>
      <c r="I22" s="23">
        <f t="shared" ref="I22:I51" si="10">IF(ISERROR(H22/ABS(D22)),"N/A",(H22/ABS(D22)))</f>
        <v>0</v>
      </c>
      <c r="J22" s="23">
        <f t="shared" si="5"/>
        <v>-4.8159629912246337E-5</v>
      </c>
      <c r="K22" s="108">
        <f t="shared" si="4"/>
        <v>-4.9660611521091796E-5</v>
      </c>
    </row>
    <row r="23" spans="1:11" x14ac:dyDescent="0.2">
      <c r="A23" s="107" t="s">
        <v>39</v>
      </c>
      <c r="B23" s="73">
        <f>IF($B$9="kWh",$B$4,$B$5)</f>
        <v>2300</v>
      </c>
      <c r="C23" s="125">
        <f>VLOOKUP($B$3,'Data for Bill Impacts'!$A$6:$Y$18,10,0)</f>
        <v>3.5900000000000001E-2</v>
      </c>
      <c r="D23" s="22">
        <f>B23*C23</f>
        <v>82.570000000000007</v>
      </c>
      <c r="E23" s="73">
        <f t="shared" si="6"/>
        <v>2300</v>
      </c>
      <c r="F23" s="78">
        <f>VLOOKUP($B$3,'Data for Bill Impacts'!$A$6:$Y$18,19,0)</f>
        <v>3.2099999999999997E-2</v>
      </c>
      <c r="G23" s="22">
        <f>E23*F23</f>
        <v>73.83</v>
      </c>
      <c r="H23" s="22">
        <f t="shared" si="2"/>
        <v>-8.7400000000000091</v>
      </c>
      <c r="I23" s="23">
        <f t="shared" si="10"/>
        <v>-0.10584958217270204</v>
      </c>
      <c r="J23" s="23">
        <f t="shared" si="5"/>
        <v>0.16931549887719746</v>
      </c>
      <c r="K23" s="108">
        <f t="shared" si="4"/>
        <v>0.17459252136200984</v>
      </c>
    </row>
    <row r="24" spans="1:11" x14ac:dyDescent="0.2">
      <c r="A24" s="107" t="s">
        <v>122</v>
      </c>
      <c r="B24" s="73">
        <f>IF($B$9="kWh",$B$4,$B$5)</f>
        <v>2300</v>
      </c>
      <c r="C24" s="125">
        <f>VLOOKUP($B$3,'Data for Bill Impacts'!$A$6:$Y$18,14,0)</f>
        <v>1.0000000000000003E-5</v>
      </c>
      <c r="D24" s="22">
        <f>B24*C24</f>
        <v>2.3000000000000007E-2</v>
      </c>
      <c r="E24" s="73">
        <f>B24</f>
        <v>2300</v>
      </c>
      <c r="F24" s="125">
        <f>VLOOKUP($B$3,'Data for Bill Impacts'!$A$6:$Y$18,23,0)</f>
        <v>1.0000000000000003E-5</v>
      </c>
      <c r="G24" s="22">
        <f>E24*F24</f>
        <v>2.3000000000000007E-2</v>
      </c>
      <c r="H24" s="22">
        <f>G24-D24</f>
        <v>0</v>
      </c>
      <c r="I24" s="23">
        <f t="shared" si="10"/>
        <v>0</v>
      </c>
      <c r="J24" s="23">
        <f t="shared" si="5"/>
        <v>5.274626133246029E-5</v>
      </c>
      <c r="K24" s="108">
        <f t="shared" si="4"/>
        <v>5.4390193570719599E-5</v>
      </c>
    </row>
    <row r="25" spans="1:11" s="1" customFormat="1" x14ac:dyDescent="0.2">
      <c r="A25" s="110" t="s">
        <v>72</v>
      </c>
      <c r="B25" s="74"/>
      <c r="C25" s="35"/>
      <c r="D25" s="35">
        <f>SUM(D19:D24)</f>
        <v>107.59167830790393</v>
      </c>
      <c r="E25" s="73"/>
      <c r="F25" s="35"/>
      <c r="G25" s="35">
        <f>SUM(G19:G24)</f>
        <v>107.92167830790393</v>
      </c>
      <c r="H25" s="35">
        <f t="shared" si="2"/>
        <v>0.32999999999999829</v>
      </c>
      <c r="I25" s="36">
        <f t="shared" si="10"/>
        <v>3.0671517090346914E-3</v>
      </c>
      <c r="J25" s="36">
        <f t="shared" si="5"/>
        <v>0.24749848032462651</v>
      </c>
      <c r="K25" s="111">
        <f t="shared" si="4"/>
        <v>0.25521221624538359</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1.8117194109845052E-3</v>
      </c>
      <c r="K26" s="108">
        <f t="shared" si="4"/>
        <v>1.8681849096029771E-3</v>
      </c>
    </row>
    <row r="27" spans="1:11" s="1" customFormat="1" x14ac:dyDescent="0.2">
      <c r="A27" s="119" t="s">
        <v>75</v>
      </c>
      <c r="B27" s="120">
        <f>B8-B4</f>
        <v>241.5</v>
      </c>
      <c r="C27" s="170">
        <f>IF(B4&gt;B7,C13,C12)</f>
        <v>0.106</v>
      </c>
      <c r="D27" s="22">
        <f>B27*C27</f>
        <v>25.599</v>
      </c>
      <c r="E27" s="73">
        <f>B27</f>
        <v>241.5</v>
      </c>
      <c r="F27" s="170">
        <f>C27</f>
        <v>0.106</v>
      </c>
      <c r="G27" s="22">
        <f>E27*F27</f>
        <v>25.599</v>
      </c>
      <c r="H27" s="22">
        <f t="shared" si="2"/>
        <v>0</v>
      </c>
      <c r="I27" s="23">
        <f t="shared" si="10"/>
        <v>0</v>
      </c>
      <c r="J27" s="23">
        <f t="shared" ref="J27:J46" si="11">G27/$G$46</f>
        <v>5.8706588863028285E-2</v>
      </c>
      <c r="K27" s="108">
        <f t="shared" ref="K27:K41" si="12">G27/$G$51</f>
        <v>6.0536285444210892E-2</v>
      </c>
    </row>
    <row r="28" spans="1:11" s="1" customFormat="1" x14ac:dyDescent="0.2">
      <c r="A28" s="119" t="s">
        <v>74</v>
      </c>
      <c r="B28" s="120">
        <f>B8-B4</f>
        <v>241.5</v>
      </c>
      <c r="C28" s="170">
        <f>0.65*C15+0.17*C16+0.18*C17</f>
        <v>9.7519999999999996E-2</v>
      </c>
      <c r="D28" s="22">
        <f>B28*C28</f>
        <v>23.551079999999999</v>
      </c>
      <c r="E28" s="73">
        <f>B28</f>
        <v>241.5</v>
      </c>
      <c r="F28" s="170">
        <f>C28</f>
        <v>9.7519999999999996E-2</v>
      </c>
      <c r="G28" s="22">
        <f>E28*F28</f>
        <v>23.551079999999999</v>
      </c>
      <c r="H28" s="22">
        <f t="shared" si="2"/>
        <v>0</v>
      </c>
      <c r="I28" s="23">
        <f t="shared" si="10"/>
        <v>0</v>
      </c>
      <c r="J28" s="23">
        <f t="shared" si="11"/>
        <v>5.4010061753986018E-2</v>
      </c>
      <c r="K28" s="108">
        <f t="shared" si="12"/>
        <v>5.5693382608674021E-2</v>
      </c>
    </row>
    <row r="29" spans="1:11" s="1" customFormat="1" x14ac:dyDescent="0.2">
      <c r="A29" s="110" t="s">
        <v>78</v>
      </c>
      <c r="B29" s="74"/>
      <c r="C29" s="35"/>
      <c r="D29" s="35">
        <f>SUM(D25,D26:D27)</f>
        <v>133.98067830790393</v>
      </c>
      <c r="E29" s="73"/>
      <c r="F29" s="35"/>
      <c r="G29" s="35">
        <f>SUM(G25,G26:G27)</f>
        <v>134.31067830790394</v>
      </c>
      <c r="H29" s="35">
        <f t="shared" si="2"/>
        <v>0.33000000000001251</v>
      </c>
      <c r="I29" s="36">
        <f t="shared" si="10"/>
        <v>2.4630417174156434E-3</v>
      </c>
      <c r="J29" s="36">
        <f t="shared" si="11"/>
        <v>0.30801678859863929</v>
      </c>
      <c r="K29" s="111">
        <f t="shared" si="12"/>
        <v>0.31761668659919751</v>
      </c>
    </row>
    <row r="30" spans="1:11" s="1" customFormat="1" x14ac:dyDescent="0.2">
      <c r="A30" s="110" t="s">
        <v>77</v>
      </c>
      <c r="B30" s="74"/>
      <c r="C30" s="35"/>
      <c r="D30" s="35">
        <f>SUM(D25,D26,D28)</f>
        <v>131.93275830790395</v>
      </c>
      <c r="E30" s="73"/>
      <c r="F30" s="35"/>
      <c r="G30" s="35">
        <f>SUM(G25,G26,G28)</f>
        <v>132.26275830790394</v>
      </c>
      <c r="H30" s="35">
        <f t="shared" si="2"/>
        <v>0.32999999999998408</v>
      </c>
      <c r="I30" s="36">
        <f t="shared" si="10"/>
        <v>2.5012741659643915E-3</v>
      </c>
      <c r="J30" s="36">
        <f t="shared" si="11"/>
        <v>0.30332026148959707</v>
      </c>
      <c r="K30" s="111">
        <f t="shared" si="12"/>
        <v>0.31277378376366061</v>
      </c>
    </row>
    <row r="31" spans="1:11" x14ac:dyDescent="0.2">
      <c r="A31" s="107" t="s">
        <v>40</v>
      </c>
      <c r="B31" s="73">
        <f>B8</f>
        <v>2541.5</v>
      </c>
      <c r="C31" s="125">
        <f>VLOOKUP($B$3,'Data for Bill Impacts'!$A$6:$Y$18,15,0)</f>
        <v>6.7400000000000003E-3</v>
      </c>
      <c r="D31" s="22">
        <f>B31*C31</f>
        <v>17.129709999999999</v>
      </c>
      <c r="E31" s="73">
        <f t="shared" si="6"/>
        <v>2541.5</v>
      </c>
      <c r="F31" s="125">
        <f>VLOOKUP($B$3,'Data for Bill Impacts'!$A$6:$Y$18,24,0)</f>
        <v>6.7400000000000003E-3</v>
      </c>
      <c r="G31" s="22">
        <f>E31*F31</f>
        <v>17.129709999999999</v>
      </c>
      <c r="H31" s="22">
        <f t="shared" si="2"/>
        <v>0</v>
      </c>
      <c r="I31" s="23">
        <f t="shared" si="10"/>
        <v>0</v>
      </c>
      <c r="J31" s="23">
        <f t="shared" si="11"/>
        <v>3.9283833052576433E-2</v>
      </c>
      <c r="K31" s="108">
        <f t="shared" si="12"/>
        <v>4.0508184465664822E-2</v>
      </c>
    </row>
    <row r="32" spans="1:11" x14ac:dyDescent="0.2">
      <c r="A32" s="107" t="s">
        <v>41</v>
      </c>
      <c r="B32" s="73">
        <f>B8</f>
        <v>2541.5</v>
      </c>
      <c r="C32" s="125">
        <f>VLOOKUP($B$3,'Data for Bill Impacts'!$A$6:$Y$18,16,0)</f>
        <v>5.6299999999999996E-3</v>
      </c>
      <c r="D32" s="22">
        <f>B32*C32</f>
        <v>14.308644999999999</v>
      </c>
      <c r="E32" s="73">
        <f t="shared" si="6"/>
        <v>2541.5</v>
      </c>
      <c r="F32" s="125">
        <f>VLOOKUP($B$3,'Data for Bill Impacts'!$A$6:$Y$18,25,0)</f>
        <v>5.6299999999999996E-3</v>
      </c>
      <c r="G32" s="22">
        <f>E32*F32</f>
        <v>14.308644999999999</v>
      </c>
      <c r="H32" s="22">
        <f t="shared" si="2"/>
        <v>0</v>
      </c>
      <c r="I32" s="23">
        <f t="shared" si="10"/>
        <v>0</v>
      </c>
      <c r="J32" s="23">
        <f t="shared" si="11"/>
        <v>3.281424036884352E-2</v>
      </c>
      <c r="K32" s="108">
        <f t="shared" si="12"/>
        <v>3.3836955273248211E-2</v>
      </c>
    </row>
    <row r="33" spans="1:11" s="1" customFormat="1" x14ac:dyDescent="0.2">
      <c r="A33" s="110" t="s">
        <v>76</v>
      </c>
      <c r="B33" s="74"/>
      <c r="C33" s="35"/>
      <c r="D33" s="35">
        <f>SUM(D31:D32)</f>
        <v>31.438354999999998</v>
      </c>
      <c r="E33" s="73"/>
      <c r="F33" s="35"/>
      <c r="G33" s="35">
        <f>SUM(G31:G32)</f>
        <v>31.438354999999998</v>
      </c>
      <c r="H33" s="35">
        <f t="shared" si="2"/>
        <v>0</v>
      </c>
      <c r="I33" s="36">
        <f t="shared" si="10"/>
        <v>0</v>
      </c>
      <c r="J33" s="36">
        <f t="shared" si="11"/>
        <v>7.2098073421419953E-2</v>
      </c>
      <c r="K33" s="111">
        <f t="shared" si="12"/>
        <v>7.4345139738913033E-2</v>
      </c>
    </row>
    <row r="34" spans="1:11" s="1" customFormat="1" x14ac:dyDescent="0.2">
      <c r="A34" s="110" t="s">
        <v>91</v>
      </c>
      <c r="B34" s="74"/>
      <c r="C34" s="35"/>
      <c r="D34" s="35">
        <f>D29+D33</f>
        <v>165.41903330790393</v>
      </c>
      <c r="E34" s="73"/>
      <c r="F34" s="35"/>
      <c r="G34" s="35">
        <f>G29+G33</f>
        <v>165.74903330790394</v>
      </c>
      <c r="H34" s="35">
        <f t="shared" si="2"/>
        <v>0.33000000000001251</v>
      </c>
      <c r="I34" s="36">
        <f t="shared" si="10"/>
        <v>1.9949336748073276E-3</v>
      </c>
      <c r="J34" s="36">
        <f t="shared" si="11"/>
        <v>0.38011486202005929</v>
      </c>
      <c r="K34" s="111">
        <f t="shared" si="12"/>
        <v>0.39196182633811055</v>
      </c>
    </row>
    <row r="35" spans="1:11" s="1" customFormat="1" x14ac:dyDescent="0.2">
      <c r="A35" s="110" t="s">
        <v>92</v>
      </c>
      <c r="B35" s="74"/>
      <c r="C35" s="35"/>
      <c r="D35" s="35">
        <f>D30+D33</f>
        <v>163.37111330790395</v>
      </c>
      <c r="E35" s="73"/>
      <c r="F35" s="35"/>
      <c r="G35" s="35">
        <f>G30+G33</f>
        <v>163.70111330790394</v>
      </c>
      <c r="H35" s="35">
        <f t="shared" si="2"/>
        <v>0.32999999999998408</v>
      </c>
      <c r="I35" s="36">
        <f t="shared" si="10"/>
        <v>2.0199409388735466E-3</v>
      </c>
      <c r="J35" s="36">
        <f t="shared" si="11"/>
        <v>0.375418334911017</v>
      </c>
      <c r="K35" s="111">
        <f t="shared" si="12"/>
        <v>0.38711892350257365</v>
      </c>
    </row>
    <row r="36" spans="1:11" x14ac:dyDescent="0.2">
      <c r="A36" s="107" t="s">
        <v>42</v>
      </c>
      <c r="B36" s="73">
        <f>B8</f>
        <v>2541.5</v>
      </c>
      <c r="C36" s="34">
        <v>3.5999999999999999E-3</v>
      </c>
      <c r="D36" s="22">
        <f>B36*C36</f>
        <v>9.1494</v>
      </c>
      <c r="E36" s="73">
        <f t="shared" si="6"/>
        <v>2541.5</v>
      </c>
      <c r="F36" s="34">
        <v>3.5999999999999999E-3</v>
      </c>
      <c r="G36" s="22">
        <f>E36*F36</f>
        <v>9.1494</v>
      </c>
      <c r="H36" s="22">
        <f t="shared" si="2"/>
        <v>0</v>
      </c>
      <c r="I36" s="23">
        <f t="shared" si="10"/>
        <v>0</v>
      </c>
      <c r="J36" s="23">
        <f t="shared" si="11"/>
        <v>2.0982462758052697E-2</v>
      </c>
      <c r="K36" s="108">
        <f t="shared" si="12"/>
        <v>2.1636419002432249E-2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10"/>
        <v>0</v>
      </c>
      <c r="J37" s="23">
        <f t="shared" si="11"/>
        <v>1.2239769942197404E-2</v>
      </c>
      <c r="K37" s="108">
        <f t="shared" si="12"/>
        <v>1.2621244418085478E-2</v>
      </c>
    </row>
    <row r="38" spans="1:11" x14ac:dyDescent="0.2">
      <c r="A38" s="107" t="s">
        <v>96</v>
      </c>
      <c r="B38" s="73">
        <f>B8</f>
        <v>2541.5</v>
      </c>
      <c r="C38" s="34">
        <v>0</v>
      </c>
      <c r="D38" s="22">
        <f>B38*C38</f>
        <v>0</v>
      </c>
      <c r="E38" s="73">
        <f t="shared" si="6"/>
        <v>2541.5</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5.7332892752674205E-4</v>
      </c>
      <c r="K39" s="108">
        <f t="shared" si="12"/>
        <v>5.9119775620347366E-4</v>
      </c>
    </row>
    <row r="40" spans="1:11" s="1" customFormat="1" x14ac:dyDescent="0.2">
      <c r="A40" s="110" t="s">
        <v>45</v>
      </c>
      <c r="B40" s="74"/>
      <c r="C40" s="35"/>
      <c r="D40" s="35">
        <f>SUM(D36:D39)</f>
        <v>14.736549999999999</v>
      </c>
      <c r="E40" s="73"/>
      <c r="F40" s="35"/>
      <c r="G40" s="35">
        <f>SUM(G36:G39)</f>
        <v>14.736549999999999</v>
      </c>
      <c r="H40" s="35">
        <f t="shared" si="2"/>
        <v>0</v>
      </c>
      <c r="I40" s="36">
        <f t="shared" si="10"/>
        <v>0</v>
      </c>
      <c r="J40" s="36">
        <f t="shared" si="11"/>
        <v>3.3795561627776839E-2</v>
      </c>
      <c r="K40" s="111">
        <f t="shared" si="12"/>
        <v>3.4848861176721202E-2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414.95558330790396</v>
      </c>
      <c r="E42" s="38"/>
      <c r="F42" s="39"/>
      <c r="G42" s="39">
        <f>SUM(G14,G25,G26,G27,G33,G40,G41)</f>
        <v>415.28558330790395</v>
      </c>
      <c r="H42" s="39">
        <f t="shared" si="2"/>
        <v>0.32999999999998408</v>
      </c>
      <c r="I42" s="40">
        <f t="shared" si="10"/>
        <v>7.9526583874187464E-4</v>
      </c>
      <c r="J42" s="40">
        <f t="shared" si="11"/>
        <v>0.95238095238095233</v>
      </c>
      <c r="K42" s="41"/>
    </row>
    <row r="43" spans="1:11" x14ac:dyDescent="0.2">
      <c r="A43" s="153" t="s">
        <v>102</v>
      </c>
      <c r="B43" s="43"/>
      <c r="C43" s="26">
        <v>0.13</v>
      </c>
      <c r="D43" s="26">
        <f>D42*C43</f>
        <v>53.94422583002752</v>
      </c>
      <c r="E43" s="26"/>
      <c r="F43" s="26">
        <f>C43</f>
        <v>0.13</v>
      </c>
      <c r="G43" s="26">
        <f>G42*F43</f>
        <v>53.987125830027516</v>
      </c>
      <c r="H43" s="26">
        <f t="shared" si="2"/>
        <v>4.2899999999995941E-2</v>
      </c>
      <c r="I43" s="44">
        <f t="shared" si="10"/>
        <v>7.9526583874183767E-4</v>
      </c>
      <c r="J43" s="44">
        <f t="shared" si="11"/>
        <v>0.1238095238095238</v>
      </c>
      <c r="K43" s="45"/>
    </row>
    <row r="44" spans="1:11" s="1" customFormat="1" x14ac:dyDescent="0.2">
      <c r="A44" s="46" t="s">
        <v>103</v>
      </c>
      <c r="B44" s="24"/>
      <c r="C44" s="25"/>
      <c r="D44" s="25">
        <f>SUM(D42:D43)</f>
        <v>468.89980913793147</v>
      </c>
      <c r="E44" s="25"/>
      <c r="F44" s="25"/>
      <c r="G44" s="25">
        <f>SUM(G42:G43)</f>
        <v>469.27270913793149</v>
      </c>
      <c r="H44" s="25">
        <f t="shared" si="2"/>
        <v>0.37290000000001555</v>
      </c>
      <c r="I44" s="27">
        <f t="shared" si="10"/>
        <v>7.952658387419462E-4</v>
      </c>
      <c r="J44" s="27">
        <f t="shared" si="11"/>
        <v>1.0761904761904761</v>
      </c>
      <c r="K44" s="47"/>
    </row>
    <row r="45" spans="1:11" x14ac:dyDescent="0.2">
      <c r="A45" s="42" t="s">
        <v>104</v>
      </c>
      <c r="B45" s="43"/>
      <c r="C45" s="26">
        <v>-0.08</v>
      </c>
      <c r="D45" s="26">
        <f>D42*C45</f>
        <v>-33.196446664632319</v>
      </c>
      <c r="E45" s="26"/>
      <c r="F45" s="26">
        <f>C45</f>
        <v>-0.08</v>
      </c>
      <c r="G45" s="26">
        <f>G42*F45</f>
        <v>-33.222846664632314</v>
      </c>
      <c r="H45" s="26">
        <f t="shared" si="2"/>
        <v>-2.6399999999995316E-2</v>
      </c>
      <c r="I45" s="44">
        <f t="shared" si="10"/>
        <v>-7.9526583874177186E-4</v>
      </c>
      <c r="J45" s="44">
        <f t="shared" si="11"/>
        <v>-7.6190476190476183E-2</v>
      </c>
      <c r="K45" s="45"/>
    </row>
    <row r="46" spans="1:11" s="1" customFormat="1" ht="13.5" thickBot="1" x14ac:dyDescent="0.25">
      <c r="A46" s="48" t="s">
        <v>105</v>
      </c>
      <c r="B46" s="49"/>
      <c r="C46" s="50"/>
      <c r="D46" s="50">
        <f>SUM(D44:D45)</f>
        <v>435.70336247329914</v>
      </c>
      <c r="E46" s="50"/>
      <c r="F46" s="50"/>
      <c r="G46" s="50">
        <f>SUM(G44:G45)</f>
        <v>436.04986247329919</v>
      </c>
      <c r="H46" s="50">
        <f t="shared" si="2"/>
        <v>0.34650000000004866</v>
      </c>
      <c r="I46" s="51">
        <f t="shared" si="10"/>
        <v>7.952658387420247E-4</v>
      </c>
      <c r="J46" s="51">
        <f t="shared" si="11"/>
        <v>1</v>
      </c>
      <c r="K46" s="52"/>
    </row>
    <row r="47" spans="1:11" x14ac:dyDescent="0.2">
      <c r="A47" s="53" t="s">
        <v>106</v>
      </c>
      <c r="B47" s="54"/>
      <c r="C47" s="55"/>
      <c r="D47" s="55">
        <f>SUM(D18,D25,D26,D28,D33,D40,D41)</f>
        <v>402.40366330790397</v>
      </c>
      <c r="E47" s="55"/>
      <c r="F47" s="55"/>
      <c r="G47" s="55">
        <f>SUM(G18,G25,G26,G28,G33,G40,G41)</f>
        <v>402.73366330790401</v>
      </c>
      <c r="H47" s="55">
        <f>G47-D47</f>
        <v>0.33000000000004093</v>
      </c>
      <c r="I47" s="56">
        <f t="shared" si="10"/>
        <v>8.2007205721568567E-4</v>
      </c>
      <c r="J47" s="56"/>
      <c r="K47" s="57">
        <f>G47/$G$51</f>
        <v>0.95238095238095244</v>
      </c>
    </row>
    <row r="48" spans="1:11" x14ac:dyDescent="0.2">
      <c r="A48" s="58" t="s">
        <v>102</v>
      </c>
      <c r="B48" s="59"/>
      <c r="C48" s="31">
        <v>0.13</v>
      </c>
      <c r="D48" s="31">
        <f>D47*C48</f>
        <v>52.312476230027521</v>
      </c>
      <c r="E48" s="31"/>
      <c r="F48" s="31">
        <f>C48</f>
        <v>0.13</v>
      </c>
      <c r="G48" s="31">
        <f>G47*F48</f>
        <v>52.355376230027524</v>
      </c>
      <c r="H48" s="31">
        <f>G48-D48</f>
        <v>4.2900000000003047E-2</v>
      </c>
      <c r="I48" s="32">
        <f t="shared" si="10"/>
        <v>8.2007205721564209E-4</v>
      </c>
      <c r="J48" s="32"/>
      <c r="K48" s="60">
        <f>G48/$G$51</f>
        <v>0.12380952380952381</v>
      </c>
    </row>
    <row r="49" spans="1:11" x14ac:dyDescent="0.2">
      <c r="A49" s="61" t="s">
        <v>107</v>
      </c>
      <c r="B49" s="29"/>
      <c r="C49" s="30"/>
      <c r="D49" s="30">
        <f>SUM(D47:D48)</f>
        <v>454.7161395379315</v>
      </c>
      <c r="E49" s="30"/>
      <c r="F49" s="30"/>
      <c r="G49" s="30">
        <f>SUM(G47:G48)</f>
        <v>455.08903953793151</v>
      </c>
      <c r="H49" s="30">
        <f>G49-D49</f>
        <v>0.37290000000001555</v>
      </c>
      <c r="I49" s="33">
        <f t="shared" si="10"/>
        <v>8.2007205721561813E-4</v>
      </c>
      <c r="J49" s="33"/>
      <c r="K49" s="62">
        <f>G49/$G$51</f>
        <v>1.0761904761904761</v>
      </c>
    </row>
    <row r="50" spans="1:11" x14ac:dyDescent="0.2">
      <c r="A50" s="58" t="s">
        <v>104</v>
      </c>
      <c r="B50" s="59"/>
      <c r="C50" s="31">
        <v>-0.08</v>
      </c>
      <c r="D50" s="31">
        <f>D47*C50</f>
        <v>-32.192293064632317</v>
      </c>
      <c r="E50" s="31"/>
      <c r="F50" s="31">
        <f>C50</f>
        <v>-0.08</v>
      </c>
      <c r="G50" s="31">
        <f>G47*F50</f>
        <v>-32.218693064632319</v>
      </c>
      <c r="H50" s="31">
        <f>G50-D50</f>
        <v>-2.6400000000002422E-2</v>
      </c>
      <c r="I50" s="32">
        <f t="shared" si="10"/>
        <v>-8.2007205721565922E-4</v>
      </c>
      <c r="J50" s="32"/>
      <c r="K50" s="60">
        <f>G50/$G$51</f>
        <v>-7.6190476190476183E-2</v>
      </c>
    </row>
    <row r="51" spans="1:11" ht="13.5" thickBot="1" x14ac:dyDescent="0.25">
      <c r="A51" s="63" t="s">
        <v>116</v>
      </c>
      <c r="B51" s="64"/>
      <c r="C51" s="65"/>
      <c r="D51" s="65">
        <f>SUM(D49:D50)</f>
        <v>422.52384647329916</v>
      </c>
      <c r="E51" s="65"/>
      <c r="F51" s="65"/>
      <c r="G51" s="65">
        <f>SUM(G49:G50)</f>
        <v>422.87034647329921</v>
      </c>
      <c r="H51" s="65">
        <f>G51-D51</f>
        <v>0.34650000000004866</v>
      </c>
      <c r="I51" s="66">
        <f t="shared" si="10"/>
        <v>8.2007205721569912E-4</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118</v>
      </c>
      <c r="B1" s="186"/>
      <c r="C1" s="186"/>
      <c r="D1" s="186"/>
      <c r="E1" s="186"/>
      <c r="F1" s="186"/>
      <c r="G1" s="186"/>
      <c r="H1" s="186"/>
      <c r="I1" s="186"/>
      <c r="J1" s="186"/>
      <c r="K1" s="187"/>
    </row>
    <row r="3" spans="1:11" x14ac:dyDescent="0.2">
      <c r="A3" s="13" t="s">
        <v>13</v>
      </c>
      <c r="B3" s="13" t="s">
        <v>3</v>
      </c>
    </row>
    <row r="4" spans="1:11" x14ac:dyDescent="0.2">
      <c r="A4" s="15" t="s">
        <v>62</v>
      </c>
      <c r="B4" s="15">
        <v>50</v>
      </c>
    </row>
    <row r="5" spans="1:11" x14ac:dyDescent="0.2">
      <c r="A5" s="15" t="s">
        <v>16</v>
      </c>
      <c r="B5" s="15">
        <f>VLOOKUP($B$3,'Data for Bill Impacts'!$A$6:$Y$18,5,0)</f>
        <v>0</v>
      </c>
    </row>
    <row r="6" spans="1:11" x14ac:dyDescent="0.2">
      <c r="A6" s="15" t="s">
        <v>20</v>
      </c>
      <c r="B6" s="15">
        <f>VLOOKUP($B$3,'Data for Bill Impacts'!$A$6:$Y$18,2,0)</f>
        <v>1.1040000000000001</v>
      </c>
    </row>
    <row r="7" spans="1:11" x14ac:dyDescent="0.2">
      <c r="A7" s="15" t="s">
        <v>15</v>
      </c>
      <c r="B7" s="15">
        <f>VLOOKUP($B$3,'Data for Bill Impacts'!$A$6:$Y$18,4,0)</f>
        <v>600</v>
      </c>
    </row>
    <row r="8" spans="1:11" x14ac:dyDescent="0.2">
      <c r="A8" s="15" t="s">
        <v>82</v>
      </c>
      <c r="B8" s="15">
        <f>B4*B6</f>
        <v>55.2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9.0999999999999998E-2</v>
      </c>
      <c r="D12" s="104">
        <f>B12*C12</f>
        <v>4.55</v>
      </c>
      <c r="E12" s="102">
        <f>B12</f>
        <v>50</v>
      </c>
      <c r="F12" s="103">
        <f>C12</f>
        <v>9.0999999999999998E-2</v>
      </c>
      <c r="G12" s="104">
        <f>E12*F12</f>
        <v>4.55</v>
      </c>
      <c r="H12" s="104">
        <f>G12-D12</f>
        <v>0</v>
      </c>
      <c r="I12" s="105">
        <f t="shared" ref="I12:I18" si="0">IF(ISERROR(H12/ABS(D12)),"N/A",(H12/ABS(D12)))</f>
        <v>0</v>
      </c>
      <c r="J12" s="105">
        <f>G12/$G$46</f>
        <v>7.9271187434678717E-2</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4.55</v>
      </c>
      <c r="E14" s="76"/>
      <c r="F14" s="25"/>
      <c r="G14" s="25">
        <f>SUM(G12:G13)</f>
        <v>4.55</v>
      </c>
      <c r="H14" s="25">
        <f t="shared" si="2"/>
        <v>0</v>
      </c>
      <c r="I14" s="27">
        <f t="shared" si="0"/>
        <v>0</v>
      </c>
      <c r="J14" s="27">
        <f>G14/$G$46</f>
        <v>7.9271187434678717E-2</v>
      </c>
      <c r="K14" s="108"/>
    </row>
    <row r="15" spans="1:11" s="1" customFormat="1" x14ac:dyDescent="0.2">
      <c r="A15" s="109" t="s">
        <v>34</v>
      </c>
      <c r="B15" s="75">
        <f>B4*0.65</f>
        <v>32.5</v>
      </c>
      <c r="C15" s="28">
        <v>7.6999999999999999E-2</v>
      </c>
      <c r="D15" s="22">
        <f>B15*C15</f>
        <v>2.5024999999999999</v>
      </c>
      <c r="E15" s="73">
        <f t="shared" ref="E15:F17" si="3">B15</f>
        <v>32.5</v>
      </c>
      <c r="F15" s="28">
        <f t="shared" si="3"/>
        <v>7.6999999999999999E-2</v>
      </c>
      <c r="G15" s="22">
        <f>E15*F15</f>
        <v>2.5024999999999999</v>
      </c>
      <c r="H15" s="22">
        <f t="shared" si="2"/>
        <v>0</v>
      </c>
      <c r="I15" s="23">
        <f t="shared" si="0"/>
        <v>0</v>
      </c>
      <c r="J15" s="23"/>
      <c r="K15" s="108">
        <f t="shared" ref="K15:K26" si="4">G15/$G$51</f>
        <v>4.3313980331910272E-2</v>
      </c>
    </row>
    <row r="16" spans="1:11" s="1" customFormat="1" x14ac:dyDescent="0.2">
      <c r="A16" s="109" t="s">
        <v>35</v>
      </c>
      <c r="B16" s="75">
        <f>B4*0.17</f>
        <v>8.5</v>
      </c>
      <c r="C16" s="28">
        <v>0.113</v>
      </c>
      <c r="D16" s="22">
        <f>B16*C16</f>
        <v>0.96050000000000002</v>
      </c>
      <c r="E16" s="73">
        <f t="shared" si="3"/>
        <v>8.5</v>
      </c>
      <c r="F16" s="28">
        <f t="shared" si="3"/>
        <v>0.113</v>
      </c>
      <c r="G16" s="22">
        <f>E16*F16</f>
        <v>0.96050000000000002</v>
      </c>
      <c r="H16" s="22">
        <f t="shared" si="2"/>
        <v>0</v>
      </c>
      <c r="I16" s="23">
        <f t="shared" si="0"/>
        <v>0</v>
      </c>
      <c r="J16" s="23"/>
      <c r="K16" s="108">
        <f t="shared" si="4"/>
        <v>1.6624606636883046E-2</v>
      </c>
    </row>
    <row r="17" spans="1:11" s="1" customFormat="1" x14ac:dyDescent="0.2">
      <c r="A17" s="109" t="s">
        <v>36</v>
      </c>
      <c r="B17" s="75">
        <f>B4*0.18</f>
        <v>9</v>
      </c>
      <c r="C17" s="28">
        <v>0.157</v>
      </c>
      <c r="D17" s="22">
        <f>B17*C17</f>
        <v>1.413</v>
      </c>
      <c r="E17" s="73">
        <f t="shared" si="3"/>
        <v>9</v>
      </c>
      <c r="F17" s="28">
        <f t="shared" si="3"/>
        <v>0.157</v>
      </c>
      <c r="G17" s="22">
        <f>E17*F17</f>
        <v>1.413</v>
      </c>
      <c r="H17" s="22">
        <f t="shared" si="2"/>
        <v>0</v>
      </c>
      <c r="I17" s="23">
        <f t="shared" si="0"/>
        <v>0</v>
      </c>
      <c r="J17" s="23"/>
      <c r="K17" s="108">
        <f t="shared" si="4"/>
        <v>2.4456605078517171E-2</v>
      </c>
    </row>
    <row r="18" spans="1:11" s="1" customFormat="1" x14ac:dyDescent="0.2">
      <c r="A18" s="61" t="s">
        <v>37</v>
      </c>
      <c r="B18" s="29"/>
      <c r="C18" s="30"/>
      <c r="D18" s="30">
        <f>SUM(D15:D17)</f>
        <v>4.8760000000000003</v>
      </c>
      <c r="E18" s="77"/>
      <c r="F18" s="30"/>
      <c r="G18" s="30">
        <f>SUM(G15:G17)</f>
        <v>4.8760000000000003</v>
      </c>
      <c r="H18" s="31">
        <f t="shared" si="2"/>
        <v>0</v>
      </c>
      <c r="I18" s="32">
        <f t="shared" si="0"/>
        <v>0</v>
      </c>
      <c r="J18" s="33">
        <f t="shared" ref="J18:J26" si="5">G18/$G$46</f>
        <v>8.4950837347580979E-2</v>
      </c>
      <c r="K18" s="62">
        <f t="shared" si="4"/>
        <v>8.4395192047310497E-2</v>
      </c>
    </row>
    <row r="19" spans="1:11" x14ac:dyDescent="0.2">
      <c r="A19" s="107" t="s">
        <v>38</v>
      </c>
      <c r="B19" s="73">
        <v>1</v>
      </c>
      <c r="C19" s="78">
        <f>VLOOKUP($B$3,'Data for Bill Impacts'!$A$6:$Y$18,7,0)</f>
        <v>40.520000000000003</v>
      </c>
      <c r="D19" s="22">
        <f>B19*C19</f>
        <v>40.520000000000003</v>
      </c>
      <c r="E19" s="73">
        <f t="shared" ref="E19:E41" si="6">B19</f>
        <v>1</v>
      </c>
      <c r="F19" s="78">
        <f>VLOOKUP($B$3,'Data for Bill Impacts'!$A$6:$Y$18,17,0)</f>
        <v>45.07</v>
      </c>
      <c r="G19" s="22">
        <f>E19*F19</f>
        <v>45.07</v>
      </c>
      <c r="H19" s="22">
        <f t="shared" si="2"/>
        <v>4.5499999999999972</v>
      </c>
      <c r="I19" s="23">
        <f>IF(ISERROR(H19/ABS(D19)),"N/A",(H19/ABS(D19)))</f>
        <v>0.11229022704837109</v>
      </c>
      <c r="J19" s="23">
        <f t="shared" si="5"/>
        <v>0.78522031157823513</v>
      </c>
      <c r="K19" s="108">
        <f t="shared" si="4"/>
        <v>0.78008435307060786</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-2E-3</v>
      </c>
      <c r="D22" s="22">
        <f t="shared" si="9"/>
        <v>-2E-3</v>
      </c>
      <c r="E22" s="73">
        <f t="shared" si="6"/>
        <v>1</v>
      </c>
      <c r="F22" s="121">
        <f>VLOOKUP($B$3,'Data for Bill Impacts'!$A$6:$Y$18,22,0)</f>
        <v>-2E-3</v>
      </c>
      <c r="G22" s="22">
        <f t="shared" si="7"/>
        <v>-2E-3</v>
      </c>
      <c r="H22" s="22">
        <f t="shared" si="2"/>
        <v>0</v>
      </c>
      <c r="I22" s="23">
        <f t="shared" ref="I22:I51" si="10">IF(ISERROR(H22/ABS(D22)),"N/A",(H22/ABS(D22)))</f>
        <v>0</v>
      </c>
      <c r="J22" s="23">
        <f t="shared" si="5"/>
        <v>-3.4844477993265371E-5</v>
      </c>
      <c r="K22" s="108">
        <f t="shared" si="4"/>
        <v>-3.461656769783039E-5</v>
      </c>
    </row>
    <row r="23" spans="1:11" x14ac:dyDescent="0.2">
      <c r="A23" s="107" t="s">
        <v>39</v>
      </c>
      <c r="B23" s="73">
        <f>IF($B$9="kWh",$B$4,$B$5)</f>
        <v>50</v>
      </c>
      <c r="C23" s="78">
        <f>VLOOKUP($B$3,'Data for Bill Impacts'!$A$6:$Y$18,10,0)</f>
        <v>6.0100000000000001E-2</v>
      </c>
      <c r="D23" s="22">
        <f>B23*C23</f>
        <v>3.0049999999999999</v>
      </c>
      <c r="E23" s="73">
        <f t="shared" si="6"/>
        <v>50</v>
      </c>
      <c r="F23" s="125">
        <f>VLOOKUP($B$3,'Data for Bill Impacts'!$A$6:$Y$18,19,0)</f>
        <v>5.28E-2</v>
      </c>
      <c r="G23" s="22">
        <f>E23*F23</f>
        <v>2.64</v>
      </c>
      <c r="H23" s="22">
        <f t="shared" si="2"/>
        <v>-0.36499999999999977</v>
      </c>
      <c r="I23" s="23">
        <f t="shared" si="10"/>
        <v>-0.1214642262895174</v>
      </c>
      <c r="J23" s="23">
        <f t="shared" si="5"/>
        <v>4.5994710951110289E-2</v>
      </c>
      <c r="K23" s="108">
        <f t="shared" si="4"/>
        <v>4.5693869361136119E-2</v>
      </c>
    </row>
    <row r="24" spans="1:11" x14ac:dyDescent="0.2">
      <c r="A24" s="107" t="s">
        <v>122</v>
      </c>
      <c r="B24" s="73">
        <f>IF($B$9="kWh",$B$4,$B$5)</f>
        <v>50</v>
      </c>
      <c r="C24" s="125">
        <f>VLOOKUP($B$3,'Data for Bill Impacts'!$A$6:$Y$18,14,0)</f>
        <v>1.0000000000000003E-5</v>
      </c>
      <c r="D24" s="22">
        <f>B24*C24</f>
        <v>5.0000000000000012E-4</v>
      </c>
      <c r="E24" s="73">
        <f>B24</f>
        <v>50</v>
      </c>
      <c r="F24" s="125">
        <f>VLOOKUP($B$3,'Data for Bill Impacts'!$A$6:$Y$18,23,0)</f>
        <v>1.0000000000000003E-5</v>
      </c>
      <c r="G24" s="22">
        <f>E24*F24</f>
        <v>5.0000000000000012E-4</v>
      </c>
      <c r="H24" s="22">
        <f>G24-D24</f>
        <v>0</v>
      </c>
      <c r="I24" s="23">
        <f t="shared" si="10"/>
        <v>0</v>
      </c>
      <c r="J24" s="23">
        <f t="shared" si="5"/>
        <v>8.7111194983163445E-6</v>
      </c>
      <c r="K24" s="108">
        <f t="shared" si="4"/>
        <v>8.6541419244575993E-6</v>
      </c>
    </row>
    <row r="25" spans="1:11" s="1" customFormat="1" x14ac:dyDescent="0.2">
      <c r="A25" s="110" t="s">
        <v>72</v>
      </c>
      <c r="B25" s="74"/>
      <c r="C25" s="35"/>
      <c r="D25" s="35">
        <f>SUM(D19:D24)</f>
        <v>43.523500000000006</v>
      </c>
      <c r="E25" s="73"/>
      <c r="F25" s="35"/>
      <c r="G25" s="35">
        <f>SUM(G19:G24)</f>
        <v>47.708500000000001</v>
      </c>
      <c r="H25" s="35">
        <f t="shared" si="2"/>
        <v>4.1849999999999952</v>
      </c>
      <c r="I25" s="36">
        <f t="shared" si="10"/>
        <v>9.6154950773719827E-2</v>
      </c>
      <c r="J25" s="36">
        <f t="shared" si="5"/>
        <v>0.83118888917085043</v>
      </c>
      <c r="K25" s="111">
        <f t="shared" si="4"/>
        <v>0.82575226000597057</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1.3763568807339822E-2</v>
      </c>
      <c r="K26" s="108">
        <f t="shared" si="4"/>
        <v>1.3673544240643005E-2</v>
      </c>
    </row>
    <row r="27" spans="1:11" s="1" customFormat="1" x14ac:dyDescent="0.2">
      <c r="A27" s="119" t="s">
        <v>75</v>
      </c>
      <c r="B27" s="120">
        <f>B8-B4</f>
        <v>5.2000000000000028</v>
      </c>
      <c r="C27" s="170">
        <f>IF(B4&gt;B7,C13,C12)</f>
        <v>9.0999999999999998E-2</v>
      </c>
      <c r="D27" s="22">
        <f>B27*C27</f>
        <v>0.47320000000000023</v>
      </c>
      <c r="E27" s="73">
        <f>B27</f>
        <v>5.2000000000000028</v>
      </c>
      <c r="F27" s="170">
        <f>C27</f>
        <v>9.0999999999999998E-2</v>
      </c>
      <c r="G27" s="22">
        <f>E27*F27</f>
        <v>0.47320000000000023</v>
      </c>
      <c r="H27" s="22">
        <f t="shared" si="2"/>
        <v>0</v>
      </c>
      <c r="I27" s="23">
        <f t="shared" si="10"/>
        <v>0</v>
      </c>
      <c r="J27" s="23">
        <f t="shared" ref="J27:J46" si="11">G27/$G$46</f>
        <v>8.2442034932065904E-3</v>
      </c>
      <c r="K27" s="108">
        <f t="shared" ref="K27:K41" si="12">G27/$G$51</f>
        <v>8.190279917306675E-3</v>
      </c>
    </row>
    <row r="28" spans="1:11" s="1" customFormat="1" x14ac:dyDescent="0.2">
      <c r="A28" s="119" t="s">
        <v>74</v>
      </c>
      <c r="B28" s="120">
        <f>B8-B4</f>
        <v>5.2000000000000028</v>
      </c>
      <c r="C28" s="170">
        <f>0.65*C15+0.17*C16+0.18*C17</f>
        <v>9.7519999999999996E-2</v>
      </c>
      <c r="D28" s="22">
        <f>B28*C28</f>
        <v>0.50710400000000022</v>
      </c>
      <c r="E28" s="73">
        <f>B28</f>
        <v>5.2000000000000028</v>
      </c>
      <c r="F28" s="170">
        <f>C28</f>
        <v>9.7519999999999996E-2</v>
      </c>
      <c r="G28" s="22">
        <f>E28*F28</f>
        <v>0.50710400000000022</v>
      </c>
      <c r="H28" s="22">
        <f t="shared" si="2"/>
        <v>0</v>
      </c>
      <c r="I28" s="23">
        <f t="shared" si="10"/>
        <v>0</v>
      </c>
      <c r="J28" s="23">
        <f t="shared" si="11"/>
        <v>8.8348870841484257E-3</v>
      </c>
      <c r="K28" s="108">
        <f t="shared" si="12"/>
        <v>8.7770999729202947E-3</v>
      </c>
    </row>
    <row r="29" spans="1:11" s="1" customFormat="1" x14ac:dyDescent="0.2">
      <c r="A29" s="110" t="s">
        <v>78</v>
      </c>
      <c r="B29" s="74"/>
      <c r="C29" s="35"/>
      <c r="D29" s="35">
        <f>SUM(D25,D26:D27)</f>
        <v>44.786700000000003</v>
      </c>
      <c r="E29" s="73"/>
      <c r="F29" s="35"/>
      <c r="G29" s="35">
        <f>SUM(G25,G26:G27)</f>
        <v>48.971699999999998</v>
      </c>
      <c r="H29" s="35">
        <f t="shared" si="2"/>
        <v>4.1849999999999952</v>
      </c>
      <c r="I29" s="36">
        <f t="shared" si="10"/>
        <v>9.3442919438136651E-2</v>
      </c>
      <c r="J29" s="36">
        <f t="shared" si="11"/>
        <v>0.85319666147139683</v>
      </c>
      <c r="K29" s="111">
        <f t="shared" si="12"/>
        <v>0.8476160841639202</v>
      </c>
    </row>
    <row r="30" spans="1:11" s="1" customFormat="1" x14ac:dyDescent="0.2">
      <c r="A30" s="110" t="s">
        <v>77</v>
      </c>
      <c r="B30" s="74"/>
      <c r="C30" s="35"/>
      <c r="D30" s="35">
        <f>SUM(D25,D26,D28)</f>
        <v>44.820604000000003</v>
      </c>
      <c r="E30" s="73"/>
      <c r="F30" s="35"/>
      <c r="G30" s="35">
        <f>SUM(G25,G26,G28)</f>
        <v>49.005603999999998</v>
      </c>
      <c r="H30" s="35">
        <f t="shared" si="2"/>
        <v>4.1849999999999952</v>
      </c>
      <c r="I30" s="36">
        <f t="shared" si="10"/>
        <v>9.3372235679822502E-2</v>
      </c>
      <c r="J30" s="36">
        <f t="shared" si="11"/>
        <v>0.85378734506233867</v>
      </c>
      <c r="K30" s="111">
        <f t="shared" si="12"/>
        <v>0.84820290421953382</v>
      </c>
    </row>
    <row r="31" spans="1:11" x14ac:dyDescent="0.2">
      <c r="A31" s="107" t="s">
        <v>40</v>
      </c>
      <c r="B31" s="73">
        <f>B8</f>
        <v>55.2</v>
      </c>
      <c r="C31" s="125">
        <f>VLOOKUP($B$3,'Data for Bill Impacts'!$A$6:$Y$18,15,0)</f>
        <v>5.6559999999999996E-3</v>
      </c>
      <c r="D31" s="22">
        <f>B31*C31</f>
        <v>0.31221119999999997</v>
      </c>
      <c r="E31" s="73">
        <f t="shared" si="6"/>
        <v>55.2</v>
      </c>
      <c r="F31" s="125">
        <f>VLOOKUP($B$3,'Data for Bill Impacts'!$A$6:$Y$18,24,0)</f>
        <v>5.6559999999999996E-3</v>
      </c>
      <c r="G31" s="22">
        <f>E31*F31</f>
        <v>0.31221119999999997</v>
      </c>
      <c r="H31" s="22">
        <f t="shared" si="2"/>
        <v>0</v>
      </c>
      <c r="I31" s="23">
        <f t="shared" si="10"/>
        <v>0</v>
      </c>
      <c r="J31" s="23">
        <f t="shared" si="11"/>
        <v>5.4394181438254859E-3</v>
      </c>
      <c r="K31" s="108">
        <f t="shared" si="12"/>
        <v>5.403840070410431E-3</v>
      </c>
    </row>
    <row r="32" spans="1:11" x14ac:dyDescent="0.2">
      <c r="A32" s="107" t="s">
        <v>41</v>
      </c>
      <c r="B32" s="73">
        <f>B8</f>
        <v>55.2</v>
      </c>
      <c r="C32" s="125">
        <f>VLOOKUP($B$3,'Data for Bill Impacts'!$A$6:$Y$18,16,0)</f>
        <v>4.8209999999999998E-3</v>
      </c>
      <c r="D32" s="22">
        <f>B32*C32</f>
        <v>0.2661192</v>
      </c>
      <c r="E32" s="73">
        <f t="shared" si="6"/>
        <v>55.2</v>
      </c>
      <c r="F32" s="125">
        <f>VLOOKUP($B$3,'Data for Bill Impacts'!$A$6:$Y$18,25,0)</f>
        <v>4.8209999999999998E-3</v>
      </c>
      <c r="G32" s="22">
        <f>E32*F32</f>
        <v>0.2661192</v>
      </c>
      <c r="H32" s="22">
        <f t="shared" si="2"/>
        <v>0</v>
      </c>
      <c r="I32" s="23">
        <f t="shared" si="10"/>
        <v>0</v>
      </c>
      <c r="J32" s="23">
        <f t="shared" si="11"/>
        <v>4.6363923039926926E-3</v>
      </c>
      <c r="K32" s="108">
        <f t="shared" si="12"/>
        <v>4.606066651246233E-3</v>
      </c>
    </row>
    <row r="33" spans="1:11" s="1" customFormat="1" x14ac:dyDescent="0.2">
      <c r="A33" s="110" t="s">
        <v>76</v>
      </c>
      <c r="B33" s="74"/>
      <c r="C33" s="35"/>
      <c r="D33" s="35">
        <f>SUM(D31:D32)</f>
        <v>0.57833040000000002</v>
      </c>
      <c r="E33" s="73"/>
      <c r="F33" s="35"/>
      <c r="G33" s="35">
        <f>SUM(G31:G32)</f>
        <v>0.57833040000000002</v>
      </c>
      <c r="H33" s="35">
        <f t="shared" si="2"/>
        <v>0</v>
      </c>
      <c r="I33" s="36">
        <f t="shared" si="10"/>
        <v>0</v>
      </c>
      <c r="J33" s="36">
        <f t="shared" si="11"/>
        <v>1.0075810447818179E-2</v>
      </c>
      <c r="K33" s="111">
        <f t="shared" si="12"/>
        <v>1.0009906721656664E-2</v>
      </c>
    </row>
    <row r="34" spans="1:11" s="1" customFormat="1" x14ac:dyDescent="0.2">
      <c r="A34" s="110" t="s">
        <v>91</v>
      </c>
      <c r="B34" s="74"/>
      <c r="C34" s="35"/>
      <c r="D34" s="35">
        <f>D29+D33</f>
        <v>45.365030400000002</v>
      </c>
      <c r="E34" s="73"/>
      <c r="F34" s="35"/>
      <c r="G34" s="35">
        <f>G29+G33</f>
        <v>49.550030399999997</v>
      </c>
      <c r="H34" s="35">
        <f t="shared" si="2"/>
        <v>4.1849999999999952</v>
      </c>
      <c r="I34" s="36">
        <f t="shared" si="10"/>
        <v>9.2251674100057371E-2</v>
      </c>
      <c r="J34" s="36">
        <f t="shared" si="11"/>
        <v>0.86327247191921497</v>
      </c>
      <c r="K34" s="111">
        <f t="shared" si="12"/>
        <v>0.85762599088557689</v>
      </c>
    </row>
    <row r="35" spans="1:11" s="1" customFormat="1" x14ac:dyDescent="0.2">
      <c r="A35" s="110" t="s">
        <v>92</v>
      </c>
      <c r="B35" s="74"/>
      <c r="C35" s="35"/>
      <c r="D35" s="35">
        <f>D30+D33</f>
        <v>45.398934400000002</v>
      </c>
      <c r="E35" s="73"/>
      <c r="F35" s="35"/>
      <c r="G35" s="35">
        <f>G30+G33</f>
        <v>49.583934399999997</v>
      </c>
      <c r="H35" s="35">
        <f t="shared" si="2"/>
        <v>4.1849999999999952</v>
      </c>
      <c r="I35" s="36">
        <f t="shared" si="10"/>
        <v>9.2182780395832262E-2</v>
      </c>
      <c r="J35" s="36">
        <f t="shared" si="11"/>
        <v>0.8638631555101568</v>
      </c>
      <c r="K35" s="111">
        <f t="shared" si="12"/>
        <v>0.85821281094119051</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2"/>
        <v>0</v>
      </c>
      <c r="I36" s="23">
        <f t="shared" si="10"/>
        <v>0</v>
      </c>
      <c r="J36" s="23">
        <f t="shared" si="11"/>
        <v>3.4621473334108472E-3</v>
      </c>
      <c r="K36" s="108">
        <f t="shared" si="12"/>
        <v>3.4395021664564277E-3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10"/>
        <v>0</v>
      </c>
      <c r="J37" s="23">
        <f t="shared" si="11"/>
        <v>2.0195859444896609E-3</v>
      </c>
      <c r="K37" s="108">
        <f t="shared" si="12"/>
        <v>2.0063762637662495E-3</v>
      </c>
    </row>
    <row r="38" spans="1:11" x14ac:dyDescent="0.2">
      <c r="A38" s="107" t="s">
        <v>96</v>
      </c>
      <c r="B38" s="73">
        <f>B8</f>
        <v>55.2</v>
      </c>
      <c r="C38" s="34">
        <v>0</v>
      </c>
      <c r="D38" s="22">
        <f>B38*C38</f>
        <v>0</v>
      </c>
      <c r="E38" s="73">
        <f t="shared" si="6"/>
        <v>55.2</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4.3555597491581714E-3</v>
      </c>
      <c r="K39" s="108">
        <f t="shared" si="12"/>
        <v>4.3270709622287989E-3</v>
      </c>
    </row>
    <row r="40" spans="1:11" s="1" customFormat="1" x14ac:dyDescent="0.2">
      <c r="A40" s="110" t="s">
        <v>45</v>
      </c>
      <c r="B40" s="74"/>
      <c r="C40" s="35"/>
      <c r="D40" s="35">
        <f>SUM(D36:D39)</f>
        <v>0.56464000000000003</v>
      </c>
      <c r="E40" s="73"/>
      <c r="F40" s="35"/>
      <c r="G40" s="35">
        <f>SUM(G36:G39)</f>
        <v>0.56464000000000003</v>
      </c>
      <c r="H40" s="35">
        <f t="shared" si="2"/>
        <v>0</v>
      </c>
      <c r="I40" s="36">
        <f t="shared" si="10"/>
        <v>0</v>
      </c>
      <c r="J40" s="36">
        <f t="shared" si="11"/>
        <v>9.8372930270586804E-3</v>
      </c>
      <c r="K40" s="111">
        <f t="shared" si="12"/>
        <v>9.7729493924514771E-3</v>
      </c>
    </row>
    <row r="41" spans="1:11" s="1" customFormat="1" ht="13.5" thickBot="1" x14ac:dyDescent="0.25">
      <c r="A41" s="112" t="s">
        <v>46</v>
      </c>
      <c r="B41" s="113">
        <f>B4</f>
        <v>50</v>
      </c>
      <c r="C41" s="114">
        <v>0</v>
      </c>
      <c r="D41" s="115">
        <f>B41*C41</f>
        <v>0</v>
      </c>
      <c r="E41" s="116">
        <f t="shared" si="6"/>
        <v>50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50.479670399999996</v>
      </c>
      <c r="E42" s="38"/>
      <c r="F42" s="39"/>
      <c r="G42" s="39">
        <f>SUM(G14,G25,G26,G27,G33,G40,G41)</f>
        <v>54.664670399999991</v>
      </c>
      <c r="H42" s="39">
        <f t="shared" si="2"/>
        <v>4.1849999999999952</v>
      </c>
      <c r="I42" s="40">
        <f t="shared" si="10"/>
        <v>8.2904661754685222E-2</v>
      </c>
      <c r="J42" s="40">
        <f t="shared" si="11"/>
        <v>0.95238095238095233</v>
      </c>
      <c r="K42" s="41"/>
    </row>
    <row r="43" spans="1:11" x14ac:dyDescent="0.2">
      <c r="A43" s="153" t="s">
        <v>102</v>
      </c>
      <c r="B43" s="43"/>
      <c r="C43" s="26">
        <v>0.13</v>
      </c>
      <c r="D43" s="26">
        <f>D42*C43</f>
        <v>6.5623571519999997</v>
      </c>
      <c r="E43" s="26"/>
      <c r="F43" s="26">
        <f>C43</f>
        <v>0.13</v>
      </c>
      <c r="G43" s="26">
        <f>G42*F43</f>
        <v>7.1064071519999992</v>
      </c>
      <c r="H43" s="26">
        <f t="shared" si="2"/>
        <v>0.54404999999999948</v>
      </c>
      <c r="I43" s="44">
        <f t="shared" si="10"/>
        <v>8.2904661754685235E-2</v>
      </c>
      <c r="J43" s="44">
        <f t="shared" si="11"/>
        <v>0.1238095238095238</v>
      </c>
      <c r="K43" s="45"/>
    </row>
    <row r="44" spans="1:11" s="1" customFormat="1" x14ac:dyDescent="0.2">
      <c r="A44" s="46" t="s">
        <v>103</v>
      </c>
      <c r="B44" s="24"/>
      <c r="C44" s="25"/>
      <c r="D44" s="25">
        <f>SUM(D42:D43)</f>
        <v>57.042027551999993</v>
      </c>
      <c r="E44" s="25"/>
      <c r="F44" s="25"/>
      <c r="G44" s="25">
        <f>SUM(G42:G43)</f>
        <v>61.771077551999994</v>
      </c>
      <c r="H44" s="25">
        <f t="shared" si="2"/>
        <v>4.7290500000000009</v>
      </c>
      <c r="I44" s="27">
        <f t="shared" si="10"/>
        <v>8.2904661754685333E-2</v>
      </c>
      <c r="J44" s="27">
        <f t="shared" si="11"/>
        <v>1.0761904761904761</v>
      </c>
      <c r="K44" s="47"/>
    </row>
    <row r="45" spans="1:11" x14ac:dyDescent="0.2">
      <c r="A45" s="42" t="s">
        <v>104</v>
      </c>
      <c r="B45" s="43"/>
      <c r="C45" s="26">
        <v>-0.08</v>
      </c>
      <c r="D45" s="26">
        <f>D42*C45</f>
        <v>-4.0383736319999999</v>
      </c>
      <c r="E45" s="26"/>
      <c r="F45" s="26">
        <f>C45</f>
        <v>-0.08</v>
      </c>
      <c r="G45" s="26">
        <f>G42*F45</f>
        <v>-4.3731736319999994</v>
      </c>
      <c r="H45" s="26">
        <f t="shared" si="2"/>
        <v>-0.33479999999999954</v>
      </c>
      <c r="I45" s="44">
        <f t="shared" si="10"/>
        <v>-8.2904661754685194E-2</v>
      </c>
      <c r="J45" s="44">
        <f t="shared" si="11"/>
        <v>-7.6190476190476183E-2</v>
      </c>
      <c r="K45" s="45"/>
    </row>
    <row r="46" spans="1:11" s="1" customFormat="1" ht="13.5" thickBot="1" x14ac:dyDescent="0.25">
      <c r="A46" s="48" t="s">
        <v>105</v>
      </c>
      <c r="B46" s="49"/>
      <c r="C46" s="50"/>
      <c r="D46" s="50">
        <f>SUM(D44:D45)</f>
        <v>53.003653919999991</v>
      </c>
      <c r="E46" s="50"/>
      <c r="F46" s="50"/>
      <c r="G46" s="50">
        <f>SUM(G44:G45)</f>
        <v>57.397903919999997</v>
      </c>
      <c r="H46" s="50">
        <f t="shared" si="2"/>
        <v>4.3942500000000067</v>
      </c>
      <c r="I46" s="51">
        <f t="shared" si="10"/>
        <v>8.2904661754685444E-2</v>
      </c>
      <c r="J46" s="51">
        <f t="shared" si="11"/>
        <v>1</v>
      </c>
      <c r="K46" s="52"/>
    </row>
    <row r="47" spans="1:11" x14ac:dyDescent="0.2">
      <c r="A47" s="53" t="s">
        <v>106</v>
      </c>
      <c r="B47" s="54"/>
      <c r="C47" s="55"/>
      <c r="D47" s="55">
        <f>SUM(D18,D25,D26,D28,D33,D40,D41)</f>
        <v>50.839574399999997</v>
      </c>
      <c r="E47" s="55"/>
      <c r="F47" s="55"/>
      <c r="G47" s="55">
        <f>SUM(G18,G25,G26,G28,G33,G40,G41)</f>
        <v>55.024574399999992</v>
      </c>
      <c r="H47" s="55">
        <f>G47-D47</f>
        <v>4.1849999999999952</v>
      </c>
      <c r="I47" s="56">
        <f t="shared" si="10"/>
        <v>8.2317762282447346E-2</v>
      </c>
      <c r="J47" s="56"/>
      <c r="K47" s="57">
        <f>G47/$G$51</f>
        <v>0.95238095238095233</v>
      </c>
    </row>
    <row r="48" spans="1:11" x14ac:dyDescent="0.2">
      <c r="A48" s="154" t="s">
        <v>102</v>
      </c>
      <c r="B48" s="59"/>
      <c r="C48" s="31">
        <v>0.13</v>
      </c>
      <c r="D48" s="31">
        <f>D47*C48</f>
        <v>6.6091446719999993</v>
      </c>
      <c r="E48" s="31"/>
      <c r="F48" s="31">
        <f>C48</f>
        <v>0.13</v>
      </c>
      <c r="G48" s="31">
        <f>G47*F48</f>
        <v>7.1531946719999988</v>
      </c>
      <c r="H48" s="31">
        <f>G48-D48</f>
        <v>0.54404999999999948</v>
      </c>
      <c r="I48" s="32">
        <f t="shared" si="10"/>
        <v>8.231776228244736E-2</v>
      </c>
      <c r="J48" s="32"/>
      <c r="K48" s="60">
        <f>G48/$G$51</f>
        <v>0.1238095238095238</v>
      </c>
    </row>
    <row r="49" spans="1:11" x14ac:dyDescent="0.2">
      <c r="A49" s="61" t="s">
        <v>107</v>
      </c>
      <c r="B49" s="29"/>
      <c r="C49" s="30"/>
      <c r="D49" s="30">
        <f>SUM(D47:D48)</f>
        <v>57.448719071999996</v>
      </c>
      <c r="E49" s="30"/>
      <c r="F49" s="30"/>
      <c r="G49" s="30">
        <f>SUM(G47:G48)</f>
        <v>62.17776907199999</v>
      </c>
      <c r="H49" s="30">
        <f>G49-D49</f>
        <v>4.7290499999999938</v>
      </c>
      <c r="I49" s="33">
        <f t="shared" si="10"/>
        <v>8.2317762282447332E-2</v>
      </c>
      <c r="J49" s="33"/>
      <c r="K49" s="62">
        <f>G49/$G$51</f>
        <v>1.0761904761904761</v>
      </c>
    </row>
    <row r="50" spans="1:11" x14ac:dyDescent="0.2">
      <c r="A50" s="58" t="s">
        <v>104</v>
      </c>
      <c r="B50" s="59"/>
      <c r="C50" s="31">
        <v>-0.08</v>
      </c>
      <c r="D50" s="31">
        <f>D47*C50</f>
        <v>-4.0671659519999999</v>
      </c>
      <c r="E50" s="31"/>
      <c r="F50" s="31">
        <f>C50</f>
        <v>-0.08</v>
      </c>
      <c r="G50" s="31">
        <f>G47*F50</f>
        <v>-4.4019659519999994</v>
      </c>
      <c r="H50" s="31">
        <f>G50-D50</f>
        <v>-0.33479999999999954</v>
      </c>
      <c r="I50" s="32">
        <f t="shared" si="10"/>
        <v>-8.2317762282447318E-2</v>
      </c>
      <c r="J50" s="32"/>
      <c r="K50" s="60">
        <f>G50/$G$51</f>
        <v>-7.6190476190476197E-2</v>
      </c>
    </row>
    <row r="51" spans="1:11" ht="13.5" thickBot="1" x14ac:dyDescent="0.25">
      <c r="A51" s="63" t="s">
        <v>116</v>
      </c>
      <c r="B51" s="64"/>
      <c r="C51" s="65"/>
      <c r="D51" s="65">
        <f>SUM(D49:D50)</f>
        <v>53.381553119999992</v>
      </c>
      <c r="E51" s="65"/>
      <c r="F51" s="65"/>
      <c r="G51" s="65">
        <f>SUM(G49:G50)</f>
        <v>57.775803119999992</v>
      </c>
      <c r="H51" s="65">
        <f>G51-D51</f>
        <v>4.3942499999999995</v>
      </c>
      <c r="I51" s="66">
        <f t="shared" si="10"/>
        <v>8.2317762282447429E-2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120</v>
      </c>
      <c r="B1" s="186"/>
      <c r="C1" s="186"/>
      <c r="D1" s="186"/>
      <c r="E1" s="186"/>
      <c r="F1" s="186"/>
      <c r="G1" s="186"/>
      <c r="H1" s="186"/>
      <c r="I1" s="186"/>
      <c r="J1" s="186"/>
      <c r="K1" s="187"/>
    </row>
    <row r="3" spans="1:11" x14ac:dyDescent="0.2">
      <c r="A3" s="13" t="s">
        <v>13</v>
      </c>
      <c r="B3" s="13" t="s">
        <v>3</v>
      </c>
    </row>
    <row r="4" spans="1:11" x14ac:dyDescent="0.2">
      <c r="A4" s="15" t="s">
        <v>62</v>
      </c>
      <c r="B4" s="15">
        <f>VLOOKUP(B3,'Data for Bill Impacts'!A22:D34,3,FALSE)</f>
        <v>352</v>
      </c>
    </row>
    <row r="5" spans="1:11" x14ac:dyDescent="0.2">
      <c r="A5" s="15" t="s">
        <v>16</v>
      </c>
      <c r="B5" s="15">
        <f>VLOOKUP($B$3,'Data for Bill Impacts'!$A$6:$Y$18,5,0)</f>
        <v>0</v>
      </c>
    </row>
    <row r="6" spans="1:11" x14ac:dyDescent="0.2">
      <c r="A6" s="15" t="s">
        <v>20</v>
      </c>
      <c r="B6" s="15">
        <f>VLOOKUP($B$3,'Data for Bill Impacts'!$A$6:$Y$18,2,0)</f>
        <v>1.1040000000000001</v>
      </c>
    </row>
    <row r="7" spans="1:11" x14ac:dyDescent="0.2">
      <c r="A7" s="15" t="s">
        <v>15</v>
      </c>
      <c r="B7" s="15">
        <f>VLOOKUP($B$3,'Data for Bill Impacts'!$A$6:$Y$18,4,0)</f>
        <v>600</v>
      </c>
    </row>
    <row r="8" spans="1:11" x14ac:dyDescent="0.2">
      <c r="A8" s="15" t="s">
        <v>82</v>
      </c>
      <c r="B8" s="15">
        <f>B4*B6</f>
        <v>388.60800000000006</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9.0999999999999998E-2</v>
      </c>
      <c r="D12" s="104">
        <f>B12*C12</f>
        <v>32.031999999999996</v>
      </c>
      <c r="E12" s="102">
        <f>B12</f>
        <v>352</v>
      </c>
      <c r="F12" s="103">
        <f>C12</f>
        <v>9.0999999999999998E-2</v>
      </c>
      <c r="G12" s="104">
        <f>E12*F12</f>
        <v>32.031999999999996</v>
      </c>
      <c r="H12" s="104">
        <f>G12-D12</f>
        <v>0</v>
      </c>
      <c r="I12" s="105">
        <f t="shared" ref="I12:I18" si="0">IF(ISERROR(H12/ABS(D12)),"N/A",(H12/ABS(D12)))</f>
        <v>0</v>
      </c>
      <c r="J12" s="105">
        <f>G12/$G$46</f>
        <v>0.28685979154289715</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32.031999999999996</v>
      </c>
      <c r="E14" s="76"/>
      <c r="F14" s="25"/>
      <c r="G14" s="25">
        <f>SUM(G12:G13)</f>
        <v>32.031999999999996</v>
      </c>
      <c r="H14" s="25">
        <f t="shared" si="2"/>
        <v>0</v>
      </c>
      <c r="I14" s="27">
        <f t="shared" si="0"/>
        <v>0</v>
      </c>
      <c r="J14" s="27">
        <f>G14/$G$46</f>
        <v>0.28685979154289715</v>
      </c>
      <c r="K14" s="108"/>
    </row>
    <row r="15" spans="1:11" s="1" customFormat="1" x14ac:dyDescent="0.2">
      <c r="A15" s="109" t="s">
        <v>34</v>
      </c>
      <c r="B15" s="75">
        <f>B4*0.65</f>
        <v>228.8</v>
      </c>
      <c r="C15" s="28">
        <v>7.6999999999999999E-2</v>
      </c>
      <c r="D15" s="22">
        <f>B15*C15</f>
        <v>17.617599999999999</v>
      </c>
      <c r="E15" s="73">
        <f t="shared" ref="E15:F17" si="3">B15</f>
        <v>228.8</v>
      </c>
      <c r="F15" s="28">
        <f t="shared" si="3"/>
        <v>7.6999999999999999E-2</v>
      </c>
      <c r="G15" s="22">
        <f>E15*F15</f>
        <v>17.617599999999999</v>
      </c>
      <c r="H15" s="22">
        <f t="shared" si="2"/>
        <v>0</v>
      </c>
      <c r="I15" s="23">
        <f t="shared" si="0"/>
        <v>0</v>
      </c>
      <c r="J15" s="23"/>
      <c r="K15" s="108">
        <f t="shared" ref="K15:K26" si="4">G15/$G$51</f>
        <v>0.15410140793371008</v>
      </c>
    </row>
    <row r="16" spans="1:11" s="1" customFormat="1" x14ac:dyDescent="0.2">
      <c r="A16" s="109" t="s">
        <v>35</v>
      </c>
      <c r="B16" s="75">
        <f>B4*0.17</f>
        <v>59.84</v>
      </c>
      <c r="C16" s="28">
        <v>0.113</v>
      </c>
      <c r="D16" s="22">
        <f>B16*C16</f>
        <v>6.7619200000000008</v>
      </c>
      <c r="E16" s="73">
        <f t="shared" si="3"/>
        <v>59.84</v>
      </c>
      <c r="F16" s="28">
        <f t="shared" si="3"/>
        <v>0.113</v>
      </c>
      <c r="G16" s="22">
        <f>E16*F16</f>
        <v>6.7619200000000008</v>
      </c>
      <c r="H16" s="22">
        <f t="shared" si="2"/>
        <v>0</v>
      </c>
      <c r="I16" s="23">
        <f t="shared" si="0"/>
        <v>0</v>
      </c>
      <c r="J16" s="23"/>
      <c r="K16" s="108">
        <f t="shared" si="4"/>
        <v>5.9146614313817604E-2</v>
      </c>
    </row>
    <row r="17" spans="1:11" s="1" customFormat="1" x14ac:dyDescent="0.2">
      <c r="A17" s="109" t="s">
        <v>36</v>
      </c>
      <c r="B17" s="75">
        <f>B4*0.18</f>
        <v>63.36</v>
      </c>
      <c r="C17" s="28">
        <v>0.157</v>
      </c>
      <c r="D17" s="22">
        <f>B17*C17</f>
        <v>9.9475200000000008</v>
      </c>
      <c r="E17" s="73">
        <f t="shared" si="3"/>
        <v>63.36</v>
      </c>
      <c r="F17" s="28">
        <f t="shared" si="3"/>
        <v>0.157</v>
      </c>
      <c r="G17" s="22">
        <f>E17*F17</f>
        <v>9.9475200000000008</v>
      </c>
      <c r="H17" s="22">
        <f t="shared" si="2"/>
        <v>0</v>
      </c>
      <c r="I17" s="23">
        <f t="shared" si="0"/>
        <v>0</v>
      </c>
      <c r="J17" s="23"/>
      <c r="K17" s="108">
        <f t="shared" si="4"/>
        <v>8.7011104659473468E-2</v>
      </c>
    </row>
    <row r="18" spans="1:11" s="1" customFormat="1" x14ac:dyDescent="0.2">
      <c r="A18" s="61" t="s">
        <v>37</v>
      </c>
      <c r="B18" s="29"/>
      <c r="C18" s="30"/>
      <c r="D18" s="30">
        <f>SUM(D15:D17)</f>
        <v>34.327039999999997</v>
      </c>
      <c r="E18" s="77"/>
      <c r="F18" s="30"/>
      <c r="G18" s="30">
        <f>SUM(G15:G17)</f>
        <v>34.327039999999997</v>
      </c>
      <c r="H18" s="31">
        <f t="shared" si="2"/>
        <v>0</v>
      </c>
      <c r="I18" s="32">
        <f t="shared" si="0"/>
        <v>0</v>
      </c>
      <c r="J18" s="33">
        <f t="shared" ref="J18:J26" si="5">G18/$G$46</f>
        <v>0.30741282276113552</v>
      </c>
      <c r="K18" s="62">
        <f t="shared" si="4"/>
        <v>0.30025912690700113</v>
      </c>
    </row>
    <row r="19" spans="1:11" x14ac:dyDescent="0.2">
      <c r="A19" s="107" t="s">
        <v>38</v>
      </c>
      <c r="B19" s="73">
        <v>1</v>
      </c>
      <c r="C19" s="78">
        <f>VLOOKUP($B$3,'Data for Bill Impacts'!$A$6:$Y$18,7,0)</f>
        <v>40.520000000000003</v>
      </c>
      <c r="D19" s="22">
        <f>B19*C19</f>
        <v>40.520000000000003</v>
      </c>
      <c r="E19" s="73">
        <f t="shared" ref="E19:E41" si="6">B19</f>
        <v>1</v>
      </c>
      <c r="F19" s="78">
        <f>VLOOKUP($B$3,'Data for Bill Impacts'!$A$6:$Y$18,17,0)</f>
        <v>45.07</v>
      </c>
      <c r="G19" s="22">
        <f>E19*F19</f>
        <v>45.07</v>
      </c>
      <c r="H19" s="22">
        <f t="shared" si="2"/>
        <v>4.5499999999999972</v>
      </c>
      <c r="I19" s="23">
        <f>IF(ISERROR(H19/ABS(D19)),"N/A",(H19/ABS(D19)))</f>
        <v>0.11229022704837109</v>
      </c>
      <c r="J19" s="23">
        <f t="shared" si="5"/>
        <v>0.40362046718401523</v>
      </c>
      <c r="K19" s="108">
        <f t="shared" si="4"/>
        <v>0.39422795701868091</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-2E-3</v>
      </c>
      <c r="D22" s="22">
        <f t="shared" si="9"/>
        <v>-2E-3</v>
      </c>
      <c r="E22" s="73">
        <f t="shared" si="6"/>
        <v>1</v>
      </c>
      <c r="F22" s="121">
        <f>VLOOKUP($B$3,'Data for Bill Impacts'!$A$6:$Y$18,22,0)</f>
        <v>-2E-3</v>
      </c>
      <c r="G22" s="22">
        <f t="shared" si="7"/>
        <v>-2E-3</v>
      </c>
      <c r="H22" s="22">
        <f t="shared" si="2"/>
        <v>0</v>
      </c>
      <c r="I22" s="23">
        <f t="shared" ref="I22:I51" si="10">IF(ISERROR(H22/ABS(D22)),"N/A",(H22/ABS(D22)))</f>
        <v>0</v>
      </c>
      <c r="J22" s="23">
        <f t="shared" si="5"/>
        <v>-1.7910826145285791E-5</v>
      </c>
      <c r="K22" s="108">
        <f t="shared" si="4"/>
        <v>-1.7494029599231458E-5</v>
      </c>
    </row>
    <row r="23" spans="1:11" x14ac:dyDescent="0.2">
      <c r="A23" s="107" t="s">
        <v>39</v>
      </c>
      <c r="B23" s="73">
        <f>IF($B$9="kWh",$B$4,$B$5)</f>
        <v>352</v>
      </c>
      <c r="C23" s="78">
        <f>VLOOKUP($B$3,'Data for Bill Impacts'!$A$6:$Y$18,10,0)</f>
        <v>6.0100000000000001E-2</v>
      </c>
      <c r="D23" s="22">
        <f>B23*C23</f>
        <v>21.155200000000001</v>
      </c>
      <c r="E23" s="73">
        <f t="shared" si="6"/>
        <v>352</v>
      </c>
      <c r="F23" s="125">
        <f>VLOOKUP($B$3,'Data for Bill Impacts'!$A$6:$Y$18,19,0)</f>
        <v>5.28E-2</v>
      </c>
      <c r="G23" s="22">
        <f>E23*F23</f>
        <v>18.585599999999999</v>
      </c>
      <c r="H23" s="22">
        <f t="shared" si="2"/>
        <v>-2.5696000000000012</v>
      </c>
      <c r="I23" s="23">
        <f t="shared" si="10"/>
        <v>-0.12146422628951753</v>
      </c>
      <c r="J23" s="23">
        <f t="shared" si="5"/>
        <v>0.16644172520291178</v>
      </c>
      <c r="K23" s="108">
        <f t="shared" si="4"/>
        <v>0.16256851825973809</v>
      </c>
    </row>
    <row r="24" spans="1:11" x14ac:dyDescent="0.2">
      <c r="A24" s="107" t="s">
        <v>122</v>
      </c>
      <c r="B24" s="73">
        <f>IF($B$9="kWh",$B$4,$B$5)</f>
        <v>352</v>
      </c>
      <c r="C24" s="125">
        <f>VLOOKUP($B$3,'Data for Bill Impacts'!$A$6:$Y$18,14,0)</f>
        <v>1.0000000000000003E-5</v>
      </c>
      <c r="D24" s="22">
        <f>B24*C24</f>
        <v>3.520000000000001E-3</v>
      </c>
      <c r="E24" s="73">
        <f>B24</f>
        <v>352</v>
      </c>
      <c r="F24" s="125">
        <f>VLOOKUP($B$3,'Data for Bill Impacts'!$A$6:$Y$18,23,0)</f>
        <v>1.0000000000000003E-5</v>
      </c>
      <c r="G24" s="22">
        <f>E24*F24</f>
        <v>3.520000000000001E-3</v>
      </c>
      <c r="H24" s="22">
        <f>G24-D24</f>
        <v>0</v>
      </c>
      <c r="I24" s="23">
        <f t="shared" si="10"/>
        <v>0</v>
      </c>
      <c r="J24" s="23">
        <f t="shared" si="5"/>
        <v>3.1523054015702999E-5</v>
      </c>
      <c r="K24" s="108">
        <f t="shared" si="4"/>
        <v>3.0789492094647379E-5</v>
      </c>
    </row>
    <row r="25" spans="1:11" s="1" customFormat="1" x14ac:dyDescent="0.2">
      <c r="A25" s="110" t="s">
        <v>72</v>
      </c>
      <c r="B25" s="74"/>
      <c r="C25" s="35"/>
      <c r="D25" s="35">
        <f>SUM(D19:D24)</f>
        <v>61.676720000000003</v>
      </c>
      <c r="E25" s="73"/>
      <c r="F25" s="35"/>
      <c r="G25" s="35">
        <f>SUM(G19:G24)</f>
        <v>63.657119999999999</v>
      </c>
      <c r="H25" s="35">
        <f t="shared" si="2"/>
        <v>1.9803999999999959</v>
      </c>
      <c r="I25" s="36">
        <f t="shared" si="10"/>
        <v>3.2109359901110107E-2</v>
      </c>
      <c r="J25" s="36">
        <f t="shared" si="5"/>
        <v>0.57007580461479745</v>
      </c>
      <c r="K25" s="111">
        <f t="shared" si="4"/>
        <v>0.55680977074091442</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7.0747763273878873E-3</v>
      </c>
      <c r="K26" s="108">
        <f t="shared" si="4"/>
        <v>6.9101416916964266E-3</v>
      </c>
    </row>
    <row r="27" spans="1:11" s="1" customFormat="1" x14ac:dyDescent="0.2">
      <c r="A27" s="119" t="s">
        <v>75</v>
      </c>
      <c r="B27" s="120">
        <f>B8-B4</f>
        <v>36.608000000000061</v>
      </c>
      <c r="C27" s="170">
        <f>IF(B4&gt;B7,C13,C12)</f>
        <v>9.0999999999999998E-2</v>
      </c>
      <c r="D27" s="22">
        <f>B27*C27</f>
        <v>3.3313280000000054</v>
      </c>
      <c r="E27" s="73">
        <f>B27</f>
        <v>36.608000000000061</v>
      </c>
      <c r="F27" s="170">
        <f>C27</f>
        <v>9.0999999999999998E-2</v>
      </c>
      <c r="G27" s="22">
        <f>E27*F27</f>
        <v>3.3313280000000054</v>
      </c>
      <c r="H27" s="22">
        <f t="shared" si="2"/>
        <v>0</v>
      </c>
      <c r="I27" s="23">
        <f t="shared" si="10"/>
        <v>0</v>
      </c>
      <c r="J27" s="23">
        <f t="shared" ref="J27:J46" si="11">G27/$G$46</f>
        <v>2.9833418320461356E-2</v>
      </c>
      <c r="K27" s="108">
        <f t="shared" ref="K27:K41" si="12">G27/$G$51</f>
        <v>2.9139175318374316E-2</v>
      </c>
    </row>
    <row r="28" spans="1:11" s="1" customFormat="1" x14ac:dyDescent="0.2">
      <c r="A28" s="119" t="s">
        <v>74</v>
      </c>
      <c r="B28" s="120">
        <f>B8-B4</f>
        <v>36.608000000000061</v>
      </c>
      <c r="C28" s="170">
        <f>0.65*C15+0.17*C16+0.18*C17</f>
        <v>9.7519999999999996E-2</v>
      </c>
      <c r="D28" s="22">
        <f>B28*C28</f>
        <v>3.5700121600000059</v>
      </c>
      <c r="E28" s="73">
        <f>B28</f>
        <v>36.608000000000061</v>
      </c>
      <c r="F28" s="170">
        <f>C28</f>
        <v>9.7519999999999996E-2</v>
      </c>
      <c r="G28" s="22">
        <f>E28*F28</f>
        <v>3.5700121600000059</v>
      </c>
      <c r="H28" s="22">
        <f t="shared" si="2"/>
        <v>0</v>
      </c>
      <c r="I28" s="23">
        <f t="shared" si="10"/>
        <v>0</v>
      </c>
      <c r="J28" s="23">
        <f t="shared" si="11"/>
        <v>3.1970933567158147E-2</v>
      </c>
      <c r="K28" s="108">
        <f t="shared" si="12"/>
        <v>3.122694919832817E-2</v>
      </c>
    </row>
    <row r="29" spans="1:11" s="1" customFormat="1" x14ac:dyDescent="0.2">
      <c r="A29" s="110" t="s">
        <v>78</v>
      </c>
      <c r="B29" s="74"/>
      <c r="C29" s="35"/>
      <c r="D29" s="35">
        <f>SUM(D25,D26:D27)</f>
        <v>65.798048000000009</v>
      </c>
      <c r="E29" s="73"/>
      <c r="F29" s="35"/>
      <c r="G29" s="35">
        <f>SUM(G25,G26:G27)</f>
        <v>67.778447999999997</v>
      </c>
      <c r="H29" s="35">
        <f t="shared" si="2"/>
        <v>1.9803999999999888</v>
      </c>
      <c r="I29" s="36">
        <f t="shared" si="10"/>
        <v>3.0098157319195677E-2</v>
      </c>
      <c r="J29" s="36">
        <f t="shared" si="11"/>
        <v>0.60698399926264668</v>
      </c>
      <c r="K29" s="111">
        <f t="shared" si="12"/>
        <v>0.59285908775098517</v>
      </c>
    </row>
    <row r="30" spans="1:11" s="1" customFormat="1" x14ac:dyDescent="0.2">
      <c r="A30" s="110" t="s">
        <v>77</v>
      </c>
      <c r="B30" s="74"/>
      <c r="C30" s="35"/>
      <c r="D30" s="35">
        <f>SUM(D25,D26,D28)</f>
        <v>66.036732160000014</v>
      </c>
      <c r="E30" s="73"/>
      <c r="F30" s="35"/>
      <c r="G30" s="35">
        <f>SUM(G25,G26,G28)</f>
        <v>68.017132160000003</v>
      </c>
      <c r="H30" s="35">
        <f t="shared" si="2"/>
        <v>1.9803999999999888</v>
      </c>
      <c r="I30" s="36">
        <f t="shared" si="10"/>
        <v>2.9989370085753021E-2</v>
      </c>
      <c r="J30" s="36">
        <f t="shared" si="11"/>
        <v>0.60912151450934349</v>
      </c>
      <c r="K30" s="111">
        <f t="shared" si="12"/>
        <v>0.59494686163093902</v>
      </c>
    </row>
    <row r="31" spans="1:11" x14ac:dyDescent="0.2">
      <c r="A31" s="107" t="s">
        <v>40</v>
      </c>
      <c r="B31" s="73">
        <f>B8</f>
        <v>388.60800000000006</v>
      </c>
      <c r="C31" s="125">
        <f>VLOOKUP($B$3,'Data for Bill Impacts'!$A$6:$Y$18,15,0)</f>
        <v>5.6559999999999996E-3</v>
      </c>
      <c r="D31" s="22">
        <f>B31*C31</f>
        <v>2.1979668480000001</v>
      </c>
      <c r="E31" s="73">
        <f t="shared" si="6"/>
        <v>388.60800000000006</v>
      </c>
      <c r="F31" s="125">
        <f>VLOOKUP($B$3,'Data for Bill Impacts'!$A$6:$Y$18,24,0)</f>
        <v>5.6559999999999996E-3</v>
      </c>
      <c r="G31" s="22">
        <f>E31*F31</f>
        <v>2.1979668480000001</v>
      </c>
      <c r="H31" s="22">
        <f t="shared" si="2"/>
        <v>0</v>
      </c>
      <c r="I31" s="23">
        <f t="shared" si="10"/>
        <v>0</v>
      </c>
      <c r="J31" s="23">
        <f t="shared" si="11"/>
        <v>1.9683701043814898E-2</v>
      </c>
      <c r="K31" s="108">
        <f t="shared" si="12"/>
        <v>1.9225648548520737E-2</v>
      </c>
    </row>
    <row r="32" spans="1:11" x14ac:dyDescent="0.2">
      <c r="A32" s="107" t="s">
        <v>41</v>
      </c>
      <c r="B32" s="73">
        <f>B8</f>
        <v>388.60800000000006</v>
      </c>
      <c r="C32" s="125">
        <f>VLOOKUP($B$3,'Data for Bill Impacts'!$A$6:$Y$18,16,0)</f>
        <v>4.8209999999999998E-3</v>
      </c>
      <c r="D32" s="22">
        <f>B32*C32</f>
        <v>1.8734791680000003</v>
      </c>
      <c r="E32" s="73">
        <f t="shared" si="6"/>
        <v>388.60800000000006</v>
      </c>
      <c r="F32" s="125">
        <f>VLOOKUP($B$3,'Data for Bill Impacts'!$A$6:$Y$18,25,0)</f>
        <v>4.8209999999999998E-3</v>
      </c>
      <c r="G32" s="22">
        <f>E32*F32</f>
        <v>1.8734791680000003</v>
      </c>
      <c r="H32" s="22">
        <f t="shared" si="2"/>
        <v>0</v>
      </c>
      <c r="I32" s="23">
        <f t="shared" si="10"/>
        <v>0</v>
      </c>
      <c r="J32" s="23">
        <f t="shared" si="11"/>
        <v>1.6777779832431335E-2</v>
      </c>
      <c r="K32" s="108">
        <f t="shared" si="12"/>
        <v>1.6387350009267766E-2</v>
      </c>
    </row>
    <row r="33" spans="1:11" s="1" customFormat="1" x14ac:dyDescent="0.2">
      <c r="A33" s="110" t="s">
        <v>76</v>
      </c>
      <c r="B33" s="74"/>
      <c r="C33" s="35"/>
      <c r="D33" s="35">
        <f>SUM(D31:D32)</f>
        <v>4.0714460160000003</v>
      </c>
      <c r="E33" s="73"/>
      <c r="F33" s="35"/>
      <c r="G33" s="35">
        <f>SUM(G31:G32)</f>
        <v>4.0714460160000003</v>
      </c>
      <c r="H33" s="35">
        <f t="shared" si="2"/>
        <v>0</v>
      </c>
      <c r="I33" s="36">
        <f t="shared" si="10"/>
        <v>0</v>
      </c>
      <c r="J33" s="36">
        <f t="shared" si="11"/>
        <v>3.6461480876246233E-2</v>
      </c>
      <c r="K33" s="111">
        <f t="shared" si="12"/>
        <v>3.5612998557788503E-2</v>
      </c>
    </row>
    <row r="34" spans="1:11" s="1" customFormat="1" x14ac:dyDescent="0.2">
      <c r="A34" s="110" t="s">
        <v>91</v>
      </c>
      <c r="B34" s="74"/>
      <c r="C34" s="35"/>
      <c r="D34" s="35">
        <f>D29+D33</f>
        <v>69.869494016000004</v>
      </c>
      <c r="E34" s="73"/>
      <c r="F34" s="35"/>
      <c r="G34" s="35">
        <f>G29+G33</f>
        <v>71.849894015999993</v>
      </c>
      <c r="H34" s="35">
        <f t="shared" si="2"/>
        <v>1.9803999999999888</v>
      </c>
      <c r="I34" s="36">
        <f t="shared" si="10"/>
        <v>2.8344272817354028E-2</v>
      </c>
      <c r="J34" s="36">
        <f t="shared" si="11"/>
        <v>0.6434454801388928</v>
      </c>
      <c r="K34" s="111">
        <f t="shared" si="12"/>
        <v>0.6284720863087736</v>
      </c>
    </row>
    <row r="35" spans="1:11" s="1" customFormat="1" x14ac:dyDescent="0.2">
      <c r="A35" s="110" t="s">
        <v>92</v>
      </c>
      <c r="B35" s="74"/>
      <c r="C35" s="35"/>
      <c r="D35" s="35">
        <f>D30+D33</f>
        <v>70.10817817600001</v>
      </c>
      <c r="E35" s="73"/>
      <c r="F35" s="35"/>
      <c r="G35" s="35">
        <f>G30+G33</f>
        <v>72.088578175999999</v>
      </c>
      <c r="H35" s="35">
        <f t="shared" si="2"/>
        <v>1.9803999999999888</v>
      </c>
      <c r="I35" s="36">
        <f t="shared" si="10"/>
        <v>2.8247774389863336E-2</v>
      </c>
      <c r="J35" s="36">
        <f t="shared" si="11"/>
        <v>0.64558299538558961</v>
      </c>
      <c r="K35" s="111">
        <f t="shared" si="12"/>
        <v>0.63055986018872745</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2"/>
        <v>0</v>
      </c>
      <c r="I36" s="23">
        <f t="shared" si="10"/>
        <v>0</v>
      </c>
      <c r="J36" s="23">
        <f t="shared" si="11"/>
        <v>1.2528522588000997E-2</v>
      </c>
      <c r="K36" s="108">
        <f t="shared" si="12"/>
        <v>1.223697573809665E-2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10"/>
        <v>0</v>
      </c>
      <c r="J37" s="23">
        <f t="shared" si="11"/>
        <v>7.3083048430005815E-3</v>
      </c>
      <c r="K37" s="108">
        <f t="shared" si="12"/>
        <v>7.1382358472230458E-3</v>
      </c>
    </row>
    <row r="38" spans="1:11" x14ac:dyDescent="0.2">
      <c r="A38" s="107" t="s">
        <v>96</v>
      </c>
      <c r="B38" s="73">
        <f>B8</f>
        <v>388.60800000000006</v>
      </c>
      <c r="C38" s="34">
        <v>0</v>
      </c>
      <c r="D38" s="22">
        <f>B38*C38</f>
        <v>0</v>
      </c>
      <c r="E38" s="73">
        <f t="shared" si="6"/>
        <v>388.60800000000006</v>
      </c>
      <c r="F38" s="34">
        <v>0</v>
      </c>
      <c r="G38" s="22">
        <f>E38*F38</f>
        <v>0</v>
      </c>
      <c r="H38" s="22">
        <f>G38-D38</f>
        <v>0</v>
      </c>
      <c r="I38" s="23" t="str">
        <f t="shared" si="10"/>
        <v>N/A</v>
      </c>
      <c r="J38" s="23">
        <f t="shared" si="11"/>
        <v>0</v>
      </c>
      <c r="K38" s="108">
        <f t="shared" si="12"/>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2.2388532681607235E-3</v>
      </c>
      <c r="K39" s="108">
        <f t="shared" si="12"/>
        <v>2.1867536999039322E-3</v>
      </c>
    </row>
    <row r="40" spans="1:11" s="1" customFormat="1" x14ac:dyDescent="0.2">
      <c r="A40" s="110" t="s">
        <v>45</v>
      </c>
      <c r="B40" s="74"/>
      <c r="C40" s="35"/>
      <c r="D40" s="35">
        <f>SUM(D36:D39)</f>
        <v>2.4650656</v>
      </c>
      <c r="E40" s="73"/>
      <c r="F40" s="35"/>
      <c r="G40" s="35">
        <f>SUM(G36:G39)</f>
        <v>2.4650656</v>
      </c>
      <c r="H40" s="35">
        <f t="shared" si="2"/>
        <v>0</v>
      </c>
      <c r="I40" s="36">
        <f t="shared" si="10"/>
        <v>0</v>
      </c>
      <c r="J40" s="36">
        <f t="shared" si="11"/>
        <v>2.2075680699162301E-2</v>
      </c>
      <c r="K40" s="111">
        <f t="shared" si="12"/>
        <v>2.1561965285223628E-2</v>
      </c>
    </row>
    <row r="41" spans="1:11" s="1" customFormat="1" ht="13.5" thickBot="1" x14ac:dyDescent="0.25">
      <c r="A41" s="112" t="s">
        <v>46</v>
      </c>
      <c r="B41" s="113">
        <f>B4</f>
        <v>352</v>
      </c>
      <c r="C41" s="114">
        <v>0</v>
      </c>
      <c r="D41" s="115">
        <f>B41*C41</f>
        <v>0</v>
      </c>
      <c r="E41" s="116">
        <f t="shared" si="6"/>
        <v>352</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104.366559616</v>
      </c>
      <c r="E42" s="38"/>
      <c r="F42" s="39"/>
      <c r="G42" s="39">
        <f>SUM(G14,G25,G26,G27,G33,G40,G41)</f>
        <v>106.34695961600001</v>
      </c>
      <c r="H42" s="39">
        <f t="shared" si="2"/>
        <v>1.980400000000003</v>
      </c>
      <c r="I42" s="40">
        <f t="shared" si="10"/>
        <v>1.8975426681559368E-2</v>
      </c>
      <c r="J42" s="40">
        <f t="shared" si="11"/>
        <v>0.95238095238095244</v>
      </c>
      <c r="K42" s="41"/>
    </row>
    <row r="43" spans="1:11" x14ac:dyDescent="0.2">
      <c r="A43" s="153" t="s">
        <v>102</v>
      </c>
      <c r="B43" s="43"/>
      <c r="C43" s="26">
        <v>0.13</v>
      </c>
      <c r="D43" s="26">
        <f>D42*C43</f>
        <v>13.567652750080001</v>
      </c>
      <c r="E43" s="26"/>
      <c r="F43" s="26">
        <f>C43</f>
        <v>0.13</v>
      </c>
      <c r="G43" s="26">
        <f>G42*F43</f>
        <v>13.825104750080001</v>
      </c>
      <c r="H43" s="26">
        <f t="shared" si="2"/>
        <v>0.25745200000000068</v>
      </c>
      <c r="I43" s="44">
        <f t="shared" si="10"/>
        <v>1.8975426681559389E-2</v>
      </c>
      <c r="J43" s="44">
        <f t="shared" si="11"/>
        <v>0.12380952380952381</v>
      </c>
      <c r="K43" s="45"/>
    </row>
    <row r="44" spans="1:11" s="1" customFormat="1" x14ac:dyDescent="0.2">
      <c r="A44" s="46" t="s">
        <v>103</v>
      </c>
      <c r="B44" s="24"/>
      <c r="C44" s="25"/>
      <c r="D44" s="25">
        <f>SUM(D42:D43)</f>
        <v>117.93421236608</v>
      </c>
      <c r="E44" s="25"/>
      <c r="F44" s="25"/>
      <c r="G44" s="25">
        <f>SUM(G42:G43)</f>
        <v>120.17206436608001</v>
      </c>
      <c r="H44" s="25">
        <f t="shared" si="2"/>
        <v>2.2378520000000037</v>
      </c>
      <c r="I44" s="27">
        <f t="shared" si="10"/>
        <v>1.8975426681559372E-2</v>
      </c>
      <c r="J44" s="27">
        <f t="shared" si="11"/>
        <v>1.0761904761904764</v>
      </c>
      <c r="K44" s="47"/>
    </row>
    <row r="45" spans="1:11" x14ac:dyDescent="0.2">
      <c r="A45" s="42" t="s">
        <v>104</v>
      </c>
      <c r="B45" s="43"/>
      <c r="C45" s="26">
        <v>-0.08</v>
      </c>
      <c r="D45" s="26">
        <f>D42*C45</f>
        <v>-8.3493247692800008</v>
      </c>
      <c r="E45" s="26"/>
      <c r="F45" s="26">
        <f>C45</f>
        <v>-0.08</v>
      </c>
      <c r="G45" s="26">
        <f>G42*F45</f>
        <v>-8.5077567692800002</v>
      </c>
      <c r="H45" s="26">
        <f t="shared" si="2"/>
        <v>-0.15843199999999946</v>
      </c>
      <c r="I45" s="44">
        <f t="shared" si="10"/>
        <v>-1.8975426681559274E-2</v>
      </c>
      <c r="J45" s="44">
        <f t="shared" si="11"/>
        <v>-7.6190476190476197E-2</v>
      </c>
      <c r="K45" s="45"/>
    </row>
    <row r="46" spans="1:11" s="1" customFormat="1" ht="13.5" thickBot="1" x14ac:dyDescent="0.25">
      <c r="A46" s="48" t="s">
        <v>105</v>
      </c>
      <c r="B46" s="49"/>
      <c r="C46" s="50"/>
      <c r="D46" s="50">
        <f>SUM(D44:D45)</f>
        <v>109.5848875968</v>
      </c>
      <c r="E46" s="50"/>
      <c r="F46" s="50"/>
      <c r="G46" s="50">
        <f>SUM(G44:G45)</f>
        <v>111.6643075968</v>
      </c>
      <c r="H46" s="50">
        <f t="shared" si="2"/>
        <v>2.0794199999999989</v>
      </c>
      <c r="I46" s="51">
        <f t="shared" si="10"/>
        <v>1.897542668155933E-2</v>
      </c>
      <c r="J46" s="51">
        <f t="shared" si="11"/>
        <v>1</v>
      </c>
      <c r="K46" s="52"/>
    </row>
    <row r="47" spans="1:11" x14ac:dyDescent="0.2">
      <c r="A47" s="53" t="s">
        <v>106</v>
      </c>
      <c r="B47" s="54"/>
      <c r="C47" s="55"/>
      <c r="D47" s="55">
        <f>SUM(D18,D25,D26,D28,D33,D40,D41)</f>
        <v>106.90028377600001</v>
      </c>
      <c r="E47" s="55"/>
      <c r="F47" s="55"/>
      <c r="G47" s="55">
        <f>SUM(G18,G25,G26,G28,G33,G40,G41)</f>
        <v>108.88068377600001</v>
      </c>
      <c r="H47" s="55">
        <f>G47-D47</f>
        <v>1.980400000000003</v>
      </c>
      <c r="I47" s="56">
        <f t="shared" si="10"/>
        <v>1.8525675798482952E-2</v>
      </c>
      <c r="J47" s="56"/>
      <c r="K47" s="57">
        <f>G47/$G$51</f>
        <v>0.95238095238095233</v>
      </c>
    </row>
    <row r="48" spans="1:11" x14ac:dyDescent="0.2">
      <c r="A48" s="58" t="s">
        <v>102</v>
      </c>
      <c r="B48" s="59"/>
      <c r="C48" s="31">
        <v>0.13</v>
      </c>
      <c r="D48" s="31">
        <f>D47*C48</f>
        <v>13.897036890880001</v>
      </c>
      <c r="E48" s="31"/>
      <c r="F48" s="31">
        <f>C48</f>
        <v>0.13</v>
      </c>
      <c r="G48" s="31">
        <f>G47*F48</f>
        <v>14.154488890880002</v>
      </c>
      <c r="H48" s="31">
        <f>G48-D48</f>
        <v>0.25745200000000068</v>
      </c>
      <c r="I48" s="32">
        <f t="shared" si="10"/>
        <v>1.8525675798482973E-2</v>
      </c>
      <c r="J48" s="32"/>
      <c r="K48" s="60">
        <f>G48/$G$51</f>
        <v>0.1238095238095238</v>
      </c>
    </row>
    <row r="49" spans="1:11" x14ac:dyDescent="0.2">
      <c r="A49" s="61" t="s">
        <v>107</v>
      </c>
      <c r="B49" s="29"/>
      <c r="C49" s="30"/>
      <c r="D49" s="30">
        <f>SUM(D47:D48)</f>
        <v>120.79732066688001</v>
      </c>
      <c r="E49" s="30"/>
      <c r="F49" s="30"/>
      <c r="G49" s="30">
        <f>SUM(G47:G48)</f>
        <v>123.03517266688002</v>
      </c>
      <c r="H49" s="30">
        <f>G49-D49</f>
        <v>2.2378520000000037</v>
      </c>
      <c r="I49" s="33">
        <f t="shared" si="10"/>
        <v>1.8525675798482952E-2</v>
      </c>
      <c r="J49" s="33"/>
      <c r="K49" s="62">
        <f>G49/$G$51</f>
        <v>1.0761904761904761</v>
      </c>
    </row>
    <row r="50" spans="1:11" x14ac:dyDescent="0.2">
      <c r="A50" s="58" t="s">
        <v>104</v>
      </c>
      <c r="B50" s="59"/>
      <c r="C50" s="31">
        <v>-0.08</v>
      </c>
      <c r="D50" s="31">
        <f>D47*C50</f>
        <v>-8.5520227020800004</v>
      </c>
      <c r="E50" s="31"/>
      <c r="F50" s="31">
        <f>C50</f>
        <v>-0.08</v>
      </c>
      <c r="G50" s="31">
        <f>G47*F50</f>
        <v>-8.7104547020800016</v>
      </c>
      <c r="H50" s="31">
        <f>G50-D50</f>
        <v>-0.15843200000000124</v>
      </c>
      <c r="I50" s="32">
        <f t="shared" si="10"/>
        <v>-1.852567579848307E-2</v>
      </c>
      <c r="J50" s="32"/>
      <c r="K50" s="60">
        <f>G50/$G$51</f>
        <v>-7.6190476190476197E-2</v>
      </c>
    </row>
    <row r="51" spans="1:11" ht="13.5" thickBot="1" x14ac:dyDescent="0.25">
      <c r="A51" s="63" t="s">
        <v>116</v>
      </c>
      <c r="B51" s="64"/>
      <c r="C51" s="65"/>
      <c r="D51" s="65">
        <f>SUM(D49:D50)</f>
        <v>112.24529796480002</v>
      </c>
      <c r="E51" s="65"/>
      <c r="F51" s="65"/>
      <c r="G51" s="65">
        <f>SUM(G49:G50)</f>
        <v>114.32471796480002</v>
      </c>
      <c r="H51" s="65">
        <f>G51-D51</f>
        <v>2.0794199999999989</v>
      </c>
      <c r="I51" s="66">
        <f t="shared" si="10"/>
        <v>1.8525675798482914E-2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1" tint="0.499984740745262"/>
    <pageSetUpPr fitToPage="1"/>
  </sheetPr>
  <dimension ref="A1:K68"/>
  <sheetViews>
    <sheetView tabSelected="1" view="pageLayout" topLeftCell="A13"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121</v>
      </c>
      <c r="B1" s="186"/>
      <c r="C1" s="186"/>
      <c r="D1" s="186"/>
      <c r="E1" s="186"/>
      <c r="F1" s="186"/>
      <c r="G1" s="186"/>
      <c r="H1" s="186"/>
      <c r="I1" s="186"/>
      <c r="J1" s="186"/>
      <c r="K1" s="187"/>
    </row>
    <row r="3" spans="1:11" x14ac:dyDescent="0.2">
      <c r="A3" s="13" t="s">
        <v>13</v>
      </c>
      <c r="B3" s="13" t="s">
        <v>3</v>
      </c>
    </row>
    <row r="4" spans="1:11" x14ac:dyDescent="0.2">
      <c r="A4" s="15" t="s">
        <v>62</v>
      </c>
      <c r="B4" s="15">
        <v>1000</v>
      </c>
    </row>
    <row r="5" spans="1:11" x14ac:dyDescent="0.2">
      <c r="A5" s="15" t="s">
        <v>16</v>
      </c>
      <c r="B5" s="15">
        <f>VLOOKUP($B$3,'Data for Bill Impacts'!$A$6:$Y$18,5,0)</f>
        <v>0</v>
      </c>
    </row>
    <row r="6" spans="1:11" x14ac:dyDescent="0.2">
      <c r="A6" s="15" t="s">
        <v>20</v>
      </c>
      <c r="B6" s="15">
        <f>VLOOKUP($B$3,'Data for Bill Impacts'!$A$6:$Y$18,2,0)</f>
        <v>1.1040000000000001</v>
      </c>
    </row>
    <row r="7" spans="1:11" x14ac:dyDescent="0.2">
      <c r="A7" s="15" t="s">
        <v>15</v>
      </c>
      <c r="B7" s="15">
        <f>VLOOKUP($B$3,'Data for Bill Impacts'!$A$6:$Y$18,4,0)</f>
        <v>600</v>
      </c>
    </row>
    <row r="8" spans="1:11" x14ac:dyDescent="0.2">
      <c r="A8" s="15" t="s">
        <v>82</v>
      </c>
      <c r="B8" s="15">
        <f>B4*B6</f>
        <v>1104</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0.23131527717121775</v>
      </c>
      <c r="K12" s="106"/>
    </row>
    <row r="13" spans="1:11" x14ac:dyDescent="0.2">
      <c r="A13" s="107" t="s">
        <v>32</v>
      </c>
      <c r="B13" s="73">
        <f>IF(B4&gt;B7,(B4)-B7,0)</f>
        <v>400</v>
      </c>
      <c r="C13" s="21">
        <v>0.106</v>
      </c>
      <c r="D13" s="22">
        <f>B13*C13</f>
        <v>42.4</v>
      </c>
      <c r="E13" s="73">
        <f t="shared" ref="E13" si="1">B13</f>
        <v>400</v>
      </c>
      <c r="F13" s="21">
        <f>C13</f>
        <v>0.106</v>
      </c>
      <c r="G13" s="22">
        <f>E13*F13</f>
        <v>42.4</v>
      </c>
      <c r="H13" s="22">
        <f t="shared" ref="H13:H46" si="2">G13-D13</f>
        <v>0</v>
      </c>
      <c r="I13" s="23">
        <f t="shared" si="0"/>
        <v>0</v>
      </c>
      <c r="J13" s="23">
        <f>G13/$G$46</f>
        <v>0.17962944600841815</v>
      </c>
      <c r="K13" s="108"/>
    </row>
    <row r="14" spans="1:11" s="1" customFormat="1" x14ac:dyDescent="0.2">
      <c r="A14" s="46" t="s">
        <v>33</v>
      </c>
      <c r="B14" s="24"/>
      <c r="C14" s="25"/>
      <c r="D14" s="25">
        <f>SUM(D12:D13)</f>
        <v>97</v>
      </c>
      <c r="E14" s="76"/>
      <c r="F14" s="25"/>
      <c r="G14" s="25">
        <f>SUM(G12:G13)</f>
        <v>97</v>
      </c>
      <c r="H14" s="25">
        <f t="shared" si="2"/>
        <v>0</v>
      </c>
      <c r="I14" s="27">
        <f t="shared" si="0"/>
        <v>0</v>
      </c>
      <c r="J14" s="27">
        <f>G14/$G$46</f>
        <v>0.41094472317963587</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6" si="4">G15/$G$51</f>
        <v>0.21238092766753533</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8.1515237172694391E-2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0.11991778253515582</v>
      </c>
    </row>
    <row r="18" spans="1:11" s="1" customFormat="1" x14ac:dyDescent="0.2">
      <c r="A18" s="61" t="s">
        <v>37</v>
      </c>
      <c r="B18" s="29"/>
      <c r="C18" s="30"/>
      <c r="D18" s="30">
        <f>SUM(D15:D17)</f>
        <v>97.52</v>
      </c>
      <c r="E18" s="77"/>
      <c r="F18" s="30"/>
      <c r="G18" s="30">
        <f>SUM(G15:G17)</f>
        <v>97.52</v>
      </c>
      <c r="H18" s="31">
        <f t="shared" si="2"/>
        <v>0</v>
      </c>
      <c r="I18" s="32">
        <f t="shared" si="0"/>
        <v>0</v>
      </c>
      <c r="J18" s="33">
        <f t="shared" ref="J18:J26" si="5">G18/$G$46</f>
        <v>0.41314772581936177</v>
      </c>
      <c r="K18" s="62">
        <f t="shared" si="4"/>
        <v>0.41381394737538552</v>
      </c>
    </row>
    <row r="19" spans="1:11" x14ac:dyDescent="0.2">
      <c r="A19" s="107" t="s">
        <v>38</v>
      </c>
      <c r="B19" s="73">
        <v>1</v>
      </c>
      <c r="C19" s="78">
        <f>VLOOKUP($B$3,'Data for Bill Impacts'!$A$6:$Y$18,7,0)</f>
        <v>40.520000000000003</v>
      </c>
      <c r="D19" s="22">
        <f>B19*C19</f>
        <v>40.520000000000003</v>
      </c>
      <c r="E19" s="73">
        <f t="shared" ref="E19:E41" si="6">B19</f>
        <v>1</v>
      </c>
      <c r="F19" s="78">
        <f>VLOOKUP($B$3,'Data for Bill Impacts'!$A$6:$Y$18,17,0)</f>
        <v>45.07</v>
      </c>
      <c r="G19" s="22">
        <f>E19*F19</f>
        <v>45.07</v>
      </c>
      <c r="H19" s="22">
        <f t="shared" si="2"/>
        <v>4.5499999999999972</v>
      </c>
      <c r="I19" s="23">
        <f>IF(ISERROR(H19/ABS(D19)),"N/A",(H19/ABS(D19)))</f>
        <v>0.11229022704837109</v>
      </c>
      <c r="J19" s="23">
        <f t="shared" si="5"/>
        <v>0.190941017254703</v>
      </c>
      <c r="K19" s="108">
        <f t="shared" si="4"/>
        <v>0.19124891928023613</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-2E-3</v>
      </c>
      <c r="D22" s="22">
        <f t="shared" si="9"/>
        <v>-2E-3</v>
      </c>
      <c r="E22" s="73">
        <f t="shared" si="6"/>
        <v>1</v>
      </c>
      <c r="F22" s="121">
        <f>VLOOKUP($B$3,'Data for Bill Impacts'!$A$6:$Y$18,22,0)</f>
        <v>-2E-3</v>
      </c>
      <c r="G22" s="22">
        <f t="shared" si="7"/>
        <v>-2E-3</v>
      </c>
      <c r="H22" s="22">
        <f t="shared" si="2"/>
        <v>0</v>
      </c>
      <c r="I22" s="23">
        <f t="shared" ref="I22:I51" si="10">IF(ISERROR(H22/ABS(D22)),"N/A",(H22/ABS(D22)))</f>
        <v>0</v>
      </c>
      <c r="J22" s="23">
        <f t="shared" si="5"/>
        <v>-8.4730870758687814E-6</v>
      </c>
      <c r="K22" s="108">
        <f t="shared" si="4"/>
        <v>-8.4867503563450682E-6</v>
      </c>
    </row>
    <row r="23" spans="1:11" x14ac:dyDescent="0.2">
      <c r="A23" s="107" t="s">
        <v>39</v>
      </c>
      <c r="B23" s="73">
        <f>IF($B$9="kWh",$B$4,$B$5)</f>
        <v>1000</v>
      </c>
      <c r="C23" s="78">
        <f>VLOOKUP($B$3,'Data for Bill Impacts'!$A$6:$Y$18,10,0)</f>
        <v>6.0100000000000001E-2</v>
      </c>
      <c r="D23" s="22">
        <f>B23*C23</f>
        <v>60.1</v>
      </c>
      <c r="E23" s="73">
        <f t="shared" si="6"/>
        <v>1000</v>
      </c>
      <c r="F23" s="125">
        <f>VLOOKUP($B$3,'Data for Bill Impacts'!$A$6:$Y$18,19,0)</f>
        <v>5.28E-2</v>
      </c>
      <c r="G23" s="22">
        <f>E23*F23</f>
        <v>52.8</v>
      </c>
      <c r="H23" s="22">
        <f t="shared" si="2"/>
        <v>-7.3000000000000043</v>
      </c>
      <c r="I23" s="23">
        <f t="shared" si="10"/>
        <v>-0.12146422628951754</v>
      </c>
      <c r="J23" s="23">
        <f t="shared" si="5"/>
        <v>0.22368949880293582</v>
      </c>
      <c r="K23" s="108">
        <f t="shared" si="4"/>
        <v>0.2240502094075098</v>
      </c>
    </row>
    <row r="24" spans="1:11" x14ac:dyDescent="0.2">
      <c r="A24" s="107" t="s">
        <v>122</v>
      </c>
      <c r="B24" s="73">
        <f>IF($B$9="kWh",$B$4,$B$5)</f>
        <v>1000</v>
      </c>
      <c r="C24" s="125">
        <f>VLOOKUP($B$3,'Data for Bill Impacts'!$A$6:$Y$18,14,0)</f>
        <v>1.0000000000000003E-5</v>
      </c>
      <c r="D24" s="22">
        <f>B24*C24</f>
        <v>1.0000000000000002E-2</v>
      </c>
      <c r="E24" s="73">
        <f>B24</f>
        <v>1000</v>
      </c>
      <c r="F24" s="125">
        <f>VLOOKUP($B$3,'Data for Bill Impacts'!$A$6:$Y$18,23,0)</f>
        <v>1.0000000000000003E-5</v>
      </c>
      <c r="G24" s="22">
        <f>E24*F24</f>
        <v>1.0000000000000002E-2</v>
      </c>
      <c r="H24" s="22">
        <f>G24-D24</f>
        <v>0</v>
      </c>
      <c r="I24" s="23">
        <f t="shared" si="10"/>
        <v>0</v>
      </c>
      <c r="J24" s="23">
        <f t="shared" si="5"/>
        <v>4.2365435379343917E-5</v>
      </c>
      <c r="K24" s="108">
        <f t="shared" si="4"/>
        <v>4.2433751781725351E-5</v>
      </c>
    </row>
    <row r="25" spans="1:11" s="1" customFormat="1" x14ac:dyDescent="0.2">
      <c r="A25" s="110" t="s">
        <v>72</v>
      </c>
      <c r="B25" s="74"/>
      <c r="C25" s="35"/>
      <c r="D25" s="35">
        <f>SUM(D19:D24)</f>
        <v>100.628</v>
      </c>
      <c r="E25" s="73"/>
      <c r="F25" s="35"/>
      <c r="G25" s="35">
        <f>SUM(G19:G24)</f>
        <v>97.878</v>
      </c>
      <c r="H25" s="35">
        <f t="shared" si="2"/>
        <v>-2.75</v>
      </c>
      <c r="I25" s="36">
        <f t="shared" si="10"/>
        <v>-2.7328377787494536E-2</v>
      </c>
      <c r="J25" s="36">
        <f t="shared" si="5"/>
        <v>0.41466440840594226</v>
      </c>
      <c r="K25" s="111">
        <f t="shared" si="4"/>
        <v>0.41533307568917133</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3.3468693949681686E-3</v>
      </c>
      <c r="K26" s="108">
        <f t="shared" si="4"/>
        <v>3.3522663907563023E-3</v>
      </c>
    </row>
    <row r="27" spans="1:11" s="1" customFormat="1" x14ac:dyDescent="0.2">
      <c r="A27" s="119" t="s">
        <v>75</v>
      </c>
      <c r="B27" s="120">
        <f>B8-B4</f>
        <v>104</v>
      </c>
      <c r="C27" s="170">
        <f>IF(B4&gt;B7,C13,C12)</f>
        <v>0.106</v>
      </c>
      <c r="D27" s="22">
        <f>B27*C27</f>
        <v>11.023999999999999</v>
      </c>
      <c r="E27" s="73">
        <f>B27</f>
        <v>104</v>
      </c>
      <c r="F27" s="170">
        <f>C27</f>
        <v>0.106</v>
      </c>
      <c r="G27" s="22">
        <f>E27*F27</f>
        <v>11.023999999999999</v>
      </c>
      <c r="H27" s="22">
        <f t="shared" si="2"/>
        <v>0</v>
      </c>
      <c r="I27" s="23">
        <f t="shared" si="10"/>
        <v>0</v>
      </c>
      <c r="J27" s="23">
        <f t="shared" ref="J27:J46" si="11">G27/$G$46</f>
        <v>4.6703655962188721E-2</v>
      </c>
      <c r="K27" s="108">
        <f t="shared" ref="K27:K41" si="12">G27/$G$51</f>
        <v>4.6778967964174016E-2</v>
      </c>
    </row>
    <row r="28" spans="1:11" s="1" customFormat="1" x14ac:dyDescent="0.2">
      <c r="A28" s="119" t="s">
        <v>74</v>
      </c>
      <c r="B28" s="120">
        <f>B8-B4</f>
        <v>104</v>
      </c>
      <c r="C28" s="170">
        <f>0.65*C15+0.17*C16+0.18*C17</f>
        <v>9.7519999999999996E-2</v>
      </c>
      <c r="D28" s="22">
        <f>B28*C28</f>
        <v>10.14208</v>
      </c>
      <c r="E28" s="73">
        <f>B28</f>
        <v>104</v>
      </c>
      <c r="F28" s="170">
        <f>C28</f>
        <v>9.7519999999999996E-2</v>
      </c>
      <c r="G28" s="22">
        <f>E28*F28</f>
        <v>10.14208</v>
      </c>
      <c r="H28" s="22">
        <f t="shared" si="2"/>
        <v>0</v>
      </c>
      <c r="I28" s="23">
        <f t="shared" si="10"/>
        <v>0</v>
      </c>
      <c r="J28" s="23">
        <f t="shared" si="11"/>
        <v>4.2967363485213628E-2</v>
      </c>
      <c r="K28" s="108">
        <f t="shared" si="12"/>
        <v>4.3036650527040095E-2</v>
      </c>
    </row>
    <row r="29" spans="1:11" s="1" customFormat="1" x14ac:dyDescent="0.2">
      <c r="A29" s="110" t="s">
        <v>78</v>
      </c>
      <c r="B29" s="74"/>
      <c r="C29" s="35"/>
      <c r="D29" s="35">
        <f>SUM(D25,D26:D27)</f>
        <v>112.44200000000001</v>
      </c>
      <c r="E29" s="73"/>
      <c r="F29" s="35"/>
      <c r="G29" s="35">
        <f>SUM(G25,G26:G27)</f>
        <v>109.69200000000001</v>
      </c>
      <c r="H29" s="35">
        <f t="shared" si="2"/>
        <v>-2.75</v>
      </c>
      <c r="I29" s="36">
        <f t="shared" si="10"/>
        <v>-2.4457053414204656E-2</v>
      </c>
      <c r="J29" s="36">
        <f t="shared" si="11"/>
        <v>0.46471493376309919</v>
      </c>
      <c r="K29" s="111">
        <f t="shared" si="12"/>
        <v>0.46546431004410166</v>
      </c>
    </row>
    <row r="30" spans="1:11" s="1" customFormat="1" x14ac:dyDescent="0.2">
      <c r="A30" s="110" t="s">
        <v>77</v>
      </c>
      <c r="B30" s="74"/>
      <c r="C30" s="35"/>
      <c r="D30" s="35">
        <f>SUM(D25,D26,D28)</f>
        <v>111.56008</v>
      </c>
      <c r="E30" s="73"/>
      <c r="F30" s="35"/>
      <c r="G30" s="35">
        <f>SUM(G25,G26,G28)</f>
        <v>108.81008</v>
      </c>
      <c r="H30" s="35">
        <f t="shared" si="2"/>
        <v>-2.75</v>
      </c>
      <c r="I30" s="36">
        <f t="shared" si="10"/>
        <v>-2.4650394657300352E-2</v>
      </c>
      <c r="J30" s="36">
        <f t="shared" si="11"/>
        <v>0.46097864128612409</v>
      </c>
      <c r="K30" s="111">
        <f t="shared" si="12"/>
        <v>0.46172199260696772</v>
      </c>
    </row>
    <row r="31" spans="1:11" x14ac:dyDescent="0.2">
      <c r="A31" s="107" t="s">
        <v>40</v>
      </c>
      <c r="B31" s="73">
        <f>B8</f>
        <v>1104</v>
      </c>
      <c r="C31" s="125">
        <f>VLOOKUP($B$3,'Data for Bill Impacts'!$A$6:$Y$18,15,0)</f>
        <v>5.6559999999999996E-3</v>
      </c>
      <c r="D31" s="22">
        <f>B31*C31</f>
        <v>6.2442239999999991</v>
      </c>
      <c r="E31" s="73">
        <f t="shared" si="6"/>
        <v>1104</v>
      </c>
      <c r="F31" s="125">
        <f>VLOOKUP($B$3,'Data for Bill Impacts'!$A$6:$Y$18,24,0)</f>
        <v>5.6559999999999996E-3</v>
      </c>
      <c r="G31" s="22">
        <f>E31*F31</f>
        <v>6.2442239999999991</v>
      </c>
      <c r="H31" s="22">
        <f t="shared" si="2"/>
        <v>0</v>
      </c>
      <c r="I31" s="23">
        <f t="shared" si="10"/>
        <v>0</v>
      </c>
      <c r="J31" s="23">
        <f t="shared" si="11"/>
        <v>2.6453926836614829E-2</v>
      </c>
      <c r="K31" s="108">
        <f t="shared" si="12"/>
        <v>2.6496585128549209E-2</v>
      </c>
    </row>
    <row r="32" spans="1:11" x14ac:dyDescent="0.2">
      <c r="A32" s="107" t="s">
        <v>41</v>
      </c>
      <c r="B32" s="73">
        <f>B8</f>
        <v>1104</v>
      </c>
      <c r="C32" s="125">
        <f>VLOOKUP($B$3,'Data for Bill Impacts'!$A$6:$Y$18,16,0)</f>
        <v>4.8209999999999998E-3</v>
      </c>
      <c r="D32" s="22">
        <f>B32*C32</f>
        <v>5.3223839999999996</v>
      </c>
      <c r="E32" s="73">
        <f t="shared" si="6"/>
        <v>1104</v>
      </c>
      <c r="F32" s="125">
        <f>VLOOKUP($B$3,'Data for Bill Impacts'!$A$6:$Y$18,25,0)</f>
        <v>4.8209999999999998E-3</v>
      </c>
      <c r="G32" s="22">
        <f>E32*F32</f>
        <v>5.3223839999999996</v>
      </c>
      <c r="H32" s="22">
        <f t="shared" si="2"/>
        <v>0</v>
      </c>
      <c r="I32" s="23">
        <f t="shared" si="10"/>
        <v>0</v>
      </c>
      <c r="J32" s="23">
        <f t="shared" si="11"/>
        <v>2.2548511541605393E-2</v>
      </c>
      <c r="K32" s="108">
        <f t="shared" si="12"/>
        <v>2.2584872154302642E-2</v>
      </c>
    </row>
    <row r="33" spans="1:11" s="1" customFormat="1" x14ac:dyDescent="0.2">
      <c r="A33" s="110" t="s">
        <v>76</v>
      </c>
      <c r="B33" s="74"/>
      <c r="C33" s="35"/>
      <c r="D33" s="35">
        <f>SUM(D31:D32)</f>
        <v>11.566607999999999</v>
      </c>
      <c r="E33" s="73"/>
      <c r="F33" s="35"/>
      <c r="G33" s="35">
        <f>SUM(G31:G32)</f>
        <v>11.566607999999999</v>
      </c>
      <c r="H33" s="35">
        <f t="shared" si="2"/>
        <v>0</v>
      </c>
      <c r="I33" s="36">
        <f t="shared" si="10"/>
        <v>0</v>
      </c>
      <c r="J33" s="36">
        <f t="shared" si="11"/>
        <v>4.9002438378220221E-2</v>
      </c>
      <c r="K33" s="111">
        <f t="shared" si="12"/>
        <v>4.9081457282851855E-2</v>
      </c>
    </row>
    <row r="34" spans="1:11" s="1" customFormat="1" x14ac:dyDescent="0.2">
      <c r="A34" s="110" t="s">
        <v>91</v>
      </c>
      <c r="B34" s="74"/>
      <c r="C34" s="35"/>
      <c r="D34" s="35">
        <f>D29+D33</f>
        <v>124.00860800000001</v>
      </c>
      <c r="E34" s="73"/>
      <c r="F34" s="35"/>
      <c r="G34" s="35">
        <f>G29+G33</f>
        <v>121.25860800000001</v>
      </c>
      <c r="H34" s="35">
        <f t="shared" si="2"/>
        <v>-2.75</v>
      </c>
      <c r="I34" s="36">
        <f t="shared" si="10"/>
        <v>-2.2175879919561711E-2</v>
      </c>
      <c r="J34" s="36">
        <f t="shared" si="11"/>
        <v>0.51371737214131941</v>
      </c>
      <c r="K34" s="111">
        <f t="shared" si="12"/>
        <v>0.51454576732695356</v>
      </c>
    </row>
    <row r="35" spans="1:11" s="1" customFormat="1" x14ac:dyDescent="0.2">
      <c r="A35" s="110" t="s">
        <v>92</v>
      </c>
      <c r="B35" s="74"/>
      <c r="C35" s="35"/>
      <c r="D35" s="35">
        <f>D30+D33</f>
        <v>123.126688</v>
      </c>
      <c r="E35" s="73"/>
      <c r="F35" s="35"/>
      <c r="G35" s="35">
        <f>G30+G33</f>
        <v>120.376688</v>
      </c>
      <c r="H35" s="35">
        <f t="shared" si="2"/>
        <v>-2.75</v>
      </c>
      <c r="I35" s="36">
        <f t="shared" si="10"/>
        <v>-2.2334719179646901E-2</v>
      </c>
      <c r="J35" s="36">
        <f t="shared" si="11"/>
        <v>0.50998107966434436</v>
      </c>
      <c r="K35" s="111">
        <f t="shared" si="12"/>
        <v>0.51080344988981952</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2"/>
        <v>0</v>
      </c>
      <c r="I36" s="23">
        <f t="shared" si="10"/>
        <v>0</v>
      </c>
      <c r="J36" s="23">
        <f t="shared" si="11"/>
        <v>1.6837718637166443E-2</v>
      </c>
      <c r="K36" s="108">
        <f t="shared" si="12"/>
        <v>1.6864870308128919E-2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10"/>
        <v>0</v>
      </c>
      <c r="J37" s="23">
        <f t="shared" si="11"/>
        <v>9.8220025383470907E-3</v>
      </c>
      <c r="K37" s="108">
        <f t="shared" si="12"/>
        <v>9.8378410130752041E-3</v>
      </c>
    </row>
    <row r="38" spans="1:11" x14ac:dyDescent="0.2">
      <c r="A38" s="107" t="s">
        <v>96</v>
      </c>
      <c r="B38" s="73">
        <f>B8</f>
        <v>1104</v>
      </c>
      <c r="C38" s="34">
        <v>0</v>
      </c>
      <c r="D38" s="22">
        <f>B38*C38</f>
        <v>0</v>
      </c>
      <c r="E38" s="73">
        <f t="shared" si="6"/>
        <v>1104</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1.0591358844835976E-3</v>
      </c>
      <c r="K39" s="108">
        <f t="shared" si="12"/>
        <v>1.0608437945431337E-3</v>
      </c>
    </row>
    <row r="40" spans="1:11" s="1" customFormat="1" x14ac:dyDescent="0.2">
      <c r="A40" s="110" t="s">
        <v>45</v>
      </c>
      <c r="B40" s="74"/>
      <c r="C40" s="35"/>
      <c r="D40" s="35">
        <f>SUM(D36:D39)</f>
        <v>6.5427999999999997</v>
      </c>
      <c r="E40" s="73"/>
      <c r="F40" s="35"/>
      <c r="G40" s="35">
        <f>SUM(G36:G39)</f>
        <v>6.5427999999999997</v>
      </c>
      <c r="H40" s="35">
        <f t="shared" si="2"/>
        <v>0</v>
      </c>
      <c r="I40" s="36">
        <f t="shared" si="10"/>
        <v>0</v>
      </c>
      <c r="J40" s="36">
        <f t="shared" si="11"/>
        <v>2.7718857059997128E-2</v>
      </c>
      <c r="K40" s="111">
        <f t="shared" si="12"/>
        <v>2.7763555115747254E-2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227.55140799999998</v>
      </c>
      <c r="E42" s="38"/>
      <c r="F42" s="39"/>
      <c r="G42" s="39">
        <f>SUM(G14,G25,G26,G27,G33,G40,G41)</f>
        <v>224.80140799999998</v>
      </c>
      <c r="H42" s="39">
        <f t="shared" si="2"/>
        <v>-2.75</v>
      </c>
      <c r="I42" s="40">
        <f t="shared" si="10"/>
        <v>-1.2085181208810627E-2</v>
      </c>
      <c r="J42" s="40">
        <f t="shared" si="11"/>
        <v>0.95238095238095233</v>
      </c>
      <c r="K42" s="41"/>
    </row>
    <row r="43" spans="1:11" x14ac:dyDescent="0.2">
      <c r="A43" s="153" t="s">
        <v>102</v>
      </c>
      <c r="B43" s="43"/>
      <c r="C43" s="26">
        <v>0.13</v>
      </c>
      <c r="D43" s="26">
        <f>D42*C43</f>
        <v>29.581683039999998</v>
      </c>
      <c r="E43" s="26"/>
      <c r="F43" s="26">
        <f>C43</f>
        <v>0.13</v>
      </c>
      <c r="G43" s="26">
        <f>G42*F43</f>
        <v>29.22418304</v>
      </c>
      <c r="H43" s="26">
        <f t="shared" si="2"/>
        <v>-0.35749999999999815</v>
      </c>
      <c r="I43" s="44">
        <f t="shared" si="10"/>
        <v>-1.2085181208810565E-2</v>
      </c>
      <c r="J43" s="44">
        <f t="shared" si="11"/>
        <v>0.12380952380952381</v>
      </c>
      <c r="K43" s="45"/>
    </row>
    <row r="44" spans="1:11" s="1" customFormat="1" x14ac:dyDescent="0.2">
      <c r="A44" s="46" t="s">
        <v>103</v>
      </c>
      <c r="B44" s="24"/>
      <c r="C44" s="25"/>
      <c r="D44" s="25">
        <f>SUM(D42:D43)</f>
        <v>257.13309103999995</v>
      </c>
      <c r="E44" s="25"/>
      <c r="F44" s="25"/>
      <c r="G44" s="25">
        <f>SUM(G42:G43)</f>
        <v>254.02559103999999</v>
      </c>
      <c r="H44" s="25">
        <f t="shared" si="2"/>
        <v>-3.1074999999999591</v>
      </c>
      <c r="I44" s="27">
        <f t="shared" si="10"/>
        <v>-1.2085181208810469E-2</v>
      </c>
      <c r="J44" s="27">
        <f t="shared" si="11"/>
        <v>1.0761904761904761</v>
      </c>
      <c r="K44" s="47"/>
    </row>
    <row r="45" spans="1:11" x14ac:dyDescent="0.2">
      <c r="A45" s="42" t="s">
        <v>104</v>
      </c>
      <c r="B45" s="43"/>
      <c r="C45" s="26">
        <v>-0.08</v>
      </c>
      <c r="D45" s="26">
        <f>D42*C45</f>
        <v>-18.204112639999998</v>
      </c>
      <c r="E45" s="26"/>
      <c r="F45" s="26">
        <f>C45</f>
        <v>-0.08</v>
      </c>
      <c r="G45" s="26">
        <f>G42*F45</f>
        <v>-17.984112639999999</v>
      </c>
      <c r="H45" s="26">
        <f t="shared" si="2"/>
        <v>0.21999999999999886</v>
      </c>
      <c r="I45" s="44">
        <f t="shared" si="10"/>
        <v>1.2085181208810565E-2</v>
      </c>
      <c r="J45" s="44">
        <f t="shared" si="11"/>
        <v>-7.6190476190476197E-2</v>
      </c>
      <c r="K45" s="45"/>
    </row>
    <row r="46" spans="1:11" s="1" customFormat="1" ht="13.5" thickBot="1" x14ac:dyDescent="0.25">
      <c r="A46" s="48" t="s">
        <v>105</v>
      </c>
      <c r="B46" s="49"/>
      <c r="C46" s="50"/>
      <c r="D46" s="50">
        <f>SUM(D44:D45)</f>
        <v>238.92897839999995</v>
      </c>
      <c r="E46" s="50"/>
      <c r="F46" s="50"/>
      <c r="G46" s="50">
        <f>SUM(G44:G45)</f>
        <v>236.04147839999999</v>
      </c>
      <c r="H46" s="50">
        <f t="shared" si="2"/>
        <v>-2.8874999999999602</v>
      </c>
      <c r="I46" s="51">
        <f t="shared" si="10"/>
        <v>-1.2085181208810462E-2</v>
      </c>
      <c r="J46" s="51">
        <f t="shared" si="11"/>
        <v>1</v>
      </c>
      <c r="K46" s="52"/>
    </row>
    <row r="47" spans="1:11" x14ac:dyDescent="0.2">
      <c r="A47" s="53" t="s">
        <v>106</v>
      </c>
      <c r="B47" s="54"/>
      <c r="C47" s="55"/>
      <c r="D47" s="55">
        <f>SUM(D18,D25,D26,D28,D33,D40,D41)</f>
        <v>227.18948799999998</v>
      </c>
      <c r="E47" s="55"/>
      <c r="F47" s="55"/>
      <c r="G47" s="55">
        <f>SUM(G18,G25,G26,G28,G33,G40,G41)</f>
        <v>224.43948799999998</v>
      </c>
      <c r="H47" s="55">
        <f>G47-D47</f>
        <v>-2.75</v>
      </c>
      <c r="I47" s="56">
        <f t="shared" si="10"/>
        <v>-1.210443328258216E-2</v>
      </c>
      <c r="J47" s="56"/>
      <c r="K47" s="57">
        <f>G47/$G$51</f>
        <v>0.95238095238095233</v>
      </c>
    </row>
    <row r="48" spans="1:11" x14ac:dyDescent="0.2">
      <c r="A48" s="58" t="s">
        <v>102</v>
      </c>
      <c r="B48" s="59"/>
      <c r="C48" s="31">
        <v>0.13</v>
      </c>
      <c r="D48" s="31">
        <f>D47*C48</f>
        <v>29.53463344</v>
      </c>
      <c r="E48" s="31"/>
      <c r="F48" s="31">
        <f>C48</f>
        <v>0.13</v>
      </c>
      <c r="G48" s="31">
        <f>G47*F48</f>
        <v>29.177133439999999</v>
      </c>
      <c r="H48" s="31">
        <f>G48-D48</f>
        <v>-0.35750000000000171</v>
      </c>
      <c r="I48" s="32">
        <f t="shared" si="10"/>
        <v>-1.2104433282582216E-2</v>
      </c>
      <c r="J48" s="32"/>
      <c r="K48" s="60">
        <f>G48/$G$51</f>
        <v>0.1238095238095238</v>
      </c>
    </row>
    <row r="49" spans="1:11" x14ac:dyDescent="0.2">
      <c r="A49" s="149" t="s">
        <v>107</v>
      </c>
      <c r="B49" s="29"/>
      <c r="C49" s="30"/>
      <c r="D49" s="30">
        <f>SUM(D47:D48)</f>
        <v>256.72412143999998</v>
      </c>
      <c r="E49" s="30"/>
      <c r="F49" s="30"/>
      <c r="G49" s="30">
        <f>SUM(G47:G48)</f>
        <v>253.61662143999999</v>
      </c>
      <c r="H49" s="30">
        <f>G49-D49</f>
        <v>-3.1074999999999875</v>
      </c>
      <c r="I49" s="33">
        <f t="shared" si="10"/>
        <v>-1.2104433282582112E-2</v>
      </c>
      <c r="J49" s="33"/>
      <c r="K49" s="62">
        <f>G49/$G$51</f>
        <v>1.0761904761904761</v>
      </c>
    </row>
    <row r="50" spans="1:11" x14ac:dyDescent="0.2">
      <c r="A50" s="58" t="s">
        <v>104</v>
      </c>
      <c r="B50" s="59"/>
      <c r="C50" s="31">
        <v>-0.08</v>
      </c>
      <c r="D50" s="31">
        <f>D47*C50</f>
        <v>-18.17515904</v>
      </c>
      <c r="E50" s="31"/>
      <c r="F50" s="31">
        <f>C50</f>
        <v>-0.08</v>
      </c>
      <c r="G50" s="31">
        <f>G47*F50</f>
        <v>-17.955159039999998</v>
      </c>
      <c r="H50" s="31">
        <f>G50-D50</f>
        <v>0.22000000000000242</v>
      </c>
      <c r="I50" s="32">
        <f t="shared" si="10"/>
        <v>1.2104433282582292E-2</v>
      </c>
      <c r="J50" s="32"/>
      <c r="K50" s="60">
        <f>G50/$G$51</f>
        <v>-7.6190476190476183E-2</v>
      </c>
    </row>
    <row r="51" spans="1:11" ht="13.5" thickBot="1" x14ac:dyDescent="0.25">
      <c r="A51" s="63" t="s">
        <v>116</v>
      </c>
      <c r="B51" s="64"/>
      <c r="C51" s="65"/>
      <c r="D51" s="65">
        <f>SUM(D49:D50)</f>
        <v>238.54896239999997</v>
      </c>
      <c r="E51" s="65"/>
      <c r="F51" s="65"/>
      <c r="G51" s="65">
        <f>SUM(G49:G50)</f>
        <v>235.6614624</v>
      </c>
      <c r="H51" s="65">
        <f>G51-D51</f>
        <v>-2.8874999999999602</v>
      </c>
      <c r="I51" s="66">
        <f t="shared" si="10"/>
        <v>-1.2104433282581994E-2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pageSetUpPr fitToPage="1"/>
  </sheetPr>
  <dimension ref="A1:K68"/>
  <sheetViews>
    <sheetView tabSelected="1" view="pageLayout" topLeftCell="A4"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118</v>
      </c>
      <c r="B1" s="186"/>
      <c r="C1" s="186"/>
      <c r="D1" s="186"/>
      <c r="E1" s="186"/>
      <c r="F1" s="186"/>
      <c r="G1" s="186"/>
      <c r="H1" s="186"/>
      <c r="I1" s="186"/>
      <c r="J1" s="186"/>
      <c r="K1" s="187"/>
    </row>
    <row r="3" spans="1:11" x14ac:dyDescent="0.2">
      <c r="A3" s="13" t="s">
        <v>13</v>
      </c>
      <c r="B3" s="13" t="s">
        <v>6</v>
      </c>
    </row>
    <row r="4" spans="1:11" x14ac:dyDescent="0.2">
      <c r="A4" s="15" t="s">
        <v>62</v>
      </c>
      <c r="B4" s="15">
        <v>1000</v>
      </c>
    </row>
    <row r="5" spans="1:11" x14ac:dyDescent="0.2">
      <c r="A5" s="15" t="s">
        <v>16</v>
      </c>
      <c r="B5" s="15">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5">
        <f>B4*B6</f>
        <v>1067</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0.35919404063267091</v>
      </c>
      <c r="K12" s="106"/>
    </row>
    <row r="13" spans="1:11" x14ac:dyDescent="0.2">
      <c r="A13" s="107" t="s">
        <v>32</v>
      </c>
      <c r="B13" s="73">
        <f>IF(B4&gt;B7,(B4)-B7,0)</f>
        <v>250</v>
      </c>
      <c r="C13" s="21">
        <v>0.106</v>
      </c>
      <c r="D13" s="22">
        <f>B13*C13</f>
        <v>26.5</v>
      </c>
      <c r="E13" s="73">
        <f t="shared" ref="E13" si="1">B13</f>
        <v>250</v>
      </c>
      <c r="F13" s="21">
        <f>C13</f>
        <v>0.106</v>
      </c>
      <c r="G13" s="22">
        <f>E13*F13</f>
        <v>26.5</v>
      </c>
      <c r="H13" s="22">
        <f t="shared" ref="H13:H46" si="2">G13-D13</f>
        <v>0</v>
      </c>
      <c r="I13" s="23">
        <f t="shared" si="0"/>
        <v>0</v>
      </c>
      <c r="J13" s="23">
        <f>G13/$G$46</f>
        <v>0.13946728317605536</v>
      </c>
      <c r="K13" s="108"/>
    </row>
    <row r="14" spans="1:11" s="1" customFormat="1" x14ac:dyDescent="0.2">
      <c r="A14" s="46" t="s">
        <v>33</v>
      </c>
      <c r="B14" s="24"/>
      <c r="C14" s="25"/>
      <c r="D14" s="25">
        <f>SUM(D12:D13)</f>
        <v>94.75</v>
      </c>
      <c r="E14" s="76"/>
      <c r="F14" s="25"/>
      <c r="G14" s="25">
        <f>SUM(G12:G13)</f>
        <v>94.75</v>
      </c>
      <c r="H14" s="25">
        <f t="shared" si="2"/>
        <v>0</v>
      </c>
      <c r="I14" s="27">
        <f t="shared" si="0"/>
        <v>0</v>
      </c>
      <c r="J14" s="27">
        <f>G14/$G$46</f>
        <v>0.4986613238087263</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6" si="4">G15/$G$51</f>
        <v>0.26024246175042742</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9.9885268535978247E-2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0.14694209728405755</v>
      </c>
    </row>
    <row r="18" spans="1:11" s="1" customFormat="1" x14ac:dyDescent="0.2">
      <c r="A18" s="61" t="s">
        <v>37</v>
      </c>
      <c r="B18" s="29"/>
      <c r="C18" s="30"/>
      <c r="D18" s="30">
        <f>SUM(D15:D17)</f>
        <v>97.52</v>
      </c>
      <c r="E18" s="77"/>
      <c r="F18" s="30"/>
      <c r="G18" s="30">
        <f>SUM(G15:G17)</f>
        <v>97.52</v>
      </c>
      <c r="H18" s="31">
        <f t="shared" si="2"/>
        <v>0</v>
      </c>
      <c r="I18" s="32">
        <f t="shared" si="0"/>
        <v>0</v>
      </c>
      <c r="J18" s="33">
        <f t="shared" ref="J18:J23" si="5">G18/$G$46</f>
        <v>0.51323960208788377</v>
      </c>
      <c r="K18" s="62">
        <f t="shared" si="4"/>
        <v>0.50706982757046315</v>
      </c>
    </row>
    <row r="19" spans="1:11" x14ac:dyDescent="0.2">
      <c r="A19" s="107" t="s">
        <v>38</v>
      </c>
      <c r="B19" s="73">
        <v>1</v>
      </c>
      <c r="C19" s="78">
        <f>VLOOKUP($B$3,'Data for Bill Impacts'!$A$6:$Y$18,7,0)</f>
        <v>23.88</v>
      </c>
      <c r="D19" s="22">
        <f>B19*C19</f>
        <v>23.88</v>
      </c>
      <c r="E19" s="73">
        <f t="shared" ref="E19:E41" si="6">B19</f>
        <v>1</v>
      </c>
      <c r="F19" s="78">
        <f>VLOOKUP($B$3,'Data for Bill Impacts'!$A$6:$Y$18,17,0)</f>
        <v>24.47</v>
      </c>
      <c r="G19" s="22">
        <f>E19*F19</f>
        <v>24.47</v>
      </c>
      <c r="H19" s="22">
        <f t="shared" si="2"/>
        <v>0.58999999999999986</v>
      </c>
      <c r="I19" s="23">
        <f>IF(ISERROR(H19/ABS(D19)),"N/A",(H19/ABS(D19)))</f>
        <v>2.4706867671691786E-2</v>
      </c>
      <c r="J19" s="23">
        <f t="shared" si="5"/>
        <v>0.1287835629931349</v>
      </c>
      <c r="K19" s="108">
        <f t="shared" si="4"/>
        <v>0.12723542535530388</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8.0000000000000002E-3</v>
      </c>
      <c r="D22" s="22">
        <f t="shared" si="9"/>
        <v>8.0000000000000002E-3</v>
      </c>
      <c r="E22" s="73">
        <f t="shared" si="6"/>
        <v>1</v>
      </c>
      <c r="F22" s="121">
        <f>VLOOKUP($B$3,'Data for Bill Impacts'!$A$6:$Y$18,22,0)</f>
        <v>8.0000000000000002E-3</v>
      </c>
      <c r="G22" s="22">
        <f t="shared" si="7"/>
        <v>8.0000000000000002E-3</v>
      </c>
      <c r="H22" s="22">
        <f t="shared" si="2"/>
        <v>0</v>
      </c>
      <c r="I22" s="23">
        <f t="shared" ref="I22:I51" si="10">IF(ISERROR(H22/ABS(D22)),"N/A",(H22/ABS(D22)))</f>
        <v>0</v>
      </c>
      <c r="J22" s="23">
        <f t="shared" si="5"/>
        <v>4.2103330770129927E-5</v>
      </c>
      <c r="K22" s="108">
        <f t="shared" si="4"/>
        <v>4.1597196683385007E-5</v>
      </c>
    </row>
    <row r="23" spans="1:11" x14ac:dyDescent="0.2">
      <c r="A23" s="107" t="s">
        <v>39</v>
      </c>
      <c r="B23" s="73">
        <f>IF($B$9="kWh",$B$4,$B$5)</f>
        <v>1000</v>
      </c>
      <c r="C23" s="125">
        <f>VLOOKUP($B$3,'Data for Bill Impacts'!$A$6:$Y$18,10,0)</f>
        <v>2.7799999999999998E-2</v>
      </c>
      <c r="D23" s="22">
        <f>B23*C23</f>
        <v>27.799999999999997</v>
      </c>
      <c r="E23" s="73">
        <f t="shared" si="6"/>
        <v>1000</v>
      </c>
      <c r="F23" s="78">
        <f>VLOOKUP($B$3,'Data for Bill Impacts'!$A$6:$Y$18,19,0)</f>
        <v>2.9000000000000001E-2</v>
      </c>
      <c r="G23" s="22">
        <f>E23*F23</f>
        <v>29</v>
      </c>
      <c r="H23" s="22">
        <f t="shared" si="2"/>
        <v>1.2000000000000028</v>
      </c>
      <c r="I23" s="23">
        <f t="shared" si="10"/>
        <v>4.3165467625899387E-2</v>
      </c>
      <c r="J23" s="23">
        <f t="shared" si="5"/>
        <v>0.15262457404172097</v>
      </c>
      <c r="K23" s="108">
        <f t="shared" si="4"/>
        <v>0.15078983797727064</v>
      </c>
    </row>
    <row r="24" spans="1:11" x14ac:dyDescent="0.2">
      <c r="A24" s="107" t="s">
        <v>122</v>
      </c>
      <c r="B24" s="73">
        <f>IF($B$9="kWh",$B$4,$B$5)</f>
        <v>1000</v>
      </c>
      <c r="C24" s="125">
        <f>VLOOKUP($B$3,'Data for Bill Impacts'!$A$6:$Y$18,14,0)</f>
        <v>3.0000000000000004E-5</v>
      </c>
      <c r="D24" s="22">
        <f>B24*C24</f>
        <v>3.0000000000000006E-2</v>
      </c>
      <c r="E24" s="73">
        <f t="shared" si="6"/>
        <v>1000</v>
      </c>
      <c r="F24" s="125">
        <f>VLOOKUP($B$3,'Data for Bill Impacts'!$A$6:$Y$18,23,0)</f>
        <v>3.0000000000000004E-5</v>
      </c>
      <c r="G24" s="22">
        <f>E24*F24</f>
        <v>3.0000000000000006E-2</v>
      </c>
      <c r="H24" s="22">
        <f t="shared" si="2"/>
        <v>0</v>
      </c>
      <c r="I24" s="23">
        <f t="shared" si="10"/>
        <v>0</v>
      </c>
      <c r="J24" s="23">
        <f t="shared" ref="J24" si="11">G24/$G$46</f>
        <v>1.5788749038798724E-4</v>
      </c>
      <c r="K24" s="108">
        <f t="shared" si="4"/>
        <v>1.5598948756269379E-4</v>
      </c>
    </row>
    <row r="25" spans="1:11" s="1" customFormat="1" x14ac:dyDescent="0.2">
      <c r="A25" s="110" t="s">
        <v>72</v>
      </c>
      <c r="B25" s="74"/>
      <c r="C25" s="35"/>
      <c r="D25" s="35">
        <f>SUM(D19:D24)</f>
        <v>51.717999999999996</v>
      </c>
      <c r="E25" s="73"/>
      <c r="F25" s="35"/>
      <c r="G25" s="35">
        <f>SUM(G19:G24)</f>
        <v>53.507999999999996</v>
      </c>
      <c r="H25" s="35">
        <f t="shared" si="2"/>
        <v>1.7899999999999991</v>
      </c>
      <c r="I25" s="36">
        <f t="shared" si="10"/>
        <v>3.4610773811825653E-2</v>
      </c>
      <c r="J25" s="36">
        <f>G25/$G$46</f>
        <v>0.28160812785601397</v>
      </c>
      <c r="K25" s="111">
        <f t="shared" si="4"/>
        <v>0.27822285001682057</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4.1577039135503304E-3</v>
      </c>
      <c r="K26" s="108">
        <f t="shared" si="4"/>
        <v>4.1077231724842697E-3</v>
      </c>
    </row>
    <row r="27" spans="1:11" s="1" customFormat="1" x14ac:dyDescent="0.2">
      <c r="A27" s="119" t="s">
        <v>75</v>
      </c>
      <c r="B27" s="120">
        <f>B8-B4</f>
        <v>67</v>
      </c>
      <c r="C27" s="170">
        <f>IF(B4&gt;B7,C13,C12)</f>
        <v>0.106</v>
      </c>
      <c r="D27" s="22">
        <f>B27*C27</f>
        <v>7.1019999999999994</v>
      </c>
      <c r="E27" s="73">
        <f>B27</f>
        <v>67</v>
      </c>
      <c r="F27" s="170">
        <f>C27</f>
        <v>0.106</v>
      </c>
      <c r="G27" s="22">
        <f>E27*F27</f>
        <v>7.1019999999999994</v>
      </c>
      <c r="H27" s="22">
        <f t="shared" si="2"/>
        <v>0</v>
      </c>
      <c r="I27" s="23">
        <f t="shared" si="10"/>
        <v>0</v>
      </c>
      <c r="J27" s="23">
        <f t="shared" ref="J27:J46" si="12">G27/$G$46</f>
        <v>3.737723189118284E-2</v>
      </c>
      <c r="K27" s="108">
        <f t="shared" ref="K27:K41" si="13">G27/$G$51</f>
        <v>3.6927911355675039E-2</v>
      </c>
    </row>
    <row r="28" spans="1:11" s="1" customFormat="1" x14ac:dyDescent="0.2">
      <c r="A28" s="119" t="s">
        <v>74</v>
      </c>
      <c r="B28" s="120">
        <f>B8-B4</f>
        <v>67</v>
      </c>
      <c r="C28" s="170">
        <f>0.65*C15+0.17*C16+0.18*C17</f>
        <v>9.7519999999999996E-2</v>
      </c>
      <c r="D28" s="22">
        <f>B28*C28</f>
        <v>6.5338399999999996</v>
      </c>
      <c r="E28" s="73">
        <f>B28</f>
        <v>67</v>
      </c>
      <c r="F28" s="170">
        <f>C28</f>
        <v>9.7519999999999996E-2</v>
      </c>
      <c r="G28" s="22">
        <f>E28*F28</f>
        <v>6.5338399999999996</v>
      </c>
      <c r="H28" s="22">
        <f t="shared" si="2"/>
        <v>0</v>
      </c>
      <c r="I28" s="23">
        <f t="shared" si="10"/>
        <v>0</v>
      </c>
      <c r="J28" s="23">
        <f t="shared" si="12"/>
        <v>3.4387053339888209E-2</v>
      </c>
      <c r="K28" s="108">
        <f t="shared" si="13"/>
        <v>3.3973678447221031E-2</v>
      </c>
    </row>
    <row r="29" spans="1:11" s="1" customFormat="1" x14ac:dyDescent="0.2">
      <c r="A29" s="110" t="s">
        <v>78</v>
      </c>
      <c r="B29" s="74"/>
      <c r="C29" s="35"/>
      <c r="D29" s="35">
        <f>SUM(D25,D26:D27)</f>
        <v>59.609999999999992</v>
      </c>
      <c r="E29" s="73"/>
      <c r="F29" s="35"/>
      <c r="G29" s="35">
        <f>SUM(G25,G26:G27)</f>
        <v>61.399999999999991</v>
      </c>
      <c r="H29" s="35">
        <f t="shared" si="2"/>
        <v>1.7899999999999991</v>
      </c>
      <c r="I29" s="36">
        <f t="shared" si="10"/>
        <v>3.0028518704915273E-2</v>
      </c>
      <c r="J29" s="36">
        <f t="shared" si="12"/>
        <v>0.32314306366074713</v>
      </c>
      <c r="K29" s="111">
        <f t="shared" si="13"/>
        <v>0.3192584845449799</v>
      </c>
    </row>
    <row r="30" spans="1:11" s="1" customFormat="1" x14ac:dyDescent="0.2">
      <c r="A30" s="110" t="s">
        <v>77</v>
      </c>
      <c r="B30" s="74"/>
      <c r="C30" s="35"/>
      <c r="D30" s="35">
        <f>SUM(D25,D26,D28)</f>
        <v>59.041839999999993</v>
      </c>
      <c r="E30" s="73"/>
      <c r="F30" s="35"/>
      <c r="G30" s="35">
        <f>SUM(G25,G26,G28)</f>
        <v>60.831839999999993</v>
      </c>
      <c r="H30" s="35">
        <f t="shared" si="2"/>
        <v>1.7899999999999991</v>
      </c>
      <c r="I30" s="36">
        <f t="shared" si="10"/>
        <v>3.03174833304653E-2</v>
      </c>
      <c r="J30" s="36">
        <f t="shared" si="12"/>
        <v>0.3201528851094525</v>
      </c>
      <c r="K30" s="111">
        <f t="shared" si="13"/>
        <v>0.31630425163652587</v>
      </c>
    </row>
    <row r="31" spans="1:11" x14ac:dyDescent="0.2">
      <c r="A31" s="107" t="s">
        <v>40</v>
      </c>
      <c r="B31" s="73">
        <f>B8</f>
        <v>1067</v>
      </c>
      <c r="C31" s="125">
        <f>VLOOKUP($B$3,'Data for Bill Impacts'!$A$6:$Y$18,15,0)</f>
        <v>6.1060000000000003E-3</v>
      </c>
      <c r="D31" s="22">
        <f>B31*C31</f>
        <v>6.5151020000000006</v>
      </c>
      <c r="E31" s="73">
        <f t="shared" si="6"/>
        <v>1067</v>
      </c>
      <c r="F31" s="125">
        <f>VLOOKUP($B$3,'Data for Bill Impacts'!$A$6:$Y$18,24,0)</f>
        <v>6.1060000000000003E-3</v>
      </c>
      <c r="G31" s="22">
        <f>E31*F31</f>
        <v>6.5151020000000006</v>
      </c>
      <c r="H31" s="22">
        <f t="shared" si="2"/>
        <v>0</v>
      </c>
      <c r="I31" s="23">
        <f t="shared" si="10"/>
        <v>0</v>
      </c>
      <c r="J31" s="23">
        <f t="shared" si="12"/>
        <v>3.428843681339188E-2</v>
      </c>
      <c r="K31" s="108">
        <f t="shared" si="13"/>
        <v>3.387624741328938E-2</v>
      </c>
    </row>
    <row r="32" spans="1:11" x14ac:dyDescent="0.2">
      <c r="A32" s="107" t="s">
        <v>41</v>
      </c>
      <c r="B32" s="73">
        <f>B8</f>
        <v>1067</v>
      </c>
      <c r="C32" s="125">
        <f>VLOOKUP($B$3,'Data for Bill Impacts'!$A$6:$Y$18,16,0)</f>
        <v>4.6519999999999999E-3</v>
      </c>
      <c r="D32" s="22">
        <f>B32*C32</f>
        <v>4.9636839999999998</v>
      </c>
      <c r="E32" s="73">
        <f t="shared" si="6"/>
        <v>1067</v>
      </c>
      <c r="F32" s="125">
        <f>VLOOKUP($B$3,'Data for Bill Impacts'!$A$6:$Y$18,25,0)</f>
        <v>4.6519999999999999E-3</v>
      </c>
      <c r="G32" s="22">
        <f>E32*F32</f>
        <v>4.9636839999999998</v>
      </c>
      <c r="H32" s="22">
        <f t="shared" si="2"/>
        <v>0</v>
      </c>
      <c r="I32" s="23">
        <f t="shared" si="10"/>
        <v>0</v>
      </c>
      <c r="J32" s="23">
        <f t="shared" si="12"/>
        <v>2.6123453661300196E-2</v>
      </c>
      <c r="K32" s="108">
        <f t="shared" si="13"/>
        <v>2.5809417452771401E-2</v>
      </c>
    </row>
    <row r="33" spans="1:11" s="1" customFormat="1" x14ac:dyDescent="0.2">
      <c r="A33" s="110" t="s">
        <v>76</v>
      </c>
      <c r="B33" s="74"/>
      <c r="C33" s="35"/>
      <c r="D33" s="35">
        <f>SUM(D31:D32)</f>
        <v>11.478785999999999</v>
      </c>
      <c r="E33" s="73"/>
      <c r="F33" s="35"/>
      <c r="G33" s="35">
        <f>SUM(G31:G32)</f>
        <v>11.478785999999999</v>
      </c>
      <c r="H33" s="35">
        <f t="shared" si="2"/>
        <v>0</v>
      </c>
      <c r="I33" s="36">
        <f t="shared" si="10"/>
        <v>0</v>
      </c>
      <c r="J33" s="36">
        <f t="shared" si="12"/>
        <v>6.0411890474692073E-2</v>
      </c>
      <c r="K33" s="111">
        <f t="shared" si="13"/>
        <v>5.9685664866060778E-2</v>
      </c>
    </row>
    <row r="34" spans="1:11" s="1" customFormat="1" x14ac:dyDescent="0.2">
      <c r="A34" s="110" t="s">
        <v>91</v>
      </c>
      <c r="B34" s="74"/>
      <c r="C34" s="35"/>
      <c r="D34" s="35">
        <f>D29+D33</f>
        <v>71.088785999999999</v>
      </c>
      <c r="E34" s="73"/>
      <c r="F34" s="35"/>
      <c r="G34" s="35">
        <f>G29+G33</f>
        <v>72.878785999999991</v>
      </c>
      <c r="H34" s="35">
        <f t="shared" si="2"/>
        <v>1.789999999999992</v>
      </c>
      <c r="I34" s="36">
        <f t="shared" si="10"/>
        <v>2.5179780113279641E-2</v>
      </c>
      <c r="J34" s="36">
        <f t="shared" si="12"/>
        <v>0.38355495413543922</v>
      </c>
      <c r="K34" s="111">
        <f t="shared" si="13"/>
        <v>0.37894414941104065</v>
      </c>
    </row>
    <row r="35" spans="1:11" s="1" customFormat="1" x14ac:dyDescent="0.2">
      <c r="A35" s="110" t="s">
        <v>92</v>
      </c>
      <c r="B35" s="74"/>
      <c r="C35" s="35"/>
      <c r="D35" s="35">
        <f>D30+D33</f>
        <v>70.520625999999993</v>
      </c>
      <c r="E35" s="73"/>
      <c r="F35" s="35"/>
      <c r="G35" s="35">
        <f>G30+G33</f>
        <v>72.310625999999985</v>
      </c>
      <c r="H35" s="35">
        <f t="shared" si="2"/>
        <v>1.789999999999992</v>
      </c>
      <c r="I35" s="36">
        <f t="shared" si="10"/>
        <v>2.5382644788206961E-2</v>
      </c>
      <c r="J35" s="36">
        <f t="shared" si="12"/>
        <v>0.38056477558414453</v>
      </c>
      <c r="K35" s="111">
        <f t="shared" si="13"/>
        <v>0.37598991650258662</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2"/>
        <v>0</v>
      </c>
      <c r="I36" s="23">
        <f t="shared" si="10"/>
        <v>0</v>
      </c>
      <c r="J36" s="23">
        <f t="shared" si="12"/>
        <v>2.0215914269277883E-2</v>
      </c>
      <c r="K36" s="108">
        <f t="shared" si="13"/>
        <v>1.9972893987527308E-2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10"/>
        <v>0</v>
      </c>
      <c r="J37" s="23">
        <f t="shared" si="12"/>
        <v>1.1792616657078765E-2</v>
      </c>
      <c r="K37" s="108">
        <f t="shared" si="13"/>
        <v>1.1650854826057598E-2</v>
      </c>
    </row>
    <row r="38" spans="1:11" x14ac:dyDescent="0.2">
      <c r="A38" s="107" t="s">
        <v>96</v>
      </c>
      <c r="B38" s="73">
        <f>B8</f>
        <v>1067</v>
      </c>
      <c r="C38" s="34">
        <v>0</v>
      </c>
      <c r="D38" s="22">
        <f>B38*C38</f>
        <v>0</v>
      </c>
      <c r="E38" s="73">
        <f t="shared" si="6"/>
        <v>1067</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1.3157290865665602E-3</v>
      </c>
      <c r="K39" s="108">
        <f t="shared" si="13"/>
        <v>1.2999123963557814E-3</v>
      </c>
    </row>
    <row r="40" spans="1:11" s="1" customFormat="1" x14ac:dyDescent="0.2">
      <c r="A40" s="110" t="s">
        <v>45</v>
      </c>
      <c r="B40" s="74"/>
      <c r="C40" s="35"/>
      <c r="D40" s="35">
        <f>SUM(D36:D39)</f>
        <v>6.3318999999999992</v>
      </c>
      <c r="E40" s="73"/>
      <c r="F40" s="35"/>
      <c r="G40" s="35">
        <f>SUM(G36:G39)</f>
        <v>6.3318999999999992</v>
      </c>
      <c r="H40" s="35">
        <f t="shared" si="2"/>
        <v>0</v>
      </c>
      <c r="I40" s="36">
        <f t="shared" si="10"/>
        <v>0</v>
      </c>
      <c r="J40" s="36">
        <f t="shared" si="12"/>
        <v>3.3324260012923206E-2</v>
      </c>
      <c r="K40" s="111">
        <f t="shared" si="13"/>
        <v>3.2923661209940683E-2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2"/>
        <v>0</v>
      </c>
      <c r="I41" s="117">
        <f t="shared" si="10"/>
        <v>0</v>
      </c>
      <c r="J41" s="117">
        <f t="shared" si="12"/>
        <v>3.6840414423863682E-2</v>
      </c>
      <c r="K41" s="118">
        <f t="shared" si="13"/>
        <v>3.6397547097961877E-2</v>
      </c>
    </row>
    <row r="42" spans="1:11" s="1" customFormat="1" x14ac:dyDescent="0.2">
      <c r="A42" s="37" t="s">
        <v>101</v>
      </c>
      <c r="B42" s="38"/>
      <c r="C42" s="39"/>
      <c r="D42" s="39">
        <f>SUM(D14,D25,D26,D27,D33,D40,D41)</f>
        <v>179.17068599999996</v>
      </c>
      <c r="E42" s="38"/>
      <c r="F42" s="39"/>
      <c r="G42" s="39">
        <f>SUM(G14,G25,G26,G27,G33,G40,G41)</f>
        <v>180.96068599999998</v>
      </c>
      <c r="H42" s="39">
        <f t="shared" si="2"/>
        <v>1.7900000000000205</v>
      </c>
      <c r="I42" s="40">
        <f t="shared" si="10"/>
        <v>9.9904735532464328E-3</v>
      </c>
      <c r="J42" s="40">
        <f t="shared" si="12"/>
        <v>0.95238095238095233</v>
      </c>
      <c r="K42" s="41"/>
    </row>
    <row r="43" spans="1:11" x14ac:dyDescent="0.2">
      <c r="A43" s="153" t="s">
        <v>102</v>
      </c>
      <c r="B43" s="43"/>
      <c r="C43" s="26">
        <v>0.13</v>
      </c>
      <c r="D43" s="26">
        <f>D42*C43</f>
        <v>23.292189179999994</v>
      </c>
      <c r="E43" s="26"/>
      <c r="F43" s="26">
        <f>C43</f>
        <v>0.13</v>
      </c>
      <c r="G43" s="26">
        <f>G42*F43</f>
        <v>23.524889179999999</v>
      </c>
      <c r="H43" s="26">
        <f t="shared" si="2"/>
        <v>0.23270000000000479</v>
      </c>
      <c r="I43" s="44">
        <f t="shared" si="10"/>
        <v>9.9904735532465247E-3</v>
      </c>
      <c r="J43" s="44">
        <f t="shared" si="12"/>
        <v>0.12380952380952381</v>
      </c>
      <c r="K43" s="45"/>
    </row>
    <row r="44" spans="1:11" s="1" customFormat="1" x14ac:dyDescent="0.2">
      <c r="A44" s="46" t="s">
        <v>103</v>
      </c>
      <c r="B44" s="24"/>
      <c r="C44" s="25"/>
      <c r="D44" s="25">
        <f>SUM(D42:D43)</f>
        <v>202.46287517999997</v>
      </c>
      <c r="E44" s="25"/>
      <c r="F44" s="25"/>
      <c r="G44" s="25">
        <f>SUM(G42:G43)</f>
        <v>204.48557517999998</v>
      </c>
      <c r="H44" s="25">
        <f t="shared" si="2"/>
        <v>2.0227000000000146</v>
      </c>
      <c r="I44" s="27">
        <f t="shared" si="10"/>
        <v>9.9904735532463894E-3</v>
      </c>
      <c r="J44" s="27">
        <f t="shared" si="12"/>
        <v>1.0761904761904761</v>
      </c>
      <c r="K44" s="47"/>
    </row>
    <row r="45" spans="1:11" x14ac:dyDescent="0.2">
      <c r="A45" s="42" t="s">
        <v>104</v>
      </c>
      <c r="B45" s="43"/>
      <c r="C45" s="26">
        <v>-0.08</v>
      </c>
      <c r="D45" s="26">
        <f>D42*C45</f>
        <v>-14.333654879999997</v>
      </c>
      <c r="E45" s="26"/>
      <c r="F45" s="26">
        <f>C45</f>
        <v>-0.08</v>
      </c>
      <c r="G45" s="26">
        <f>G42*F45</f>
        <v>-14.476854879999999</v>
      </c>
      <c r="H45" s="26">
        <f t="shared" si="2"/>
        <v>-0.14320000000000199</v>
      </c>
      <c r="I45" s="44">
        <f t="shared" si="10"/>
        <v>-9.990473553246457E-3</v>
      </c>
      <c r="J45" s="44">
        <f t="shared" si="12"/>
        <v>-7.6190476190476183E-2</v>
      </c>
      <c r="K45" s="45"/>
    </row>
    <row r="46" spans="1:11" s="1" customFormat="1" ht="13.5" thickBot="1" x14ac:dyDescent="0.25">
      <c r="A46" s="48" t="s">
        <v>105</v>
      </c>
      <c r="B46" s="49"/>
      <c r="C46" s="50"/>
      <c r="D46" s="50">
        <f>SUM(D44:D45)</f>
        <v>188.12922029999999</v>
      </c>
      <c r="E46" s="50"/>
      <c r="F46" s="50"/>
      <c r="G46" s="50">
        <f>SUM(G44:G45)</f>
        <v>190.00872029999999</v>
      </c>
      <c r="H46" s="50">
        <f t="shared" si="2"/>
        <v>1.8795000000000073</v>
      </c>
      <c r="I46" s="51">
        <f t="shared" si="10"/>
        <v>9.9904735532463564E-3</v>
      </c>
      <c r="J46" s="51">
        <f t="shared" si="12"/>
        <v>1</v>
      </c>
      <c r="K46" s="52"/>
    </row>
    <row r="47" spans="1:11" x14ac:dyDescent="0.2">
      <c r="A47" s="53" t="s">
        <v>106</v>
      </c>
      <c r="B47" s="54"/>
      <c r="C47" s="55"/>
      <c r="D47" s="55">
        <f>SUM(D18,D25,D26,D28,D33,D40,D41)</f>
        <v>181.37252599999997</v>
      </c>
      <c r="E47" s="55"/>
      <c r="F47" s="55"/>
      <c r="G47" s="55">
        <f>SUM(G18,G25,G26,G28,G33,G40,G41)</f>
        <v>183.16252599999999</v>
      </c>
      <c r="H47" s="55">
        <f>G47-D47</f>
        <v>1.7900000000000205</v>
      </c>
      <c r="I47" s="56">
        <f t="shared" si="10"/>
        <v>9.8691904417762856E-3</v>
      </c>
      <c r="J47" s="56"/>
      <c r="K47" s="57">
        <f>G47/$G$51</f>
        <v>0.95238095238095244</v>
      </c>
    </row>
    <row r="48" spans="1:11" x14ac:dyDescent="0.2">
      <c r="A48" s="154" t="s">
        <v>102</v>
      </c>
      <c r="B48" s="59"/>
      <c r="C48" s="31">
        <v>0.13</v>
      </c>
      <c r="D48" s="31">
        <f>D47*C48</f>
        <v>23.578428379999995</v>
      </c>
      <c r="E48" s="31"/>
      <c r="F48" s="31">
        <f>C48</f>
        <v>0.13</v>
      </c>
      <c r="G48" s="31">
        <f>G47*F48</f>
        <v>23.81112838</v>
      </c>
      <c r="H48" s="31">
        <f>G48-D48</f>
        <v>0.23270000000000479</v>
      </c>
      <c r="I48" s="32">
        <f t="shared" si="10"/>
        <v>9.8691904417763758E-3</v>
      </c>
      <c r="J48" s="32"/>
      <c r="K48" s="60">
        <f>G48/$G$51</f>
        <v>0.12380952380952383</v>
      </c>
    </row>
    <row r="49" spans="1:11" x14ac:dyDescent="0.2">
      <c r="A49" s="149" t="s">
        <v>107</v>
      </c>
      <c r="B49" s="29"/>
      <c r="C49" s="30"/>
      <c r="D49" s="30">
        <f>SUM(D47:D48)</f>
        <v>204.95095437999996</v>
      </c>
      <c r="E49" s="30"/>
      <c r="F49" s="30"/>
      <c r="G49" s="30">
        <f>SUM(G47:G48)</f>
        <v>206.97365437999997</v>
      </c>
      <c r="H49" s="30">
        <f>G49-D49</f>
        <v>2.0227000000000146</v>
      </c>
      <c r="I49" s="33">
        <f t="shared" si="10"/>
        <v>9.869190441776244E-3</v>
      </c>
      <c r="J49" s="33"/>
      <c r="K49" s="62">
        <f>G49/$G$51</f>
        <v>1.0761904761904761</v>
      </c>
    </row>
    <row r="50" spans="1:11" x14ac:dyDescent="0.2">
      <c r="A50" s="58" t="s">
        <v>104</v>
      </c>
      <c r="B50" s="59"/>
      <c r="C50" s="31">
        <v>-0.08</v>
      </c>
      <c r="D50" s="31">
        <f>D47*C50</f>
        <v>-14.509802079999998</v>
      </c>
      <c r="E50" s="31"/>
      <c r="F50" s="31">
        <f>C50</f>
        <v>-0.08</v>
      </c>
      <c r="G50" s="31">
        <f>G47*F50</f>
        <v>-14.653002079999998</v>
      </c>
      <c r="H50" s="31">
        <f>G50-D50</f>
        <v>-0.14320000000000022</v>
      </c>
      <c r="I50" s="32">
        <f t="shared" si="10"/>
        <v>-9.8691904417761867E-3</v>
      </c>
      <c r="J50" s="32"/>
      <c r="K50" s="60">
        <f>G50/$G$51</f>
        <v>-7.6190476190476197E-2</v>
      </c>
    </row>
    <row r="51" spans="1:11" ht="13.5" thickBot="1" x14ac:dyDescent="0.25">
      <c r="A51" s="63" t="s">
        <v>116</v>
      </c>
      <c r="B51" s="64"/>
      <c r="C51" s="65"/>
      <c r="D51" s="65">
        <f>SUM(D49:D50)</f>
        <v>190.44115229999997</v>
      </c>
      <c r="E51" s="65"/>
      <c r="F51" s="65"/>
      <c r="G51" s="65">
        <f>SUM(G49:G50)</f>
        <v>192.32065229999998</v>
      </c>
      <c r="H51" s="65">
        <f>G51-D51</f>
        <v>1.8795000000000073</v>
      </c>
      <c r="I51" s="66">
        <f t="shared" si="10"/>
        <v>9.869190441776211E-3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4"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view="pageLayout" topLeftCell="A16"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119</v>
      </c>
      <c r="B1" s="186"/>
      <c r="C1" s="186"/>
      <c r="D1" s="186"/>
      <c r="E1" s="186"/>
      <c r="F1" s="186"/>
      <c r="G1" s="186"/>
      <c r="H1" s="186"/>
      <c r="I1" s="186"/>
      <c r="J1" s="186"/>
      <c r="K1" s="187"/>
    </row>
    <row r="3" spans="1:11" x14ac:dyDescent="0.2">
      <c r="A3" s="13" t="s">
        <v>13</v>
      </c>
      <c r="B3" s="13" t="s">
        <v>6</v>
      </c>
    </row>
    <row r="4" spans="1:11" x14ac:dyDescent="0.2">
      <c r="A4" s="15" t="s">
        <v>62</v>
      </c>
      <c r="B4" s="15">
        <v>2000</v>
      </c>
    </row>
    <row r="5" spans="1:11" x14ac:dyDescent="0.2">
      <c r="A5" s="15" t="s">
        <v>16</v>
      </c>
      <c r="B5" s="15">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5">
        <f>B4*B6</f>
        <v>2134</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0.18696783990923002</v>
      </c>
      <c r="K12" s="106"/>
    </row>
    <row r="13" spans="1:11" x14ac:dyDescent="0.2">
      <c r="A13" s="107" t="s">
        <v>32</v>
      </c>
      <c r="B13" s="73">
        <f>IF(B4&gt;B7,(B4)-B7,0)</f>
        <v>1250</v>
      </c>
      <c r="C13" s="21">
        <v>0.106</v>
      </c>
      <c r="D13" s="22">
        <f>B13*C13</f>
        <v>132.5</v>
      </c>
      <c r="E13" s="73">
        <f t="shared" ref="E13" si="1">B13</f>
        <v>1250</v>
      </c>
      <c r="F13" s="21">
        <f>C13</f>
        <v>0.106</v>
      </c>
      <c r="G13" s="22">
        <f>E13*F13</f>
        <v>132.5</v>
      </c>
      <c r="H13" s="22">
        <f t="shared" ref="H13:H46" si="2">G13-D13</f>
        <v>0</v>
      </c>
      <c r="I13" s="23">
        <f t="shared" si="0"/>
        <v>0</v>
      </c>
      <c r="J13" s="23">
        <f>G13/$G$46</f>
        <v>0.36297785769923779</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G14/$G$46</f>
        <v>0.54994569760846779</v>
      </c>
      <c r="K14" s="108"/>
    </row>
    <row r="15" spans="1:11" s="1" customFormat="1" x14ac:dyDescent="0.2">
      <c r="A15" s="109" t="s">
        <v>34</v>
      </c>
      <c r="B15" s="75">
        <f>B4*0.65</f>
        <v>1300</v>
      </c>
      <c r="C15" s="28">
        <v>7.6999999999999999E-2</v>
      </c>
      <c r="D15" s="22">
        <f>B15*C15</f>
        <v>100.1</v>
      </c>
      <c r="E15" s="73">
        <f t="shared" ref="E15:F17" si="3">B15</f>
        <v>1300</v>
      </c>
      <c r="F15" s="28">
        <f t="shared" si="3"/>
        <v>7.6999999999999999E-2</v>
      </c>
      <c r="G15" s="22">
        <f>E15*F15</f>
        <v>100.1</v>
      </c>
      <c r="H15" s="22">
        <f t="shared" si="2"/>
        <v>0</v>
      </c>
      <c r="I15" s="23">
        <f t="shared" si="0"/>
        <v>0</v>
      </c>
      <c r="J15" s="23"/>
      <c r="K15" s="108">
        <f t="shared" ref="K15:K26" si="4">G15/$G$51</f>
        <v>0.27972817103952813</v>
      </c>
    </row>
    <row r="16" spans="1:11" s="1" customFormat="1" x14ac:dyDescent="0.2">
      <c r="A16" s="109" t="s">
        <v>35</v>
      </c>
      <c r="B16" s="75">
        <f>B4*0.17</f>
        <v>340</v>
      </c>
      <c r="C16" s="28">
        <v>0.113</v>
      </c>
      <c r="D16" s="22">
        <f>B16*C16</f>
        <v>38.42</v>
      </c>
      <c r="E16" s="73">
        <f t="shared" si="3"/>
        <v>340</v>
      </c>
      <c r="F16" s="28">
        <f t="shared" si="3"/>
        <v>0.113</v>
      </c>
      <c r="G16" s="22">
        <f>E16*F16</f>
        <v>38.42</v>
      </c>
      <c r="H16" s="22">
        <f t="shared" si="2"/>
        <v>0</v>
      </c>
      <c r="I16" s="23">
        <f t="shared" si="0"/>
        <v>0</v>
      </c>
      <c r="J16" s="23"/>
      <c r="K16" s="108">
        <f t="shared" si="4"/>
        <v>0.10736419911427245</v>
      </c>
    </row>
    <row r="17" spans="1:11" s="1" customFormat="1" x14ac:dyDescent="0.2">
      <c r="A17" s="109" t="s">
        <v>36</v>
      </c>
      <c r="B17" s="75">
        <f>B4*0.18</f>
        <v>360</v>
      </c>
      <c r="C17" s="28">
        <v>0.157</v>
      </c>
      <c r="D17" s="22">
        <f>B17*C17</f>
        <v>56.52</v>
      </c>
      <c r="E17" s="73">
        <f t="shared" si="3"/>
        <v>360</v>
      </c>
      <c r="F17" s="28">
        <f t="shared" si="3"/>
        <v>0.157</v>
      </c>
      <c r="G17" s="22">
        <f>E17*F17</f>
        <v>56.52</v>
      </c>
      <c r="H17" s="22">
        <f t="shared" si="2"/>
        <v>0</v>
      </c>
      <c r="I17" s="23">
        <f t="shared" si="0"/>
        <v>0</v>
      </c>
      <c r="J17" s="23"/>
      <c r="K17" s="108">
        <f t="shared" si="4"/>
        <v>0.15794441785368762</v>
      </c>
    </row>
    <row r="18" spans="1:11" s="1" customFormat="1" x14ac:dyDescent="0.2">
      <c r="A18" s="61" t="s">
        <v>37</v>
      </c>
      <c r="B18" s="29"/>
      <c r="C18" s="30"/>
      <c r="D18" s="30">
        <f>SUM(D15:D17)</f>
        <v>195.04</v>
      </c>
      <c r="E18" s="77"/>
      <c r="F18" s="30"/>
      <c r="G18" s="30">
        <f>SUM(G15:G17)</f>
        <v>195.04</v>
      </c>
      <c r="H18" s="31">
        <f t="shared" si="2"/>
        <v>0</v>
      </c>
      <c r="I18" s="32">
        <f t="shared" si="0"/>
        <v>0</v>
      </c>
      <c r="J18" s="33">
        <f t="shared" ref="J18:J23" si="5">G18/$G$46</f>
        <v>0.53430340653327801</v>
      </c>
      <c r="K18" s="62">
        <f t="shared" si="4"/>
        <v>0.54503678800748823</v>
      </c>
    </row>
    <row r="19" spans="1:11" x14ac:dyDescent="0.2">
      <c r="A19" s="107" t="s">
        <v>38</v>
      </c>
      <c r="B19" s="73">
        <v>1</v>
      </c>
      <c r="C19" s="78">
        <f>VLOOKUP($B$3,'Data for Bill Impacts'!$A$6:$Y$18,7,0)</f>
        <v>23.88</v>
      </c>
      <c r="D19" s="22">
        <f>B19*C19</f>
        <v>23.88</v>
      </c>
      <c r="E19" s="73">
        <f t="shared" ref="E19:E41" si="6">B19</f>
        <v>1</v>
      </c>
      <c r="F19" s="78">
        <f>VLOOKUP($B$3,'Data for Bill Impacts'!$A$6:$Y$18,17,0)</f>
        <v>24.47</v>
      </c>
      <c r="G19" s="22">
        <f>E19*F19</f>
        <v>24.47</v>
      </c>
      <c r="H19" s="22">
        <f t="shared" si="2"/>
        <v>0.58999999999999986</v>
      </c>
      <c r="I19" s="23">
        <f>IF(ISERROR(H19/ABS(D19)),"N/A",(H19/ABS(D19)))</f>
        <v>2.4706867671691786E-2</v>
      </c>
      <c r="J19" s="23">
        <f t="shared" si="5"/>
        <v>6.7034476814342256E-2</v>
      </c>
      <c r="K19" s="108">
        <f t="shared" si="4"/>
        <v>6.8381102351021517E-2</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8.0000000000000002E-3</v>
      </c>
      <c r="D22" s="22">
        <f t="shared" si="9"/>
        <v>8.0000000000000002E-3</v>
      </c>
      <c r="E22" s="73">
        <f t="shared" si="6"/>
        <v>1</v>
      </c>
      <c r="F22" s="121">
        <f>VLOOKUP($B$3,'Data for Bill Impacts'!$A$6:$Y$18,22,0)</f>
        <v>8.0000000000000002E-3</v>
      </c>
      <c r="G22" s="22">
        <f t="shared" si="7"/>
        <v>8.0000000000000002E-3</v>
      </c>
      <c r="H22" s="22">
        <f t="shared" si="2"/>
        <v>0</v>
      </c>
      <c r="I22" s="23">
        <f t="shared" ref="I22:I51" si="10">IF(ISERROR(H22/ABS(D22)),"N/A",(H22/ABS(D22)))</f>
        <v>0</v>
      </c>
      <c r="J22" s="23">
        <f t="shared" si="5"/>
        <v>2.1915644238444546E-5</v>
      </c>
      <c r="K22" s="108">
        <f t="shared" si="4"/>
        <v>2.2355897785376876E-5</v>
      </c>
    </row>
    <row r="23" spans="1:11" x14ac:dyDescent="0.2">
      <c r="A23" s="107" t="s">
        <v>39</v>
      </c>
      <c r="B23" s="73">
        <f>IF($B$9="kWh",$B$4,$B$5)</f>
        <v>2000</v>
      </c>
      <c r="C23" s="125">
        <f>VLOOKUP($B$3,'Data for Bill Impacts'!$A$6:$Y$18,10,0)</f>
        <v>2.7799999999999998E-2</v>
      </c>
      <c r="D23" s="22">
        <f>B23*C23</f>
        <v>55.599999999999994</v>
      </c>
      <c r="E23" s="73">
        <f t="shared" si="6"/>
        <v>2000</v>
      </c>
      <c r="F23" s="78">
        <f>VLOOKUP($B$3,'Data for Bill Impacts'!$A$6:$Y$18,19,0)</f>
        <v>2.9000000000000001E-2</v>
      </c>
      <c r="G23" s="22">
        <f>E23*F23</f>
        <v>58</v>
      </c>
      <c r="H23" s="22">
        <f t="shared" si="2"/>
        <v>2.4000000000000057</v>
      </c>
      <c r="I23" s="23">
        <f t="shared" si="10"/>
        <v>4.3165467625899387E-2</v>
      </c>
      <c r="J23" s="23">
        <f t="shared" si="5"/>
        <v>0.15888842072872295</v>
      </c>
      <c r="K23" s="108">
        <f t="shared" si="4"/>
        <v>0.16208025894398234</v>
      </c>
    </row>
    <row r="24" spans="1:11" x14ac:dyDescent="0.2">
      <c r="A24" s="107" t="s">
        <v>122</v>
      </c>
      <c r="B24" s="73">
        <f>IF($B$9="kWh",$B$4,$B$5)</f>
        <v>2000</v>
      </c>
      <c r="C24" s="125">
        <f>VLOOKUP($B$3,'Data for Bill Impacts'!$A$6:$Y$18,14,0)</f>
        <v>3.0000000000000004E-5</v>
      </c>
      <c r="D24" s="22">
        <f>B24*C24</f>
        <v>6.0000000000000012E-2</v>
      </c>
      <c r="E24" s="73">
        <f t="shared" si="6"/>
        <v>2000</v>
      </c>
      <c r="F24" s="125">
        <f>VLOOKUP($B$3,'Data for Bill Impacts'!$A$6:$Y$18,23,0)</f>
        <v>3.0000000000000004E-5</v>
      </c>
      <c r="G24" s="22">
        <f>E24*F24</f>
        <v>6.0000000000000012E-2</v>
      </c>
      <c r="H24" s="22">
        <f t="shared" si="2"/>
        <v>0</v>
      </c>
      <c r="I24" s="23">
        <f t="shared" si="10"/>
        <v>0</v>
      </c>
      <c r="J24" s="23">
        <f t="shared" ref="J24" si="11">G24/$G$46</f>
        <v>1.6436733178833412E-4</v>
      </c>
      <c r="K24" s="108">
        <f t="shared" si="4"/>
        <v>1.6766923339032658E-4</v>
      </c>
    </row>
    <row r="25" spans="1:11" s="1" customFormat="1" x14ac:dyDescent="0.2">
      <c r="A25" s="110" t="s">
        <v>72</v>
      </c>
      <c r="B25" s="74"/>
      <c r="C25" s="35"/>
      <c r="D25" s="35">
        <f>SUM(D19:D24)</f>
        <v>79.548000000000002</v>
      </c>
      <c r="E25" s="73"/>
      <c r="F25" s="35"/>
      <c r="G25" s="35">
        <f>SUM(G19:G24)</f>
        <v>82.537999999999997</v>
      </c>
      <c r="H25" s="35">
        <f t="shared" si="2"/>
        <v>2.9899999999999949</v>
      </c>
      <c r="I25" s="36">
        <f t="shared" si="10"/>
        <v>3.7587368632775113E-2</v>
      </c>
      <c r="J25" s="36">
        <f>G25/$G$46</f>
        <v>0.22610918051909198</v>
      </c>
      <c r="K25" s="111">
        <f t="shared" si="4"/>
        <v>0.23065138642617955</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2.1641698685463989E-3</v>
      </c>
      <c r="K26" s="108">
        <f t="shared" si="4"/>
        <v>2.2076449063059664E-3</v>
      </c>
    </row>
    <row r="27" spans="1:11" s="1" customFormat="1" x14ac:dyDescent="0.2">
      <c r="A27" s="119" t="s">
        <v>75</v>
      </c>
      <c r="B27" s="120">
        <f>B8-B4</f>
        <v>134</v>
      </c>
      <c r="C27" s="170">
        <f>IF(B4&gt;B7,C13,C12)</f>
        <v>0.106</v>
      </c>
      <c r="D27" s="22">
        <f>B27*C27</f>
        <v>14.203999999999999</v>
      </c>
      <c r="E27" s="73">
        <f>B27</f>
        <v>134</v>
      </c>
      <c r="F27" s="170">
        <f>C27</f>
        <v>0.106</v>
      </c>
      <c r="G27" s="22">
        <f>E27*F27</f>
        <v>14.203999999999999</v>
      </c>
      <c r="H27" s="22">
        <f t="shared" si="2"/>
        <v>0</v>
      </c>
      <c r="I27" s="23">
        <f t="shared" si="10"/>
        <v>0</v>
      </c>
      <c r="J27" s="23">
        <f t="shared" ref="J27:J46" si="12">G27/$G$46</f>
        <v>3.8911226345358291E-2</v>
      </c>
      <c r="K27" s="108">
        <f t="shared" ref="K27:K41" si="13">G27/$G$51</f>
        <v>3.9692896517936636E-2</v>
      </c>
    </row>
    <row r="28" spans="1:11" s="1" customFormat="1" x14ac:dyDescent="0.2">
      <c r="A28" s="119" t="s">
        <v>74</v>
      </c>
      <c r="B28" s="120">
        <f>B8-B4</f>
        <v>134</v>
      </c>
      <c r="C28" s="170">
        <f>0.65*C15+0.17*C16+0.18*C17</f>
        <v>9.7519999999999996E-2</v>
      </c>
      <c r="D28" s="22">
        <f>B28*C28</f>
        <v>13.067679999999999</v>
      </c>
      <c r="E28" s="73">
        <f>B28</f>
        <v>134</v>
      </c>
      <c r="F28" s="170">
        <f>C28</f>
        <v>9.7519999999999996E-2</v>
      </c>
      <c r="G28" s="22">
        <f>E28*F28</f>
        <v>13.067679999999999</v>
      </c>
      <c r="H28" s="22">
        <f t="shared" si="2"/>
        <v>0</v>
      </c>
      <c r="I28" s="23">
        <f t="shared" si="10"/>
        <v>0</v>
      </c>
      <c r="J28" s="23">
        <f t="shared" si="12"/>
        <v>3.5798328237729625E-2</v>
      </c>
      <c r="K28" s="108">
        <f t="shared" si="13"/>
        <v>3.6517464796501704E-2</v>
      </c>
    </row>
    <row r="29" spans="1:11" s="1" customFormat="1" x14ac:dyDescent="0.2">
      <c r="A29" s="110" t="s">
        <v>78</v>
      </c>
      <c r="B29" s="74"/>
      <c r="C29" s="35"/>
      <c r="D29" s="35">
        <f>SUM(D25,D26:D27)</f>
        <v>94.542000000000002</v>
      </c>
      <c r="E29" s="73"/>
      <c r="F29" s="35"/>
      <c r="G29" s="35">
        <f>SUM(G25,G26:G27)</f>
        <v>97.531999999999996</v>
      </c>
      <c r="H29" s="35">
        <f t="shared" si="2"/>
        <v>2.9899999999999949</v>
      </c>
      <c r="I29" s="36">
        <f t="shared" si="10"/>
        <v>3.162615557106889E-2</v>
      </c>
      <c r="J29" s="36">
        <f t="shared" si="12"/>
        <v>0.26718457673299667</v>
      </c>
      <c r="K29" s="111">
        <f t="shared" si="13"/>
        <v>0.27255192785042215</v>
      </c>
    </row>
    <row r="30" spans="1:11" s="1" customFormat="1" x14ac:dyDescent="0.2">
      <c r="A30" s="110" t="s">
        <v>77</v>
      </c>
      <c r="B30" s="74"/>
      <c r="C30" s="35"/>
      <c r="D30" s="35">
        <f>SUM(D25,D26,D28)</f>
        <v>93.405680000000004</v>
      </c>
      <c r="E30" s="73"/>
      <c r="F30" s="35"/>
      <c r="G30" s="35">
        <f>SUM(G25,G26,G28)</f>
        <v>96.395679999999999</v>
      </c>
      <c r="H30" s="35">
        <f t="shared" si="2"/>
        <v>2.9899999999999949</v>
      </c>
      <c r="I30" s="36">
        <f t="shared" si="10"/>
        <v>3.2010901264248541E-2</v>
      </c>
      <c r="J30" s="36">
        <f t="shared" si="12"/>
        <v>0.26407167862536801</v>
      </c>
      <c r="K30" s="111">
        <f t="shared" si="13"/>
        <v>0.26937649612898723</v>
      </c>
    </row>
    <row r="31" spans="1:11" x14ac:dyDescent="0.2">
      <c r="A31" s="107" t="s">
        <v>40</v>
      </c>
      <c r="B31" s="73">
        <f>B8</f>
        <v>2134</v>
      </c>
      <c r="C31" s="125">
        <f>VLOOKUP($B$3,'Data for Bill Impacts'!$A$6:$Y$18,15,0)</f>
        <v>6.1060000000000003E-3</v>
      </c>
      <c r="D31" s="22">
        <f>B31*C31</f>
        <v>13.030204000000001</v>
      </c>
      <c r="E31" s="73">
        <f t="shared" si="6"/>
        <v>2134</v>
      </c>
      <c r="F31" s="125">
        <f>VLOOKUP($B$3,'Data for Bill Impacts'!$A$6:$Y$18,24,0)</f>
        <v>6.1060000000000003E-3</v>
      </c>
      <c r="G31" s="22">
        <f>E31*F31</f>
        <v>13.030204000000001</v>
      </c>
      <c r="H31" s="22">
        <f t="shared" si="2"/>
        <v>0</v>
      </c>
      <c r="I31" s="23">
        <f t="shared" si="10"/>
        <v>0</v>
      </c>
      <c r="J31" s="23">
        <f t="shared" si="12"/>
        <v>3.5695664402294637E-2</v>
      </c>
      <c r="K31" s="108">
        <f t="shared" si="13"/>
        <v>3.6412738593326117E-2</v>
      </c>
    </row>
    <row r="32" spans="1:11" x14ac:dyDescent="0.2">
      <c r="A32" s="107" t="s">
        <v>41</v>
      </c>
      <c r="B32" s="73">
        <f>B8</f>
        <v>2134</v>
      </c>
      <c r="C32" s="125">
        <f>VLOOKUP($B$3,'Data for Bill Impacts'!$A$6:$Y$18,16,0)</f>
        <v>4.6519999999999999E-3</v>
      </c>
      <c r="D32" s="22">
        <f>B32*C32</f>
        <v>9.9273679999999995</v>
      </c>
      <c r="E32" s="73">
        <f t="shared" si="6"/>
        <v>2134</v>
      </c>
      <c r="F32" s="125">
        <f>VLOOKUP($B$3,'Data for Bill Impacts'!$A$6:$Y$18,25,0)</f>
        <v>4.6519999999999999E-3</v>
      </c>
      <c r="G32" s="22">
        <f>E32*F32</f>
        <v>9.9273679999999995</v>
      </c>
      <c r="H32" s="22">
        <f t="shared" si="2"/>
        <v>0</v>
      </c>
      <c r="I32" s="23">
        <f t="shared" si="10"/>
        <v>0</v>
      </c>
      <c r="J32" s="23">
        <f t="shared" si="12"/>
        <v>2.7195583164014842E-2</v>
      </c>
      <c r="K32" s="108">
        <f t="shared" si="13"/>
        <v>2.7741903035727655E-2</v>
      </c>
    </row>
    <row r="33" spans="1:11" s="1" customFormat="1" x14ac:dyDescent="0.2">
      <c r="A33" s="110" t="s">
        <v>76</v>
      </c>
      <c r="B33" s="74"/>
      <c r="C33" s="35"/>
      <c r="D33" s="35">
        <f>SUM(D31:D32)</f>
        <v>22.957571999999999</v>
      </c>
      <c r="E33" s="73"/>
      <c r="F33" s="35"/>
      <c r="G33" s="35">
        <f>SUM(G31:G32)</f>
        <v>22.957571999999999</v>
      </c>
      <c r="H33" s="35">
        <f t="shared" si="2"/>
        <v>0</v>
      </c>
      <c r="I33" s="36">
        <f t="shared" si="10"/>
        <v>0</v>
      </c>
      <c r="J33" s="36">
        <f t="shared" si="12"/>
        <v>6.2891247566309469E-2</v>
      </c>
      <c r="K33" s="111">
        <f t="shared" si="13"/>
        <v>6.4154641629053766E-2</v>
      </c>
    </row>
    <row r="34" spans="1:11" s="1" customFormat="1" ht="13.5" customHeight="1" x14ac:dyDescent="0.2">
      <c r="A34" s="110" t="s">
        <v>91</v>
      </c>
      <c r="B34" s="74"/>
      <c r="C34" s="35"/>
      <c r="D34" s="35">
        <f>D29+D33</f>
        <v>117.499572</v>
      </c>
      <c r="E34" s="73"/>
      <c r="F34" s="35"/>
      <c r="G34" s="35">
        <f>G29+G33</f>
        <v>120.489572</v>
      </c>
      <c r="H34" s="35">
        <f t="shared" si="2"/>
        <v>2.9899999999999949</v>
      </c>
      <c r="I34" s="36">
        <f t="shared" si="10"/>
        <v>2.5446901202329442E-2</v>
      </c>
      <c r="J34" s="36">
        <f t="shared" si="12"/>
        <v>0.33007582429930615</v>
      </c>
      <c r="K34" s="111">
        <f t="shared" si="13"/>
        <v>0.33670656947947591</v>
      </c>
    </row>
    <row r="35" spans="1:11" s="1" customFormat="1" ht="13.5" customHeight="1" x14ac:dyDescent="0.2">
      <c r="A35" s="110" t="s">
        <v>92</v>
      </c>
      <c r="B35" s="74"/>
      <c r="C35" s="35"/>
      <c r="D35" s="35">
        <f>D30+D33</f>
        <v>116.363252</v>
      </c>
      <c r="E35" s="73"/>
      <c r="F35" s="35"/>
      <c r="G35" s="35">
        <f>G30+G33</f>
        <v>119.353252</v>
      </c>
      <c r="H35" s="35">
        <f t="shared" si="2"/>
        <v>2.9899999999999949</v>
      </c>
      <c r="I35" s="36">
        <f t="shared" si="10"/>
        <v>2.5695397375109411E-2</v>
      </c>
      <c r="J35" s="36">
        <f t="shared" si="12"/>
        <v>0.32696292619167749</v>
      </c>
      <c r="K35" s="111">
        <f t="shared" si="13"/>
        <v>0.333531137758041</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2"/>
        <v>0</v>
      </c>
      <c r="I36" s="23">
        <f t="shared" si="10"/>
        <v>0</v>
      </c>
      <c r="J36" s="23">
        <f t="shared" si="12"/>
        <v>2.1045593162178296E-2</v>
      </c>
      <c r="K36" s="108">
        <f t="shared" si="13"/>
        <v>2.146836864329741E-2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10"/>
        <v>0</v>
      </c>
      <c r="J37" s="23">
        <f t="shared" si="12"/>
        <v>1.2276596011270673E-2</v>
      </c>
      <c r="K37" s="108">
        <f t="shared" si="13"/>
        <v>1.252321504192349E-2</v>
      </c>
    </row>
    <row r="38" spans="1:11" x14ac:dyDescent="0.2">
      <c r="A38" s="107" t="s">
        <v>96</v>
      </c>
      <c r="B38" s="73">
        <f>B8</f>
        <v>2134</v>
      </c>
      <c r="C38" s="34">
        <v>0</v>
      </c>
      <c r="D38" s="22">
        <f>B38*C38</f>
        <v>0</v>
      </c>
      <c r="E38" s="73">
        <f t="shared" si="6"/>
        <v>2134</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6.8486388245139209E-4</v>
      </c>
      <c r="K39" s="108">
        <f t="shared" si="13"/>
        <v>6.9862180579302732E-4</v>
      </c>
    </row>
    <row r="40" spans="1:11" s="1" customFormat="1" x14ac:dyDescent="0.2">
      <c r="A40" s="110" t="s">
        <v>45</v>
      </c>
      <c r="B40" s="74"/>
      <c r="C40" s="35"/>
      <c r="D40" s="35">
        <f>SUM(D36:D39)</f>
        <v>12.413799999999998</v>
      </c>
      <c r="E40" s="73"/>
      <c r="F40" s="35"/>
      <c r="G40" s="35">
        <f>SUM(G36:G39)</f>
        <v>12.413799999999998</v>
      </c>
      <c r="H40" s="35">
        <f t="shared" si="2"/>
        <v>0</v>
      </c>
      <c r="I40" s="36">
        <f t="shared" si="10"/>
        <v>0</v>
      </c>
      <c r="J40" s="36">
        <f t="shared" si="12"/>
        <v>3.4007053055900356E-2</v>
      </c>
      <c r="K40" s="111">
        <f t="shared" si="13"/>
        <v>3.4690205491013926E-2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2"/>
        <v>0</v>
      </c>
      <c r="I41" s="117">
        <f t="shared" si="10"/>
        <v>0</v>
      </c>
      <c r="J41" s="117">
        <f t="shared" si="12"/>
        <v>3.8352377417277955E-2</v>
      </c>
      <c r="K41" s="118">
        <f t="shared" si="13"/>
        <v>3.9122821124409533E-2</v>
      </c>
    </row>
    <row r="42" spans="1:11" s="1" customFormat="1" x14ac:dyDescent="0.2">
      <c r="A42" s="37" t="s">
        <v>101</v>
      </c>
      <c r="B42" s="38"/>
      <c r="C42" s="39"/>
      <c r="D42" s="39">
        <f>SUM(D14,D25,D26,D27,D33,D40,D41)</f>
        <v>344.66337200000004</v>
      </c>
      <c r="E42" s="38"/>
      <c r="F42" s="39"/>
      <c r="G42" s="39">
        <f>SUM(G14,G25,G26,G27,G33,G40,G41)</f>
        <v>347.65337200000005</v>
      </c>
      <c r="H42" s="39">
        <f t="shared" si="2"/>
        <v>2.9900000000000091</v>
      </c>
      <c r="I42" s="40">
        <f t="shared" si="10"/>
        <v>8.675131281429025E-3</v>
      </c>
      <c r="J42" s="40">
        <f t="shared" si="12"/>
        <v>0.95238095238095244</v>
      </c>
      <c r="K42" s="41"/>
    </row>
    <row r="43" spans="1:11" x14ac:dyDescent="0.2">
      <c r="A43" s="153" t="s">
        <v>102</v>
      </c>
      <c r="B43" s="43"/>
      <c r="C43" s="26">
        <v>0.13</v>
      </c>
      <c r="D43" s="26">
        <f>D42*C43</f>
        <v>44.806238360000009</v>
      </c>
      <c r="E43" s="26"/>
      <c r="F43" s="26">
        <f>C43</f>
        <v>0.13</v>
      </c>
      <c r="G43" s="26">
        <f>G42*F43</f>
        <v>45.194938360000009</v>
      </c>
      <c r="H43" s="26">
        <f t="shared" si="2"/>
        <v>0.38870000000000005</v>
      </c>
      <c r="I43" s="44">
        <f t="shared" si="10"/>
        <v>8.675131281428999E-3</v>
      </c>
      <c r="J43" s="44">
        <f t="shared" si="12"/>
        <v>0.12380952380952383</v>
      </c>
      <c r="K43" s="45"/>
    </row>
    <row r="44" spans="1:11" s="1" customFormat="1" x14ac:dyDescent="0.2">
      <c r="A44" s="46" t="s">
        <v>103</v>
      </c>
      <c r="B44" s="24"/>
      <c r="C44" s="25"/>
      <c r="D44" s="25">
        <f>SUM(D42:D43)</f>
        <v>389.46961036000005</v>
      </c>
      <c r="E44" s="25"/>
      <c r="F44" s="25"/>
      <c r="G44" s="25">
        <f>SUM(G42:G43)</f>
        <v>392.84831036000003</v>
      </c>
      <c r="H44" s="25">
        <f t="shared" si="2"/>
        <v>3.3786999999999807</v>
      </c>
      <c r="I44" s="27">
        <f t="shared" si="10"/>
        <v>8.6751312814289487E-3</v>
      </c>
      <c r="J44" s="27">
        <f t="shared" si="12"/>
        <v>1.0761904761904761</v>
      </c>
      <c r="K44" s="47"/>
    </row>
    <row r="45" spans="1:11" x14ac:dyDescent="0.2">
      <c r="A45" s="42" t="s">
        <v>104</v>
      </c>
      <c r="B45" s="43"/>
      <c r="C45" s="26">
        <v>-0.08</v>
      </c>
      <c r="D45" s="26">
        <f>D42*C45</f>
        <v>-27.573069760000003</v>
      </c>
      <c r="E45" s="26"/>
      <c r="F45" s="26">
        <f>C45</f>
        <v>-0.08</v>
      </c>
      <c r="G45" s="26">
        <f>G42*F45</f>
        <v>-27.812269760000003</v>
      </c>
      <c r="H45" s="26">
        <f t="shared" si="2"/>
        <v>-0.2392000000000003</v>
      </c>
      <c r="I45" s="44">
        <f t="shared" si="10"/>
        <v>-8.6751312814290094E-3</v>
      </c>
      <c r="J45" s="44">
        <f t="shared" si="12"/>
        <v>-7.6190476190476197E-2</v>
      </c>
      <c r="K45" s="45"/>
    </row>
    <row r="46" spans="1:11" s="1" customFormat="1" ht="13.5" thickBot="1" x14ac:dyDescent="0.25">
      <c r="A46" s="48" t="s">
        <v>105</v>
      </c>
      <c r="B46" s="49"/>
      <c r="C46" s="50"/>
      <c r="D46" s="50">
        <f>SUM(D44:D45)</f>
        <v>361.89654060000004</v>
      </c>
      <c r="E46" s="50"/>
      <c r="F46" s="50"/>
      <c r="G46" s="50">
        <f>SUM(G44:G45)</f>
        <v>365.03604060000004</v>
      </c>
      <c r="H46" s="50">
        <f t="shared" si="2"/>
        <v>3.1394999999999982</v>
      </c>
      <c r="I46" s="51">
        <f t="shared" si="10"/>
        <v>8.6751312814289938E-3</v>
      </c>
      <c r="J46" s="51">
        <f t="shared" si="12"/>
        <v>1</v>
      </c>
      <c r="K46" s="52"/>
    </row>
    <row r="47" spans="1:11" x14ac:dyDescent="0.2">
      <c r="A47" s="53" t="s">
        <v>106</v>
      </c>
      <c r="B47" s="54"/>
      <c r="C47" s="55"/>
      <c r="D47" s="55">
        <f>SUM(D18,D25,D26,D28,D33,D40,D41)</f>
        <v>337.81705199999993</v>
      </c>
      <c r="E47" s="55"/>
      <c r="F47" s="55"/>
      <c r="G47" s="55">
        <f>SUM(G18,G25,G26,G28,G33,G40,G41)</f>
        <v>340.80705199999994</v>
      </c>
      <c r="H47" s="55">
        <f>G47-D47</f>
        <v>2.9900000000000091</v>
      </c>
      <c r="I47" s="56">
        <f t="shared" si="10"/>
        <v>8.850944563923345E-3</v>
      </c>
      <c r="J47" s="56"/>
      <c r="K47" s="57">
        <f>G47/$G$51</f>
        <v>0.95238095238095255</v>
      </c>
    </row>
    <row r="48" spans="1:11" x14ac:dyDescent="0.2">
      <c r="A48" s="58" t="s">
        <v>102</v>
      </c>
      <c r="B48" s="59"/>
      <c r="C48" s="31">
        <v>0.13</v>
      </c>
      <c r="D48" s="31">
        <f>D47*C48</f>
        <v>43.91621675999999</v>
      </c>
      <c r="E48" s="31"/>
      <c r="F48" s="31">
        <f>C48</f>
        <v>0.13</v>
      </c>
      <c r="G48" s="31">
        <f>G47*F48</f>
        <v>44.30491675999999</v>
      </c>
      <c r="H48" s="31">
        <f>G48-D48</f>
        <v>0.38870000000000005</v>
      </c>
      <c r="I48" s="32">
        <f t="shared" si="10"/>
        <v>8.850944563923319E-3</v>
      </c>
      <c r="J48" s="32"/>
      <c r="K48" s="60">
        <f>G48/$G$51</f>
        <v>0.12380952380952381</v>
      </c>
    </row>
    <row r="49" spans="1:11" x14ac:dyDescent="0.2">
      <c r="A49" s="149" t="s">
        <v>107</v>
      </c>
      <c r="B49" s="29"/>
      <c r="C49" s="30"/>
      <c r="D49" s="30">
        <f>SUM(D47:D48)</f>
        <v>381.73326875999993</v>
      </c>
      <c r="E49" s="30"/>
      <c r="F49" s="30"/>
      <c r="G49" s="30">
        <f>SUM(G47:G48)</f>
        <v>385.11196875999991</v>
      </c>
      <c r="H49" s="30">
        <f>G49-D49</f>
        <v>3.3786999999999807</v>
      </c>
      <c r="I49" s="33">
        <f t="shared" si="10"/>
        <v>8.8509445639232669E-3</v>
      </c>
      <c r="J49" s="33"/>
      <c r="K49" s="62">
        <f>G49/$G$51</f>
        <v>1.0761904761904764</v>
      </c>
    </row>
    <row r="50" spans="1:11" x14ac:dyDescent="0.2">
      <c r="A50" s="58" t="s">
        <v>104</v>
      </c>
      <c r="B50" s="59"/>
      <c r="C50" s="31">
        <v>-0.08</v>
      </c>
      <c r="D50" s="31">
        <f>D47*C50</f>
        <v>-27.025364159999995</v>
      </c>
      <c r="E50" s="31"/>
      <c r="F50" s="31">
        <f>C50</f>
        <v>-0.08</v>
      </c>
      <c r="G50" s="31">
        <f>G47*F50</f>
        <v>-27.264564159999995</v>
      </c>
      <c r="H50" s="31">
        <f>G50-D50</f>
        <v>-0.2392000000000003</v>
      </c>
      <c r="I50" s="32">
        <f t="shared" si="10"/>
        <v>-8.8509445639233277E-3</v>
      </c>
      <c r="J50" s="32"/>
      <c r="K50" s="60">
        <f>G50/$G$51</f>
        <v>-7.6190476190476197E-2</v>
      </c>
    </row>
    <row r="51" spans="1:11" ht="13.5" thickBot="1" x14ac:dyDescent="0.25">
      <c r="A51" s="63" t="s">
        <v>116</v>
      </c>
      <c r="B51" s="64"/>
      <c r="C51" s="65"/>
      <c r="D51" s="65">
        <f>SUM(D49:D50)</f>
        <v>354.70790459999995</v>
      </c>
      <c r="E51" s="65"/>
      <c r="F51" s="65"/>
      <c r="G51" s="65">
        <f>SUM(G49:G50)</f>
        <v>357.84740459999989</v>
      </c>
      <c r="H51" s="65">
        <f>G51-D51</f>
        <v>3.1394999999999413</v>
      </c>
      <c r="I51" s="66">
        <f t="shared" si="10"/>
        <v>8.8509445639231507E-3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4"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5"/>
  <sheetViews>
    <sheetView tabSelected="1" view="pageLayout" zoomScaleNormal="110" zoomScaleSheetLayoutView="100" workbookViewId="0">
      <selection sqref="A1:XFD1"/>
    </sheetView>
  </sheetViews>
  <sheetFormatPr defaultRowHeight="12.75" x14ac:dyDescent="0.2"/>
  <cols>
    <col min="1" max="1" width="10.5703125" customWidth="1"/>
    <col min="2" max="2" width="13.42578125" customWidth="1"/>
    <col min="3" max="5" width="13.7109375" customWidth="1"/>
    <col min="6" max="6" width="12.140625" customWidth="1"/>
    <col min="7" max="7" width="13" customWidth="1"/>
    <col min="8" max="8" width="11.85546875" bestFit="1" customWidth="1"/>
    <col min="9" max="9" width="12.28515625" bestFit="1" customWidth="1"/>
    <col min="10" max="10" width="19.42578125" customWidth="1"/>
  </cols>
  <sheetData>
    <row r="1" spans="1:10" ht="39" thickBot="1" x14ac:dyDescent="0.25">
      <c r="A1" s="95" t="s">
        <v>13</v>
      </c>
      <c r="B1" s="89" t="s">
        <v>67</v>
      </c>
      <c r="C1" s="96" t="s">
        <v>62</v>
      </c>
      <c r="D1" s="97" t="s">
        <v>68</v>
      </c>
      <c r="E1" s="99" t="s">
        <v>117</v>
      </c>
      <c r="F1" s="87" t="s">
        <v>63</v>
      </c>
      <c r="G1" s="88" t="s">
        <v>65</v>
      </c>
      <c r="H1" s="86" t="s">
        <v>64</v>
      </c>
      <c r="I1" s="142" t="s">
        <v>66</v>
      </c>
      <c r="J1" s="99" t="s">
        <v>69</v>
      </c>
    </row>
    <row r="2" spans="1:10" x14ac:dyDescent="0.2">
      <c r="A2" s="175" t="s">
        <v>0</v>
      </c>
      <c r="B2" s="90" t="s">
        <v>60</v>
      </c>
      <c r="C2" s="98">
        <f>BI_UR_Low!B4</f>
        <v>350</v>
      </c>
      <c r="D2" s="83"/>
      <c r="E2" s="146">
        <f>BI_UR_Low!D51</f>
        <v>78.709517985000005</v>
      </c>
      <c r="F2" s="132">
        <f>BI_UR_Low!H$25</f>
        <v>2.4350000000000023</v>
      </c>
      <c r="G2" s="133">
        <f>BI_UR_Low!I$25</f>
        <v>7.9947467782976345E-2</v>
      </c>
      <c r="H2" s="134">
        <f>BI_UR_Low!H$51</f>
        <v>2.5567499999999939</v>
      </c>
      <c r="I2" s="143">
        <f>BI_UR_Low!I$51</f>
        <v>3.24833649786452E-2</v>
      </c>
      <c r="J2" s="172" t="s">
        <v>50</v>
      </c>
    </row>
    <row r="3" spans="1:10" x14ac:dyDescent="0.2">
      <c r="A3" s="176"/>
      <c r="B3" s="91" t="s">
        <v>90</v>
      </c>
      <c r="C3" s="93">
        <f>BI_UR_Typical!B4</f>
        <v>750</v>
      </c>
      <c r="D3" s="84"/>
      <c r="E3" s="147">
        <f>BI_UR_Typical!D51</f>
        <v>134.15485282500003</v>
      </c>
      <c r="F3" s="135">
        <f>BI_UR_Typical!H$25</f>
        <v>1.1950000000000003</v>
      </c>
      <c r="G3" s="136">
        <f>BI_UR_Typical!I$25</f>
        <v>3.5576593876062469E-2</v>
      </c>
      <c r="H3" s="137">
        <f>BI_UR_Typical!H$51</f>
        <v>1.2547500000000014</v>
      </c>
      <c r="I3" s="144">
        <f>BI_UR_Typical!I$51</f>
        <v>9.352997477003501E-3</v>
      </c>
      <c r="J3" s="173"/>
    </row>
    <row r="4" spans="1:10" x14ac:dyDescent="0.2">
      <c r="A4" s="176"/>
      <c r="B4" s="157" t="s">
        <v>113</v>
      </c>
      <c r="C4" s="158">
        <f>BI_UR_Avg!$B$4</f>
        <v>755</v>
      </c>
      <c r="D4" s="159"/>
      <c r="E4" s="160">
        <f>BI_UR_Avg!$D$51</f>
        <v>134.84791951049999</v>
      </c>
      <c r="F4" s="161">
        <f>BI_UR_Avg!$H$25</f>
        <v>1.1794999999999973</v>
      </c>
      <c r="G4" s="162">
        <f>BI_UR_Avg!$I$25</f>
        <v>3.5074259597099415E-2</v>
      </c>
      <c r="H4" s="163">
        <f>BI_UR_Avg!$H$51</f>
        <v>1.2384750000000224</v>
      </c>
      <c r="I4" s="164">
        <f>BI_UR_Avg!$I$51</f>
        <v>9.1842351331463297E-3</v>
      </c>
      <c r="J4" s="173"/>
    </row>
    <row r="5" spans="1:10" ht="13.5" thickBot="1" x14ac:dyDescent="0.25">
      <c r="A5" s="177"/>
      <c r="B5" s="92" t="s">
        <v>61</v>
      </c>
      <c r="C5" s="94">
        <f>BI_UR_High!B4</f>
        <v>1400</v>
      </c>
      <c r="D5" s="85"/>
      <c r="E5" s="148">
        <f>BI_UR_High!D51</f>
        <v>224.25352193999998</v>
      </c>
      <c r="F5" s="138">
        <f>BI_UR_High!H$25</f>
        <v>-0.82000000000000028</v>
      </c>
      <c r="G5" s="139">
        <f>BI_UR_High!I$25</f>
        <v>-2.1200134439876943E-2</v>
      </c>
      <c r="H5" s="140">
        <f>BI_UR_High!H$51</f>
        <v>-0.86100000000001842</v>
      </c>
      <c r="I5" s="145">
        <f>BI_UR_High!I$51</f>
        <v>-3.8394045834891401E-3</v>
      </c>
      <c r="J5" s="174"/>
    </row>
    <row r="6" spans="1:10" x14ac:dyDescent="0.2">
      <c r="A6" s="178" t="s">
        <v>1</v>
      </c>
      <c r="B6" s="90" t="s">
        <v>60</v>
      </c>
      <c r="C6" s="98">
        <f>BI_R1_Low!B4</f>
        <v>400</v>
      </c>
      <c r="D6" s="83"/>
      <c r="E6" s="146">
        <f>BI_R1_Low!D51</f>
        <v>102.57025128000001</v>
      </c>
      <c r="F6" s="132">
        <f>BI_R1_Low!H$25</f>
        <v>3.3999999999999986</v>
      </c>
      <c r="G6" s="133">
        <f>BI_R1_Low!I$25</f>
        <v>7.30837023343794E-2</v>
      </c>
      <c r="H6" s="134">
        <f>BI_R1_Low!H$51</f>
        <v>3.5700000000000074</v>
      </c>
      <c r="I6" s="143">
        <f>BI_R1_Low!I$51</f>
        <v>3.4805413416161876E-2</v>
      </c>
      <c r="J6" s="172" t="s">
        <v>50</v>
      </c>
    </row>
    <row r="7" spans="1:10" x14ac:dyDescent="0.2">
      <c r="A7" s="179"/>
      <c r="B7" s="91" t="s">
        <v>90</v>
      </c>
      <c r="C7" s="93">
        <f>BI_R1_Typical!B4</f>
        <v>750</v>
      </c>
      <c r="D7" s="84"/>
      <c r="E7" s="147">
        <f>BI_R1_Typical!D51</f>
        <v>156.64048364999996</v>
      </c>
      <c r="F7" s="135">
        <f>BI_R1_Typical!H$25</f>
        <v>2.5249999999999986</v>
      </c>
      <c r="G7" s="141">
        <f>BI_R1_Typical!I$25</f>
        <v>4.6621983419191611E-2</v>
      </c>
      <c r="H7" s="137">
        <f>BI_R1_Typical!H$51</f>
        <v>2.651250000000033</v>
      </c>
      <c r="I7" s="144">
        <f>BI_R1_Typical!I$51</f>
        <v>1.6925701059018874E-2</v>
      </c>
      <c r="J7" s="173"/>
    </row>
    <row r="8" spans="1:10" x14ac:dyDescent="0.2">
      <c r="A8" s="180"/>
      <c r="B8" s="157" t="s">
        <v>113</v>
      </c>
      <c r="C8" s="158">
        <f>BI_R1_Avg!$B$4</f>
        <v>920</v>
      </c>
      <c r="D8" s="159"/>
      <c r="E8" s="160">
        <f>BI_R1_Avg!$D$51</f>
        <v>182.90316794399999</v>
      </c>
      <c r="F8" s="161">
        <f>BI_R1_Avg!$H$25</f>
        <v>2.1000000000000014</v>
      </c>
      <c r="G8" s="162">
        <f>BI_R1_Avg!$I$25</f>
        <v>3.628923557589292E-2</v>
      </c>
      <c r="H8" s="163">
        <f>BI_R1_Avg!$H$51</f>
        <v>2.2050000000000125</v>
      </c>
      <c r="I8" s="164">
        <f>BI_R1_Avg!$I$51</f>
        <v>1.2055559369398807E-2</v>
      </c>
      <c r="J8" s="173"/>
    </row>
    <row r="9" spans="1:10" ht="13.5" thickBot="1" x14ac:dyDescent="0.25">
      <c r="A9" s="181"/>
      <c r="B9" s="92" t="s">
        <v>61</v>
      </c>
      <c r="C9" s="94">
        <f>BI_R1_High!B4</f>
        <v>1800</v>
      </c>
      <c r="D9" s="85"/>
      <c r="E9" s="148">
        <f>BI_R1_High!D51</f>
        <v>318.85118075999998</v>
      </c>
      <c r="F9" s="138">
        <f>BI_R1_High!H$25</f>
        <v>-9.9999999999994316E-2</v>
      </c>
      <c r="G9" s="139">
        <f>BI_R1_High!I$25</f>
        <v>-1.2975217334889623E-3</v>
      </c>
      <c r="H9" s="140">
        <f>BI_R1_High!H$51</f>
        <v>-0.10499999999996135</v>
      </c>
      <c r="I9" s="145">
        <f>BI_R1_High!I$51</f>
        <v>-3.2930723276510334E-4</v>
      </c>
      <c r="J9" s="174"/>
    </row>
    <row r="10" spans="1:10" x14ac:dyDescent="0.2">
      <c r="A10" s="178" t="s">
        <v>2</v>
      </c>
      <c r="B10" s="90" t="s">
        <v>60</v>
      </c>
      <c r="C10" s="98">
        <f>BI_R2_Low!B4</f>
        <v>450</v>
      </c>
      <c r="D10" s="83"/>
      <c r="E10" s="146">
        <f>BI_R2_Low!D51</f>
        <v>104.65907109829912</v>
      </c>
      <c r="F10" s="132">
        <f>BI_R2_Low!H$25</f>
        <v>7.3600000000000065</v>
      </c>
      <c r="G10" s="133">
        <f>BI_R2_Low!I$25</f>
        <v>0.17882229735582364</v>
      </c>
      <c r="H10" s="134">
        <f>BI_R2_Low!H$51</f>
        <v>7.7280000000000086</v>
      </c>
      <c r="I10" s="143">
        <f>BI_R2_Low!I$51</f>
        <v>7.3839753390717813E-2</v>
      </c>
      <c r="J10" s="172" t="s">
        <v>50</v>
      </c>
    </row>
    <row r="11" spans="1:10" x14ac:dyDescent="0.2">
      <c r="A11" s="179"/>
      <c r="B11" s="91" t="s">
        <v>90</v>
      </c>
      <c r="C11" s="93">
        <f>BI_R2_Typical!B4</f>
        <v>750</v>
      </c>
      <c r="D11" s="84"/>
      <c r="E11" s="147">
        <f>BI_R2_Typical!D51</f>
        <v>156.20471034829916</v>
      </c>
      <c r="F11" s="135">
        <f>BI_R2_Typical!H$25</f>
        <v>6.220000000000006</v>
      </c>
      <c r="G11" s="141">
        <f>BI_R2_Typical!I$25</f>
        <v>0.11977390466900539</v>
      </c>
      <c r="H11" s="137">
        <f>BI_R2_Typical!H$51</f>
        <v>6.5309999999999491</v>
      </c>
      <c r="I11" s="144">
        <f>BI_R2_Typical!I$51</f>
        <v>4.1810518936576113E-2</v>
      </c>
      <c r="J11" s="173"/>
    </row>
    <row r="12" spans="1:10" x14ac:dyDescent="0.2">
      <c r="A12" s="180"/>
      <c r="B12" s="157" t="s">
        <v>113</v>
      </c>
      <c r="C12" s="158">
        <f>BI_R2_Avg!$B$4</f>
        <v>1152</v>
      </c>
      <c r="D12" s="159"/>
      <c r="E12" s="160">
        <f>BI_R2_Avg!$D$51</f>
        <v>225.27586694329915</v>
      </c>
      <c r="F12" s="161">
        <f>BI_R2_Avg!$H$25</f>
        <v>4.6924000000000206</v>
      </c>
      <c r="G12" s="162">
        <f>BI_R2_Avg!$I$25</f>
        <v>7.070381544499027E-2</v>
      </c>
      <c r="H12" s="163">
        <f>BI_R2_Avg!$H$51</f>
        <v>4.9270200000000273</v>
      </c>
      <c r="I12" s="164">
        <f>BI_R2_Avg!$I$51</f>
        <v>2.1871051111036828E-2</v>
      </c>
      <c r="J12" s="173"/>
    </row>
    <row r="13" spans="1:10" ht="13.5" thickBot="1" x14ac:dyDescent="0.25">
      <c r="A13" s="181"/>
      <c r="B13" s="92" t="s">
        <v>61</v>
      </c>
      <c r="C13" s="94">
        <f>BI_R2_High!B4</f>
        <v>2300</v>
      </c>
      <c r="D13" s="85"/>
      <c r="E13" s="148">
        <f>BI_R2_High!D51</f>
        <v>422.52384647329916</v>
      </c>
      <c r="F13" s="138">
        <f>BI_R2_High!H$25</f>
        <v>0.32999999999999829</v>
      </c>
      <c r="G13" s="139">
        <f>BI_R2_High!I$25</f>
        <v>3.0671517090346914E-3</v>
      </c>
      <c r="H13" s="140">
        <f>BI_R2_High!H$51</f>
        <v>0.34650000000004866</v>
      </c>
      <c r="I13" s="145">
        <f>BI_R2_High!I$51</f>
        <v>8.2007205721569912E-4</v>
      </c>
      <c r="J13" s="174"/>
    </row>
    <row r="14" spans="1:10" x14ac:dyDescent="0.2">
      <c r="A14" s="178" t="s">
        <v>3</v>
      </c>
      <c r="B14" s="90" t="s">
        <v>60</v>
      </c>
      <c r="C14" s="98">
        <f>BI_Seas_Low!B4</f>
        <v>50</v>
      </c>
      <c r="D14" s="83"/>
      <c r="E14" s="146">
        <f>BI_Seas_Low!D51</f>
        <v>53.381553119999992</v>
      </c>
      <c r="F14" s="132">
        <f>BI_Seas_Low!H$25</f>
        <v>4.1849999999999952</v>
      </c>
      <c r="G14" s="133">
        <f>BI_Seas_Low!I$25</f>
        <v>9.6154950773719827E-2</v>
      </c>
      <c r="H14" s="134">
        <f>BI_Seas_Low!H$51</f>
        <v>4.3942499999999995</v>
      </c>
      <c r="I14" s="143">
        <f>BI_Seas_Low!I$51</f>
        <v>8.2317762282447429E-2</v>
      </c>
      <c r="J14" s="172" t="s">
        <v>50</v>
      </c>
    </row>
    <row r="15" spans="1:10" x14ac:dyDescent="0.2">
      <c r="A15" s="180"/>
      <c r="B15" s="157" t="s">
        <v>113</v>
      </c>
      <c r="C15" s="158">
        <f>BI_Seas_Avg!$B$4</f>
        <v>352</v>
      </c>
      <c r="D15" s="159"/>
      <c r="E15" s="160">
        <f>BI_Seas_Avg!$D$51</f>
        <v>112.24529796480002</v>
      </c>
      <c r="F15" s="161">
        <f>BI_Seas_Avg!$H$25</f>
        <v>1.9803999999999959</v>
      </c>
      <c r="G15" s="162">
        <f>BI_Seas_Avg!$I$25</f>
        <v>3.2109359901110107E-2</v>
      </c>
      <c r="H15" s="163">
        <f>BI_Seas_Avg!$H$51</f>
        <v>2.0794199999999989</v>
      </c>
      <c r="I15" s="164">
        <f>BI_Seas_Avg!$I$51</f>
        <v>1.8525675798482914E-2</v>
      </c>
      <c r="J15" s="173"/>
    </row>
    <row r="16" spans="1:10" ht="13.5" thickBot="1" x14ac:dyDescent="0.25">
      <c r="A16" s="181"/>
      <c r="B16" s="92" t="s">
        <v>61</v>
      </c>
      <c r="C16" s="94">
        <f>BI_Seas_High!B4</f>
        <v>1000</v>
      </c>
      <c r="D16" s="85"/>
      <c r="E16" s="148">
        <f>BI_Seas_High!D51</f>
        <v>238.54896239999997</v>
      </c>
      <c r="F16" s="138">
        <f>BI_Seas_High!H$25</f>
        <v>-2.75</v>
      </c>
      <c r="G16" s="139">
        <f>BI_Seas_High!I$25</f>
        <v>-2.7328377787494536E-2</v>
      </c>
      <c r="H16" s="140">
        <f>BI_Seas_High!H$51</f>
        <v>-2.8874999999999602</v>
      </c>
      <c r="I16" s="145">
        <f>BI_Seas_High!I$51</f>
        <v>-1.2104433282581994E-2</v>
      </c>
      <c r="J16" s="174"/>
    </row>
    <row r="17" spans="1:10" x14ac:dyDescent="0.2">
      <c r="A17" s="175" t="s">
        <v>4</v>
      </c>
      <c r="B17" s="90" t="s">
        <v>60</v>
      </c>
      <c r="C17" s="98">
        <f>BI_GSe_Low!B4</f>
        <v>1000</v>
      </c>
      <c r="D17" s="83"/>
      <c r="E17" s="146">
        <f>BI_GSe_Low!D51</f>
        <v>231.83385959999998</v>
      </c>
      <c r="F17" s="132">
        <f>BI_GSe_Low!H$25</f>
        <v>3.0400000000000063</v>
      </c>
      <c r="G17" s="133">
        <f>BI_GSe_Low!I$25</f>
        <v>3.4357270405280249E-2</v>
      </c>
      <c r="H17" s="134">
        <f>BI_GSe_Low!H$51</f>
        <v>3.1919999999999789</v>
      </c>
      <c r="I17" s="143">
        <f>BI_GSe_Low!I$51</f>
        <v>1.376848060722179E-2</v>
      </c>
      <c r="J17" s="172" t="s">
        <v>50</v>
      </c>
    </row>
    <row r="18" spans="1:10" x14ac:dyDescent="0.2">
      <c r="A18" s="176"/>
      <c r="B18" s="91" t="s">
        <v>90</v>
      </c>
      <c r="C18" s="93">
        <f>BI_GSe_Typical!B4</f>
        <v>2000</v>
      </c>
      <c r="D18" s="84"/>
      <c r="E18" s="147">
        <f>BI_GSe_Typical!D51</f>
        <v>431.53561920000004</v>
      </c>
      <c r="F18" s="135">
        <f>BI_GSe_Typical!H$25</f>
        <v>5.4399999999999977</v>
      </c>
      <c r="G18" s="141">
        <f>BI_GSe_Typical!I$25</f>
        <v>3.6905876446723912E-2</v>
      </c>
      <c r="H18" s="137">
        <f>BI_GSe_Typical!H$51</f>
        <v>5.7119999999999322</v>
      </c>
      <c r="I18" s="144">
        <f>BI_GSe_Typical!I$51</f>
        <v>1.3236450818565318E-2</v>
      </c>
      <c r="J18" s="173"/>
    </row>
    <row r="19" spans="1:10" x14ac:dyDescent="0.2">
      <c r="A19" s="176"/>
      <c r="B19" s="157" t="s">
        <v>113</v>
      </c>
      <c r="C19" s="158">
        <f>BI_GSe_Avg!$B$4</f>
        <v>1982</v>
      </c>
      <c r="D19" s="159"/>
      <c r="E19" s="160">
        <f>BI_GSe_Avg!$D$51</f>
        <v>427.94098752720009</v>
      </c>
      <c r="F19" s="161">
        <f>BI_GSe_Avg!$H$25</f>
        <v>5.3967999999999847</v>
      </c>
      <c r="G19" s="162">
        <f>BI_GSe_Avg!$I$25</f>
        <v>3.6878139233835504E-2</v>
      </c>
      <c r="H19" s="163">
        <f>BI_GSe_Avg!$H$51</f>
        <v>5.6666399999999726</v>
      </c>
      <c r="I19" s="164">
        <f>BI_GSe_Avg!$I$51</f>
        <v>1.3241638836101903E-2</v>
      </c>
      <c r="J19" s="173"/>
    </row>
    <row r="20" spans="1:10" ht="13.5" thickBot="1" x14ac:dyDescent="0.25">
      <c r="A20" s="177"/>
      <c r="B20" s="92" t="s">
        <v>61</v>
      </c>
      <c r="C20" s="94">
        <f>BI_GSe_High!B4</f>
        <v>15000</v>
      </c>
      <c r="D20" s="85"/>
      <c r="E20" s="148">
        <f>BI_GSe_High!D51</f>
        <v>3027.6584940000007</v>
      </c>
      <c r="F20" s="138">
        <f>BI_GSe_High!H$25</f>
        <v>36.639999999999986</v>
      </c>
      <c r="G20" s="139">
        <f>BI_GSe_High!I$25</f>
        <v>4.0115529220615689E-2</v>
      </c>
      <c r="H20" s="140">
        <f>BI_GSe_High!H$51</f>
        <v>38.471999999999753</v>
      </c>
      <c r="I20" s="145">
        <f>BI_GSe_High!I$51</f>
        <v>1.2706849228947333E-2</v>
      </c>
      <c r="J20" s="174"/>
    </row>
    <row r="21" spans="1:10" x14ac:dyDescent="0.2">
      <c r="A21" s="175" t="s">
        <v>6</v>
      </c>
      <c r="B21" s="90" t="s">
        <v>60</v>
      </c>
      <c r="C21" s="98">
        <f>BI_UGe_Low!B4</f>
        <v>1000</v>
      </c>
      <c r="D21" s="83"/>
      <c r="E21" s="146">
        <f>BI_UGe_Low!D51</f>
        <v>190.44115229999997</v>
      </c>
      <c r="F21" s="132">
        <f>BI_UGe_Low!H$25</f>
        <v>1.7899999999999991</v>
      </c>
      <c r="G21" s="133">
        <f>BI_UGe_Low!I$25</f>
        <v>3.4610773811825653E-2</v>
      </c>
      <c r="H21" s="134">
        <f>BI_UGe_Low!H$51</f>
        <v>1.8795000000000073</v>
      </c>
      <c r="I21" s="143">
        <f>BI_UGe_Low!I$51</f>
        <v>9.869190441776211E-3</v>
      </c>
      <c r="J21" s="172" t="s">
        <v>50</v>
      </c>
    </row>
    <row r="22" spans="1:10" x14ac:dyDescent="0.2">
      <c r="A22" s="176"/>
      <c r="B22" s="91" t="s">
        <v>90</v>
      </c>
      <c r="C22" s="93">
        <f>BI_UGe_Typical!B4</f>
        <v>2000</v>
      </c>
      <c r="D22" s="84"/>
      <c r="E22" s="147">
        <f>BI_UGe_Typical!D51</f>
        <v>354.70790459999995</v>
      </c>
      <c r="F22" s="135">
        <f>BI_UGe_Typical!H$25</f>
        <v>2.9899999999999949</v>
      </c>
      <c r="G22" s="141">
        <f>BI_UGe_Typical!I$25</f>
        <v>3.7587368632775113E-2</v>
      </c>
      <c r="H22" s="137">
        <f>BI_UGe_Typical!H$51</f>
        <v>3.1394999999999413</v>
      </c>
      <c r="I22" s="144">
        <f>BI_UGe_Typical!I$51</f>
        <v>8.8509445639231507E-3</v>
      </c>
      <c r="J22" s="173"/>
    </row>
    <row r="23" spans="1:10" x14ac:dyDescent="0.2">
      <c r="A23" s="176"/>
      <c r="B23" s="157" t="s">
        <v>113</v>
      </c>
      <c r="C23" s="158">
        <f>BI_UGe_Avg!$B$4</f>
        <v>2759</v>
      </c>
      <c r="D23" s="159"/>
      <c r="E23" s="160">
        <f>BI_UGe_Avg!$D$51</f>
        <v>479.38636959569993</v>
      </c>
      <c r="F23" s="161">
        <f>BI_UGe_Avg!$H$25</f>
        <v>3.9008000000000038</v>
      </c>
      <c r="G23" s="162">
        <f>BI_UGe_Avg!$I$25</f>
        <v>3.8748012460791861E-2</v>
      </c>
      <c r="H23" s="163">
        <f>BI_UGe_Avg!$H$51</f>
        <v>4.0958400000000097</v>
      </c>
      <c r="I23" s="164">
        <f>BI_UGe_Avg!$I$51</f>
        <v>8.5439225221491336E-3</v>
      </c>
      <c r="J23" s="173"/>
    </row>
    <row r="24" spans="1:10" ht="13.5" thickBot="1" x14ac:dyDescent="0.25">
      <c r="A24" s="177"/>
      <c r="B24" s="92" t="s">
        <v>61</v>
      </c>
      <c r="C24" s="94">
        <f>BI_UGe_High!B4</f>
        <v>15000</v>
      </c>
      <c r="D24" s="85"/>
      <c r="E24" s="148">
        <f>BI_UGe_High!D51</f>
        <v>2490.1756845000004</v>
      </c>
      <c r="F24" s="138">
        <f>BI_UGe_High!H$25</f>
        <v>18.590000000000032</v>
      </c>
      <c r="G24" s="139">
        <f>BI_UGe_High!I$25</f>
        <v>4.2121911097616871E-2</v>
      </c>
      <c r="H24" s="140">
        <f>BI_UGe_High!H$51</f>
        <v>19.51949999999988</v>
      </c>
      <c r="I24" s="145">
        <f>BI_UGe_High!I$51</f>
        <v>7.8386035658039033E-3</v>
      </c>
      <c r="J24" s="174"/>
    </row>
    <row r="25" spans="1:10" x14ac:dyDescent="0.2">
      <c r="A25" s="175" t="s">
        <v>5</v>
      </c>
      <c r="B25" s="90" t="s">
        <v>60</v>
      </c>
      <c r="C25" s="98">
        <f>BI_GSd_Low!B4</f>
        <v>15000</v>
      </c>
      <c r="D25" s="83">
        <f>BI_GSd_Low!B5</f>
        <v>60</v>
      </c>
      <c r="E25" s="146">
        <f>BI_GSd_Low!D38</f>
        <v>3311.0231383599998</v>
      </c>
      <c r="F25" s="132">
        <f>BI_GSd_Low!H$23</f>
        <v>38.755999999999858</v>
      </c>
      <c r="G25" s="133">
        <f>BI_GSd_Low!I$23</f>
        <v>3.4948229620941969E-2</v>
      </c>
      <c r="H25" s="134">
        <f>BI_GSd_Low!H$38</f>
        <v>43.794279999999617</v>
      </c>
      <c r="I25" s="143">
        <f>BI_GSd_Low!I$38</f>
        <v>1.3226811825208684E-2</v>
      </c>
      <c r="J25" s="182" t="s">
        <v>70</v>
      </c>
    </row>
    <row r="26" spans="1:10" x14ac:dyDescent="0.2">
      <c r="A26" s="176"/>
      <c r="B26" s="157" t="s">
        <v>113</v>
      </c>
      <c r="C26" s="93">
        <f>BI_GSd_Avg!B4</f>
        <v>36104</v>
      </c>
      <c r="D26" s="84">
        <f>BI_GSd_Avg!B5</f>
        <v>124</v>
      </c>
      <c r="E26" s="147">
        <f>BI_GSd_Avg!D38</f>
        <v>7351.0325881680001</v>
      </c>
      <c r="F26" s="135">
        <f>BI_GSd_Avg!H$23</f>
        <v>78.314400000000205</v>
      </c>
      <c r="G26" s="141">
        <f>BI_GSd_Avg!I$23</f>
        <v>3.5882978011160575E-2</v>
      </c>
      <c r="H26" s="137">
        <f>BI_GSd_Avg!H$38</f>
        <v>88.495271999999204</v>
      </c>
      <c r="I26" s="144">
        <f>BI_GSd_Avg!I$38</f>
        <v>1.2038481796753087E-2</v>
      </c>
      <c r="J26" s="183"/>
    </row>
    <row r="27" spans="1:10" ht="13.5" thickBot="1" x14ac:dyDescent="0.25">
      <c r="A27" s="177"/>
      <c r="B27" s="92" t="s">
        <v>61</v>
      </c>
      <c r="C27" s="94">
        <f>BI_GSd_High!B4</f>
        <v>175000</v>
      </c>
      <c r="D27" s="85">
        <f>BI_GSd_High!B5</f>
        <v>500</v>
      </c>
      <c r="E27" s="148">
        <f>BI_GSd_High!D38</f>
        <v>32932.639883000003</v>
      </c>
      <c r="F27" s="138">
        <f>BI_GSd_High!H$23</f>
        <v>310.71999999999935</v>
      </c>
      <c r="G27" s="139">
        <f>BI_GSd_High!I$23</f>
        <v>3.6600329746920277E-2</v>
      </c>
      <c r="H27" s="140">
        <f>BI_GSd_High!H$38</f>
        <v>351.11359999999695</v>
      </c>
      <c r="I27" s="145">
        <f>BI_GSd_High!I$38</f>
        <v>1.066156862150743E-2</v>
      </c>
      <c r="J27" s="184"/>
    </row>
    <row r="28" spans="1:10" ht="12.75" customHeight="1" x14ac:dyDescent="0.2">
      <c r="A28" s="175" t="s">
        <v>7</v>
      </c>
      <c r="B28" s="90" t="s">
        <v>60</v>
      </c>
      <c r="C28" s="98">
        <f>BI_UGd_Low!B4</f>
        <v>15000</v>
      </c>
      <c r="D28" s="83">
        <f>BI_UGd_Low!B5</f>
        <v>60</v>
      </c>
      <c r="E28" s="146">
        <f>BI_UGd_Low!D38</f>
        <v>2873.7964509999997</v>
      </c>
      <c r="F28" s="132">
        <f>BI_UGd_Low!H$23</f>
        <v>23.438000000000102</v>
      </c>
      <c r="G28" s="133">
        <f>BI_UGd_Low!I$23</f>
        <v>3.4530370461167255E-2</v>
      </c>
      <c r="H28" s="134">
        <f>BI_UGd_Low!H$38</f>
        <v>26.484940000000279</v>
      </c>
      <c r="I28" s="143">
        <f>BI_UGd_Low!I$38</f>
        <v>9.2160111029381611E-3</v>
      </c>
      <c r="J28" s="182" t="s">
        <v>70</v>
      </c>
    </row>
    <row r="29" spans="1:10" x14ac:dyDescent="0.2">
      <c r="A29" s="176"/>
      <c r="B29" s="157" t="s">
        <v>113</v>
      </c>
      <c r="C29" s="93">
        <f>BI_UGd_Avg!B4</f>
        <v>50525</v>
      </c>
      <c r="D29" s="84">
        <f>BI_UGd_Avg!B5</f>
        <v>135</v>
      </c>
      <c r="E29" s="147">
        <f>BI_UGd_Avg!D38</f>
        <v>8380.7587910000002</v>
      </c>
      <c r="F29" s="135">
        <f>BI_UGd_Avg!H$23</f>
        <v>50.235500000000229</v>
      </c>
      <c r="G29" s="141">
        <f>BI_UGd_Avg!I$23</f>
        <v>3.5849254937367889E-2</v>
      </c>
      <c r="H29" s="137">
        <f>BI_UGd_Avg!H$38</f>
        <v>56.766115000000354</v>
      </c>
      <c r="I29" s="144">
        <f>BI_UGd_Avg!I$38</f>
        <v>6.7733860877801219E-3</v>
      </c>
      <c r="J29" s="183"/>
    </row>
    <row r="30" spans="1:10" ht="13.5" thickBot="1" x14ac:dyDescent="0.25">
      <c r="A30" s="177"/>
      <c r="B30" s="92" t="s">
        <v>61</v>
      </c>
      <c r="C30" s="94">
        <f>BI_UGd_High!B4</f>
        <v>175000</v>
      </c>
      <c r="D30" s="85">
        <f>BI_UGd_High!B5</f>
        <v>500</v>
      </c>
      <c r="E30" s="148">
        <f>BI_UGd_High!D38</f>
        <v>29243.677365000003</v>
      </c>
      <c r="F30" s="138">
        <f>BI_UGd_High!H$23</f>
        <v>180.65000000000055</v>
      </c>
      <c r="G30" s="139">
        <f>BI_UGd_High!I$23</f>
        <v>3.6735190217722959E-2</v>
      </c>
      <c r="H30" s="140">
        <f>BI_UGd_High!H$38</f>
        <v>204.13450000000012</v>
      </c>
      <c r="I30" s="145">
        <f>BI_UGd_High!I$38</f>
        <v>6.9804661517814583E-3</v>
      </c>
      <c r="J30" s="184"/>
    </row>
    <row r="31" spans="1:10" x14ac:dyDescent="0.2">
      <c r="A31" s="176" t="s">
        <v>8</v>
      </c>
      <c r="B31" s="90" t="s">
        <v>60</v>
      </c>
      <c r="C31" s="98">
        <f>BI_StLgt_Low!B4</f>
        <v>100</v>
      </c>
      <c r="D31" s="83"/>
      <c r="E31" s="146">
        <f>BI_StLgt_Low!D37</f>
        <v>27.643486080000002</v>
      </c>
      <c r="F31" s="132">
        <f>BI_StLgt_Low!H$20</f>
        <v>0.48000000000000043</v>
      </c>
      <c r="G31" s="133">
        <f>BI_StLgt_Low!I$20</f>
        <v>3.4692107545533424E-2</v>
      </c>
      <c r="H31" s="134">
        <f>BI_StLgt_Low!H$37</f>
        <v>0.50399999999999778</v>
      </c>
      <c r="I31" s="143">
        <f>BI_StLgt_Low!I$37</f>
        <v>1.8232143317287345E-2</v>
      </c>
      <c r="J31" s="172" t="s">
        <v>95</v>
      </c>
    </row>
    <row r="32" spans="1:10" x14ac:dyDescent="0.2">
      <c r="A32" s="176"/>
      <c r="B32" s="157" t="s">
        <v>113</v>
      </c>
      <c r="C32" s="93">
        <f>BI_StLgt_Avg!B4</f>
        <v>517</v>
      </c>
      <c r="D32" s="84"/>
      <c r="E32" s="147">
        <f>BI_StLgt_Avg!D37</f>
        <v>123.97105353360001</v>
      </c>
      <c r="F32" s="135">
        <f>BI_StLgt_Avg!H$20</f>
        <v>1.9394999999999953</v>
      </c>
      <c r="G32" s="141">
        <f>BI_StLgt_Avg!I$20</f>
        <v>3.556690566820387E-2</v>
      </c>
      <c r="H32" s="137">
        <f>BI_StLgt_Avg!H$37</f>
        <v>2.0364749999999816</v>
      </c>
      <c r="I32" s="144">
        <f>BI_StLgt_Avg!I$37</f>
        <v>1.6427020195065402E-2</v>
      </c>
      <c r="J32" s="173"/>
    </row>
    <row r="33" spans="1:10" ht="13.5" thickBot="1" x14ac:dyDescent="0.25">
      <c r="A33" s="177"/>
      <c r="B33" s="92" t="s">
        <v>61</v>
      </c>
      <c r="C33" s="94">
        <f>BI_StLgt_High!B4</f>
        <v>2000</v>
      </c>
      <c r="D33" s="85"/>
      <c r="E33" s="148">
        <f>BI_StLgt_High!D37</f>
        <v>489.13157159999992</v>
      </c>
      <c r="F33" s="138">
        <f>BI_StLgt_High!H$20</f>
        <v>7.129999999999967</v>
      </c>
      <c r="G33" s="139">
        <f>BI_StLgt_High!I$20</f>
        <v>3.5782933598317586E-2</v>
      </c>
      <c r="H33" s="140">
        <f>BI_StLgt_High!H$37</f>
        <v>7.4865000000000919</v>
      </c>
      <c r="I33" s="145">
        <f>BI_StLgt_High!I$37</f>
        <v>1.5305697760443018E-2</v>
      </c>
      <c r="J33" s="174"/>
    </row>
    <row r="34" spans="1:10" x14ac:dyDescent="0.2">
      <c r="A34" s="176" t="s">
        <v>9</v>
      </c>
      <c r="B34" s="90" t="s">
        <v>60</v>
      </c>
      <c r="C34" s="98">
        <f>BI_SenLgt_Low!B4</f>
        <v>20</v>
      </c>
      <c r="D34" s="83"/>
      <c r="E34" s="146">
        <f>BI_SenLgt_Low!D37</f>
        <v>8.663577216000002</v>
      </c>
      <c r="F34" s="132">
        <f>BI_SenLgt_Low!H$20</f>
        <v>0.38399999999999945</v>
      </c>
      <c r="G34" s="133">
        <f>BI_SenLgt_Low!I$20</f>
        <v>6.9154300533064303E-2</v>
      </c>
      <c r="H34" s="134">
        <f>BI_SenLgt_Low!H$37</f>
        <v>0.40319999999999645</v>
      </c>
      <c r="I34" s="143">
        <f>BI_SenLgt_Low!I$37</f>
        <v>4.6539667154505381E-2</v>
      </c>
      <c r="J34" s="172" t="s">
        <v>95</v>
      </c>
    </row>
    <row r="35" spans="1:10" x14ac:dyDescent="0.2">
      <c r="A35" s="176"/>
      <c r="B35" s="157" t="s">
        <v>113</v>
      </c>
      <c r="C35" s="93">
        <f>BI_SenLgt_Avg!B4</f>
        <v>71</v>
      </c>
      <c r="D35" s="84"/>
      <c r="E35" s="147">
        <f>BI_SenLgt_Avg!D37</f>
        <v>21.636134116799994</v>
      </c>
      <c r="F35" s="135">
        <f>BI_SenLgt_Avg!H$20</f>
        <v>0.80219999999999736</v>
      </c>
      <c r="G35" s="141">
        <f>BI_SenLgt_Avg!I$20</f>
        <v>6.877194666959266E-2</v>
      </c>
      <c r="H35" s="137">
        <f>BI_SenLgt_Avg!H$37</f>
        <v>0.84231000000000478</v>
      </c>
      <c r="I35" s="144">
        <f>BI_SenLgt_Avg!I$37</f>
        <v>3.89307070964202E-2</v>
      </c>
      <c r="J35" s="173"/>
    </row>
    <row r="36" spans="1:10" ht="13.5" thickBot="1" x14ac:dyDescent="0.25">
      <c r="A36" s="177"/>
      <c r="B36" s="92" t="s">
        <v>61</v>
      </c>
      <c r="C36" s="94">
        <f>BI_SenLgt_High!B4</f>
        <v>200</v>
      </c>
      <c r="D36" s="85"/>
      <c r="E36" s="148">
        <f>BI_SenLgt_High!D37</f>
        <v>54.44907216</v>
      </c>
      <c r="F36" s="138">
        <f>BI_SenLgt_High!H$20</f>
        <v>1.8599999999999994</v>
      </c>
      <c r="G36" s="139">
        <f>BI_SenLgt_High!I$20</f>
        <v>6.8573956643562875E-2</v>
      </c>
      <c r="H36" s="140">
        <f>BI_SenLgt_High!H$37</f>
        <v>1.953000000000003</v>
      </c>
      <c r="I36" s="145">
        <f>BI_SenLgt_High!I$37</f>
        <v>3.5868379800138045E-2</v>
      </c>
      <c r="J36" s="174"/>
    </row>
    <row r="37" spans="1:10" x14ac:dyDescent="0.2">
      <c r="A37" s="176" t="s">
        <v>12</v>
      </c>
      <c r="B37" s="90" t="s">
        <v>60</v>
      </c>
      <c r="C37" s="98">
        <f>BI_USL_Low!B4</f>
        <v>100</v>
      </c>
      <c r="D37" s="83"/>
      <c r="E37" s="146">
        <f>BI_USL_Low!D37</f>
        <v>52.551384900000016</v>
      </c>
      <c r="F37" s="132">
        <f>BI_USL_Low!H$20</f>
        <v>0.79999999999999716</v>
      </c>
      <c r="G37" s="133">
        <f>BI_USL_Low!I$20</f>
        <v>2.1274332517817175E-2</v>
      </c>
      <c r="H37" s="134">
        <f>BI_USL_Low!H$37</f>
        <v>0.83999999999999631</v>
      </c>
      <c r="I37" s="143">
        <f>BI_USL_Low!I$37</f>
        <v>1.5984355152550814E-2</v>
      </c>
      <c r="J37" s="172" t="s">
        <v>95</v>
      </c>
    </row>
    <row r="38" spans="1:10" x14ac:dyDescent="0.2">
      <c r="A38" s="176"/>
      <c r="B38" s="157" t="s">
        <v>113</v>
      </c>
      <c r="C38" s="93">
        <f>BI_USL_Avg!B4</f>
        <v>364</v>
      </c>
      <c r="D38" s="84"/>
      <c r="E38" s="147">
        <f>BI_USL_Avg!D37</f>
        <v>94.233777036000006</v>
      </c>
      <c r="F38" s="135">
        <f>BI_USL_Avg!H$20</f>
        <v>0.9847999999999999</v>
      </c>
      <c r="G38" s="141">
        <f>BI_USL_Avg!I$20</f>
        <v>2.1832589618257788E-2</v>
      </c>
      <c r="H38" s="137">
        <f>BI_USL_Avg!H$37</f>
        <v>1.0340400000000045</v>
      </c>
      <c r="I38" s="144">
        <f>BI_USL_Avg!I$37</f>
        <v>1.0973135456567465E-2</v>
      </c>
      <c r="J38" s="173"/>
    </row>
    <row r="39" spans="1:10" ht="13.5" thickBot="1" x14ac:dyDescent="0.25">
      <c r="A39" s="177"/>
      <c r="B39" s="92" t="s">
        <v>61</v>
      </c>
      <c r="C39" s="94">
        <f>BI_USL_High!B4</f>
        <v>1000</v>
      </c>
      <c r="D39" s="85"/>
      <c r="E39" s="148">
        <f>BI_USL_High!D37</f>
        <v>200.03694900000005</v>
      </c>
      <c r="F39" s="138">
        <f>BI_USL_High!H$20</f>
        <v>1.4299999999999997</v>
      </c>
      <c r="G39" s="139">
        <f>BI_USL_High!I$20</f>
        <v>2.2633028394162886E-2</v>
      </c>
      <c r="H39" s="140">
        <f>BI_USL_High!H$37</f>
        <v>1.5014999999999645</v>
      </c>
      <c r="I39" s="145">
        <f>BI_USL_High!I$37</f>
        <v>7.5061132831013341E-3</v>
      </c>
      <c r="J39" s="174"/>
    </row>
    <row r="40" spans="1:10" ht="12.75" customHeight="1" x14ac:dyDescent="0.2">
      <c r="A40" s="176" t="s">
        <v>47</v>
      </c>
      <c r="B40" s="90" t="s">
        <v>60</v>
      </c>
      <c r="C40" s="98">
        <f>BI_DGen_Low!B4</f>
        <v>300</v>
      </c>
      <c r="D40" s="83">
        <f>BI_DGen_Low!B5</f>
        <v>10</v>
      </c>
      <c r="E40" s="146">
        <f>BI_DGen_Low!D38</f>
        <v>345.12956974000008</v>
      </c>
      <c r="F40" s="132">
        <f>BI_DGen_Low!H$23</f>
        <v>33.909999999999968</v>
      </c>
      <c r="G40" s="133">
        <f>BI_DGen_Low!I$23</f>
        <v>0.13016814761244502</v>
      </c>
      <c r="H40" s="134">
        <f>BI_DGen_Low!H$38</f>
        <v>38.318299999999965</v>
      </c>
      <c r="I40" s="143">
        <f>BI_DGen_Low!I$38</f>
        <v>0.11102583887224347</v>
      </c>
      <c r="J40" s="182" t="s">
        <v>70</v>
      </c>
    </row>
    <row r="41" spans="1:10" x14ac:dyDescent="0.2">
      <c r="A41" s="176"/>
      <c r="B41" s="157" t="s">
        <v>113</v>
      </c>
      <c r="C41" s="93">
        <f>BI_DGen_Avg!B4</f>
        <v>1328</v>
      </c>
      <c r="D41" s="84">
        <f>BI_DGen_Avg!B5</f>
        <v>13</v>
      </c>
      <c r="E41" s="147">
        <f>BI_DGen_Avg!D38</f>
        <v>498.24976773999998</v>
      </c>
      <c r="F41" s="135">
        <f>BI_DGen_Avg!H$23</f>
        <v>44.08299999999997</v>
      </c>
      <c r="G41" s="141">
        <f>BI_DGen_Avg!I$23</f>
        <v>0.15754582044872761</v>
      </c>
      <c r="H41" s="137">
        <f>BI_DGen_Avg!H$38</f>
        <v>49.813789999999983</v>
      </c>
      <c r="I41" s="144">
        <f>BI_DGen_Avg!I$38</f>
        <v>9.9977547859077268E-2</v>
      </c>
      <c r="J41" s="183"/>
    </row>
    <row r="42" spans="1:10" ht="13.5" thickBot="1" x14ac:dyDescent="0.25">
      <c r="A42" s="177"/>
      <c r="B42" s="92" t="s">
        <v>61</v>
      </c>
      <c r="C42" s="94">
        <f>BI_DGen_High!B4</f>
        <v>5000</v>
      </c>
      <c r="D42" s="85">
        <f>BI_DGen_High!B5</f>
        <v>100</v>
      </c>
      <c r="E42" s="148">
        <f>BI_DGen_High!D38</f>
        <v>1701.3871893999999</v>
      </c>
      <c r="F42" s="138">
        <f>BI_DGen_High!H$23</f>
        <v>339.0999999999998</v>
      </c>
      <c r="G42" s="139">
        <f>BI_DGen_High!I$23</f>
        <v>0.40390541157020438</v>
      </c>
      <c r="H42" s="140">
        <f>BI_DGen_High!H$38</f>
        <v>383.18299999999999</v>
      </c>
      <c r="I42" s="145">
        <f>BI_DGen_High!I$38</f>
        <v>0.22521798823178563</v>
      </c>
      <c r="J42" s="184"/>
    </row>
    <row r="43" spans="1:10" x14ac:dyDescent="0.2">
      <c r="A43" s="176" t="s">
        <v>11</v>
      </c>
      <c r="B43" s="90" t="s">
        <v>60</v>
      </c>
      <c r="C43" s="98">
        <f>BI_ST_Low!B4</f>
        <v>200000</v>
      </c>
      <c r="D43" s="83">
        <f>BI_ST_Low!B5</f>
        <v>500</v>
      </c>
      <c r="E43" s="146">
        <f>BI_ST_Low!D36</f>
        <v>29642.204580721111</v>
      </c>
      <c r="F43" s="132">
        <f>BI_ST_Low!H$21</f>
        <v>52.554984314015883</v>
      </c>
      <c r="G43" s="133">
        <f>BI_ST_Low!I$21</f>
        <v>2.9363225813666176E-2</v>
      </c>
      <c r="H43" s="134">
        <f>BI_ST_Low!H$36</f>
        <v>59.387132274841861</v>
      </c>
      <c r="I43" s="143">
        <f>BI_ST_Low!I$36</f>
        <v>2.003465434330969E-3</v>
      </c>
      <c r="J43" s="182" t="s">
        <v>70</v>
      </c>
    </row>
    <row r="44" spans="1:10" x14ac:dyDescent="0.2">
      <c r="A44" s="176"/>
      <c r="B44" s="157" t="s">
        <v>113</v>
      </c>
      <c r="C44" s="93">
        <f>BI_ST_Avg!B4</f>
        <v>1601036</v>
      </c>
      <c r="D44" s="84">
        <f>BI_ST_Avg!B5</f>
        <v>3091</v>
      </c>
      <c r="E44" s="147">
        <f>BI_ST_Avg!D36</f>
        <v>220285.22789698196</v>
      </c>
      <c r="F44" s="135">
        <f>BI_ST_Avg!H$21</f>
        <v>196.5885930292452</v>
      </c>
      <c r="G44" s="141">
        <f>BI_ST_Avg!I$21</f>
        <v>4.0696591857489597E-2</v>
      </c>
      <c r="H44" s="137">
        <f>BI_ST_Avg!H$36</f>
        <v>222.1451101230341</v>
      </c>
      <c r="I44" s="144">
        <f>BI_ST_Avg!I$36</f>
        <v>1.0084430637669537E-3</v>
      </c>
      <c r="J44" s="183"/>
    </row>
    <row r="45" spans="1:10" ht="13.5" thickBot="1" x14ac:dyDescent="0.25">
      <c r="A45" s="177"/>
      <c r="B45" s="92" t="s">
        <v>61</v>
      </c>
      <c r="C45" s="94">
        <f>BI_ST_High!B4</f>
        <v>4000000</v>
      </c>
      <c r="D45" s="85">
        <f>BI_ST_High!B5</f>
        <v>10000</v>
      </c>
      <c r="E45" s="148">
        <f>BI_ST_High!D36</f>
        <v>567009.69148442231</v>
      </c>
      <c r="F45" s="138">
        <f>BI_ST_High!H$21</f>
        <v>580.65968628031624</v>
      </c>
      <c r="G45" s="139">
        <f>BI_ST_High!I$21</f>
        <v>4.4877003163953516E-2</v>
      </c>
      <c r="H45" s="140">
        <f>BI_ST_High!H$36</f>
        <v>656.14544549677521</v>
      </c>
      <c r="I45" s="145">
        <f>BI_ST_High!I$36</f>
        <v>1.1572032283592843E-3</v>
      </c>
      <c r="J45" s="184"/>
    </row>
  </sheetData>
  <mergeCells count="26">
    <mergeCell ref="A43:A45"/>
    <mergeCell ref="J43:J45"/>
    <mergeCell ref="A40:A42"/>
    <mergeCell ref="A37:A39"/>
    <mergeCell ref="A21:A24"/>
    <mergeCell ref="A25:A27"/>
    <mergeCell ref="A28:A30"/>
    <mergeCell ref="A31:A33"/>
    <mergeCell ref="A34:A36"/>
    <mergeCell ref="J31:J33"/>
    <mergeCell ref="J28:J30"/>
    <mergeCell ref="J25:J27"/>
    <mergeCell ref="J40:J42"/>
    <mergeCell ref="J37:J39"/>
    <mergeCell ref="J34:J36"/>
    <mergeCell ref="A2:A5"/>
    <mergeCell ref="A6:A9"/>
    <mergeCell ref="A10:A13"/>
    <mergeCell ref="A14:A16"/>
    <mergeCell ref="A17:A20"/>
    <mergeCell ref="J2:J5"/>
    <mergeCell ref="J21:J24"/>
    <mergeCell ref="J17:J20"/>
    <mergeCell ref="J14:J16"/>
    <mergeCell ref="J10:J13"/>
    <mergeCell ref="J6:J9"/>
  </mergeCells>
  <pageMargins left="0.7" right="0.7" top="0.75" bottom="0.75" header="1.05" footer="0.3"/>
  <pageSetup paperSize="266" scale="83" orientation="landscape" r:id="rId1"/>
  <headerFooter>
    <oddHeader xml:space="preserve">&amp;RUpdated: 2017-06-07
EB-2017-0049
Exhibit H1-4-1
Attachment 2
Page &amp;P of &amp;N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view="pageLayout" topLeftCell="A16"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120</v>
      </c>
      <c r="B1" s="186"/>
      <c r="C1" s="186"/>
      <c r="D1" s="186"/>
      <c r="E1" s="186"/>
      <c r="F1" s="186"/>
      <c r="G1" s="186"/>
      <c r="H1" s="186"/>
      <c r="I1" s="186"/>
      <c r="J1" s="186"/>
      <c r="K1" s="187"/>
    </row>
    <row r="3" spans="1:11" x14ac:dyDescent="0.2">
      <c r="A3" s="13" t="s">
        <v>13</v>
      </c>
      <c r="B3" s="13" t="s">
        <v>6</v>
      </c>
    </row>
    <row r="4" spans="1:11" x14ac:dyDescent="0.2">
      <c r="A4" s="15" t="s">
        <v>62</v>
      </c>
      <c r="B4" s="167">
        <f>VLOOKUP(B3,'Data for Bill Impacts'!A22:D35,3,FALSE)</f>
        <v>2759</v>
      </c>
    </row>
    <row r="5" spans="1:11" x14ac:dyDescent="0.2">
      <c r="A5" s="15" t="s">
        <v>16</v>
      </c>
      <c r="B5" s="167">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67">
        <f>B4*B6</f>
        <v>2943.8530000000001</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0.13708073521250547</v>
      </c>
      <c r="K12" s="106"/>
    </row>
    <row r="13" spans="1:11" x14ac:dyDescent="0.2">
      <c r="A13" s="107" t="s">
        <v>32</v>
      </c>
      <c r="B13" s="73">
        <f>IF(B4&gt;B7,(B4)-B7,0)</f>
        <v>2009</v>
      </c>
      <c r="C13" s="21">
        <v>0.106</v>
      </c>
      <c r="D13" s="22">
        <f>B13*C13</f>
        <v>212.95400000000001</v>
      </c>
      <c r="E13" s="73">
        <f t="shared" ref="E13" si="1">B13</f>
        <v>2009</v>
      </c>
      <c r="F13" s="21">
        <f>C13</f>
        <v>0.106</v>
      </c>
      <c r="G13" s="22">
        <f>E13*F13</f>
        <v>212.95400000000001</v>
      </c>
      <c r="H13" s="22">
        <f t="shared" ref="H13:H46" si="2">G13-D13</f>
        <v>0</v>
      </c>
      <c r="I13" s="23">
        <f t="shared" si="0"/>
        <v>0</v>
      </c>
      <c r="J13" s="23">
        <f>G13/$G$46</f>
        <v>0.42772001298818885</v>
      </c>
      <c r="K13" s="108"/>
    </row>
    <row r="14" spans="1:11" s="1" customFormat="1" x14ac:dyDescent="0.2">
      <c r="A14" s="46" t="s">
        <v>33</v>
      </c>
      <c r="B14" s="24"/>
      <c r="C14" s="25"/>
      <c r="D14" s="25">
        <f>SUM(D12:D13)</f>
        <v>281.20400000000001</v>
      </c>
      <c r="E14" s="76"/>
      <c r="F14" s="25"/>
      <c r="G14" s="25">
        <f>SUM(G12:G13)</f>
        <v>281.20400000000001</v>
      </c>
      <c r="H14" s="25">
        <f t="shared" si="2"/>
        <v>0</v>
      </c>
      <c r="I14" s="27">
        <f t="shared" si="0"/>
        <v>0</v>
      </c>
      <c r="J14" s="27">
        <f>G14/$G$46</f>
        <v>0.56480074820069426</v>
      </c>
      <c r="K14" s="108"/>
    </row>
    <row r="15" spans="1:11" s="1" customFormat="1" x14ac:dyDescent="0.2">
      <c r="A15" s="109" t="s">
        <v>34</v>
      </c>
      <c r="B15" s="75">
        <f>B4*0.65</f>
        <v>1793.3500000000001</v>
      </c>
      <c r="C15" s="28">
        <v>7.6999999999999999E-2</v>
      </c>
      <c r="D15" s="22">
        <f>B15*C15</f>
        <v>138.08795000000001</v>
      </c>
      <c r="E15" s="73">
        <f t="shared" ref="E15:F17" si="3">B15</f>
        <v>1793.3500000000001</v>
      </c>
      <c r="F15" s="28">
        <f t="shared" si="3"/>
        <v>7.6999999999999999E-2</v>
      </c>
      <c r="G15" s="22">
        <f>E15*F15</f>
        <v>138.08795000000001</v>
      </c>
      <c r="H15" s="22">
        <f t="shared" si="2"/>
        <v>0</v>
      </c>
      <c r="I15" s="23">
        <f t="shared" si="0"/>
        <v>0</v>
      </c>
      <c r="J15" s="23"/>
      <c r="K15" s="108">
        <f t="shared" ref="K15:K26" si="4">G15/$G$51</f>
        <v>0.28561123296650903</v>
      </c>
    </row>
    <row r="16" spans="1:11" s="1" customFormat="1" x14ac:dyDescent="0.2">
      <c r="A16" s="109" t="s">
        <v>35</v>
      </c>
      <c r="B16" s="75">
        <f>B4*0.17</f>
        <v>469.03000000000003</v>
      </c>
      <c r="C16" s="28">
        <v>0.113</v>
      </c>
      <c r="D16" s="22">
        <f>B16*C16</f>
        <v>53.000390000000003</v>
      </c>
      <c r="E16" s="73">
        <f t="shared" si="3"/>
        <v>469.03000000000003</v>
      </c>
      <c r="F16" s="28">
        <f t="shared" si="3"/>
        <v>0.113</v>
      </c>
      <c r="G16" s="22">
        <f>E16*F16</f>
        <v>53.000390000000003</v>
      </c>
      <c r="H16" s="22">
        <f t="shared" si="2"/>
        <v>0</v>
      </c>
      <c r="I16" s="23">
        <f t="shared" si="0"/>
        <v>0</v>
      </c>
      <c r="J16" s="23"/>
      <c r="K16" s="108">
        <f t="shared" si="4"/>
        <v>0.10962221349224054</v>
      </c>
    </row>
    <row r="17" spans="1:11" s="1" customFormat="1" x14ac:dyDescent="0.2">
      <c r="A17" s="109" t="s">
        <v>36</v>
      </c>
      <c r="B17" s="75">
        <f>B4*0.18</f>
        <v>496.62</v>
      </c>
      <c r="C17" s="28">
        <v>0.157</v>
      </c>
      <c r="D17" s="22">
        <f>B17*C17</f>
        <v>77.969340000000003</v>
      </c>
      <c r="E17" s="73">
        <f t="shared" si="3"/>
        <v>496.62</v>
      </c>
      <c r="F17" s="28">
        <f t="shared" si="3"/>
        <v>0.157</v>
      </c>
      <c r="G17" s="22">
        <f>E17*F17</f>
        <v>77.969340000000003</v>
      </c>
      <c r="H17" s="22">
        <f t="shared" si="2"/>
        <v>0</v>
      </c>
      <c r="I17" s="23">
        <f t="shared" si="0"/>
        <v>0</v>
      </c>
      <c r="J17" s="23"/>
      <c r="K17" s="108">
        <f t="shared" si="4"/>
        <v>0.16126620267000091</v>
      </c>
    </row>
    <row r="18" spans="1:11" s="1" customFormat="1" x14ac:dyDescent="0.2">
      <c r="A18" s="61" t="s">
        <v>37</v>
      </c>
      <c r="B18" s="29"/>
      <c r="C18" s="30"/>
      <c r="D18" s="30">
        <f>SUM(D15:D17)</f>
        <v>269.05768</v>
      </c>
      <c r="E18" s="77"/>
      <c r="F18" s="30"/>
      <c r="G18" s="30">
        <f>SUM(G15:G17)</f>
        <v>269.05768</v>
      </c>
      <c r="H18" s="31">
        <f t="shared" si="2"/>
        <v>0</v>
      </c>
      <c r="I18" s="32">
        <f t="shared" si="0"/>
        <v>0</v>
      </c>
      <c r="J18" s="33">
        <f t="shared" ref="J18:J23" si="5">G18/$G$46</f>
        <v>0.54040475588235937</v>
      </c>
      <c r="K18" s="62">
        <f t="shared" si="4"/>
        <v>0.5564996491287505</v>
      </c>
    </row>
    <row r="19" spans="1:11" x14ac:dyDescent="0.2">
      <c r="A19" s="107" t="s">
        <v>38</v>
      </c>
      <c r="B19" s="73">
        <v>1</v>
      </c>
      <c r="C19" s="78">
        <f>VLOOKUP($B$3,'Data for Bill Impacts'!$A$6:$Y$18,7,0)</f>
        <v>23.88</v>
      </c>
      <c r="D19" s="22">
        <f>B19*C19</f>
        <v>23.88</v>
      </c>
      <c r="E19" s="73">
        <f t="shared" ref="E19:E41" si="6">B19</f>
        <v>1</v>
      </c>
      <c r="F19" s="78">
        <f>VLOOKUP($B$3,'Data for Bill Impacts'!$A$6:$Y$18,17,0)</f>
        <v>24.47</v>
      </c>
      <c r="G19" s="22">
        <f>E19*F19</f>
        <v>24.47</v>
      </c>
      <c r="H19" s="22">
        <f t="shared" si="2"/>
        <v>0.58999999999999986</v>
      </c>
      <c r="I19" s="23">
        <f>IF(ISERROR(H19/ABS(D19)),"N/A",(H19/ABS(D19)))</f>
        <v>2.4706867671691786E-2</v>
      </c>
      <c r="J19" s="23">
        <f t="shared" si="5"/>
        <v>4.9148213782417703E-2</v>
      </c>
      <c r="K19" s="108">
        <f t="shared" si="4"/>
        <v>5.0611996707102071E-2</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8.0000000000000002E-3</v>
      </c>
      <c r="D22" s="22">
        <f t="shared" si="9"/>
        <v>8.0000000000000002E-3</v>
      </c>
      <c r="E22" s="73">
        <f t="shared" si="6"/>
        <v>1</v>
      </c>
      <c r="F22" s="121">
        <f>VLOOKUP($B$3,'Data for Bill Impacts'!$A$6:$Y$18,22,0)</f>
        <v>8.0000000000000002E-3</v>
      </c>
      <c r="G22" s="22">
        <f t="shared" si="7"/>
        <v>8.0000000000000002E-3</v>
      </c>
      <c r="H22" s="22">
        <f t="shared" si="2"/>
        <v>0</v>
      </c>
      <c r="I22" s="23">
        <f t="shared" ref="I22:I51" si="10">IF(ISERROR(H22/ABS(D22)),"N/A",(H22/ABS(D22)))</f>
        <v>0</v>
      </c>
      <c r="J22" s="23">
        <f t="shared" si="5"/>
        <v>1.6068071526740567E-5</v>
      </c>
      <c r="K22" s="108">
        <f t="shared" si="4"/>
        <v>1.6546627448173951E-5</v>
      </c>
    </row>
    <row r="23" spans="1:11" x14ac:dyDescent="0.2">
      <c r="A23" s="107" t="s">
        <v>39</v>
      </c>
      <c r="B23" s="73">
        <f>IF($B$9="kWh",$B$4,$B$5)</f>
        <v>2759</v>
      </c>
      <c r="C23" s="125">
        <f>VLOOKUP($B$3,'Data for Bill Impacts'!$A$6:$Y$18,10,0)</f>
        <v>2.7799999999999998E-2</v>
      </c>
      <c r="D23" s="22">
        <f>B23*C23</f>
        <v>76.700199999999995</v>
      </c>
      <c r="E23" s="73">
        <f t="shared" si="6"/>
        <v>2759</v>
      </c>
      <c r="F23" s="78">
        <f>VLOOKUP($B$3,'Data for Bill Impacts'!$A$6:$Y$18,19,0)</f>
        <v>2.9000000000000001E-2</v>
      </c>
      <c r="G23" s="22">
        <f>E23*F23</f>
        <v>80.01100000000001</v>
      </c>
      <c r="H23" s="22">
        <f t="shared" si="2"/>
        <v>3.3108000000000146</v>
      </c>
      <c r="I23" s="23">
        <f t="shared" si="10"/>
        <v>4.3165467625899477E-2</v>
      </c>
      <c r="J23" s="23">
        <f t="shared" si="5"/>
        <v>0.16070280886575494</v>
      </c>
      <c r="K23" s="108">
        <f t="shared" si="4"/>
        <v>0.16548902609448077</v>
      </c>
    </row>
    <row r="24" spans="1:11" x14ac:dyDescent="0.2">
      <c r="A24" s="107" t="s">
        <v>122</v>
      </c>
      <c r="B24" s="73">
        <f>IF($B$9="kWh",$B$4,$B$5)</f>
        <v>2759</v>
      </c>
      <c r="C24" s="125">
        <f>VLOOKUP($B$3,'Data for Bill Impacts'!$A$6:$Y$18,14,0)</f>
        <v>3.0000000000000004E-5</v>
      </c>
      <c r="D24" s="22">
        <f>B24*C24</f>
        <v>8.277000000000001E-2</v>
      </c>
      <c r="E24" s="73">
        <f t="shared" si="6"/>
        <v>2759</v>
      </c>
      <c r="F24" s="125">
        <f>VLOOKUP($B$3,'Data for Bill Impacts'!$A$6:$Y$18,23,0)</f>
        <v>3.0000000000000004E-5</v>
      </c>
      <c r="G24" s="22">
        <f>E24*F24</f>
        <v>8.277000000000001E-2</v>
      </c>
      <c r="H24" s="22">
        <f t="shared" si="2"/>
        <v>0</v>
      </c>
      <c r="I24" s="23">
        <f t="shared" si="10"/>
        <v>0</v>
      </c>
      <c r="J24" s="23">
        <f t="shared" ref="J24" si="11">G24/$G$46</f>
        <v>1.6624428503353962E-4</v>
      </c>
      <c r="K24" s="108">
        <f t="shared" si="4"/>
        <v>1.7119554423566976E-4</v>
      </c>
    </row>
    <row r="25" spans="1:11" s="1" customFormat="1" x14ac:dyDescent="0.2">
      <c r="A25" s="110" t="s">
        <v>72</v>
      </c>
      <c r="B25" s="74"/>
      <c r="C25" s="35"/>
      <c r="D25" s="35">
        <f>SUM(D19:D24)</f>
        <v>100.67097</v>
      </c>
      <c r="E25" s="73"/>
      <c r="F25" s="35"/>
      <c r="G25" s="35">
        <f>SUM(G19:G24)</f>
        <v>104.57177</v>
      </c>
      <c r="H25" s="35">
        <f t="shared" si="2"/>
        <v>3.9008000000000038</v>
      </c>
      <c r="I25" s="36">
        <f t="shared" si="10"/>
        <v>3.8748012460791861E-2</v>
      </c>
      <c r="J25" s="36">
        <f>G25/$G$46</f>
        <v>0.21003333500473292</v>
      </c>
      <c r="K25" s="111">
        <f t="shared" si="4"/>
        <v>0.21628876497326668</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1.5867220632656311E-3</v>
      </c>
      <c r="K26" s="108">
        <f t="shared" si="4"/>
        <v>1.6339794605071778E-3</v>
      </c>
    </row>
    <row r="27" spans="1:11" s="1" customFormat="1" x14ac:dyDescent="0.2">
      <c r="A27" s="119" t="s">
        <v>75</v>
      </c>
      <c r="B27" s="120">
        <f>B8-B4</f>
        <v>184.85300000000007</v>
      </c>
      <c r="C27" s="170">
        <f>IF(B4&gt;B7,C13,C12)</f>
        <v>0.106</v>
      </c>
      <c r="D27" s="22">
        <f>B27*C27</f>
        <v>19.594418000000008</v>
      </c>
      <c r="E27" s="73">
        <f>B27</f>
        <v>184.85300000000007</v>
      </c>
      <c r="F27" s="170">
        <f>C27</f>
        <v>0.106</v>
      </c>
      <c r="G27" s="22">
        <f>E27*F27</f>
        <v>19.594418000000008</v>
      </c>
      <c r="H27" s="22">
        <f t="shared" si="2"/>
        <v>0</v>
      </c>
      <c r="I27" s="23">
        <f t="shared" si="10"/>
        <v>0</v>
      </c>
      <c r="J27" s="23">
        <f t="shared" ref="J27:J46" si="12">G27/$G$46</f>
        <v>3.9355563743606624E-2</v>
      </c>
      <c r="K27" s="108">
        <f t="shared" ref="K27:K41" si="13">G27/$G$51</f>
        <v>4.0527691838724234E-2</v>
      </c>
    </row>
    <row r="28" spans="1:11" s="1" customFormat="1" x14ac:dyDescent="0.2">
      <c r="A28" s="119" t="s">
        <v>74</v>
      </c>
      <c r="B28" s="120">
        <f>B8-B4</f>
        <v>184.85300000000007</v>
      </c>
      <c r="C28" s="170">
        <f>0.65*C15+0.17*C16+0.18*C17</f>
        <v>9.7519999999999996E-2</v>
      </c>
      <c r="D28" s="22">
        <f>B28*C28</f>
        <v>18.026864560000007</v>
      </c>
      <c r="E28" s="73">
        <f>B28</f>
        <v>184.85300000000007</v>
      </c>
      <c r="F28" s="170">
        <f>C28</f>
        <v>9.7519999999999996E-2</v>
      </c>
      <c r="G28" s="22">
        <f>E28*F28</f>
        <v>18.026864560000007</v>
      </c>
      <c r="H28" s="22">
        <f t="shared" si="2"/>
        <v>0</v>
      </c>
      <c r="I28" s="23">
        <f t="shared" si="10"/>
        <v>0</v>
      </c>
      <c r="J28" s="23">
        <f t="shared" si="12"/>
        <v>3.6207118644118089E-2</v>
      </c>
      <c r="K28" s="108">
        <f t="shared" si="13"/>
        <v>3.7285476491626293E-2</v>
      </c>
    </row>
    <row r="29" spans="1:11" s="1" customFormat="1" x14ac:dyDescent="0.2">
      <c r="A29" s="110" t="s">
        <v>78</v>
      </c>
      <c r="B29" s="74"/>
      <c r="C29" s="35"/>
      <c r="D29" s="35">
        <f>SUM(D25,D26:D27)</f>
        <v>121.05538800000001</v>
      </c>
      <c r="E29" s="73"/>
      <c r="F29" s="35"/>
      <c r="G29" s="35">
        <f>SUM(G25,G26:G27)</f>
        <v>124.95618800000001</v>
      </c>
      <c r="H29" s="35">
        <f t="shared" si="2"/>
        <v>3.9008000000000038</v>
      </c>
      <c r="I29" s="36">
        <f t="shared" si="10"/>
        <v>3.2223266262217123E-2</v>
      </c>
      <c r="J29" s="36">
        <f t="shared" si="12"/>
        <v>0.25097562081160518</v>
      </c>
      <c r="K29" s="111">
        <f t="shared" si="13"/>
        <v>0.25845043627249809</v>
      </c>
    </row>
    <row r="30" spans="1:11" s="1" customFormat="1" x14ac:dyDescent="0.2">
      <c r="A30" s="110" t="s">
        <v>77</v>
      </c>
      <c r="B30" s="74"/>
      <c r="C30" s="35"/>
      <c r="D30" s="35">
        <f>SUM(D25,D26,D28)</f>
        <v>119.48783456000001</v>
      </c>
      <c r="E30" s="73"/>
      <c r="F30" s="35"/>
      <c r="G30" s="35">
        <f>SUM(G25,G26,G28)</f>
        <v>123.38863456000001</v>
      </c>
      <c r="H30" s="35">
        <f t="shared" si="2"/>
        <v>3.9008000000000038</v>
      </c>
      <c r="I30" s="36">
        <f t="shared" si="10"/>
        <v>3.2646001280082146E-2</v>
      </c>
      <c r="J30" s="36">
        <f t="shared" si="12"/>
        <v>0.24782717571211665</v>
      </c>
      <c r="K30" s="111">
        <f t="shared" si="13"/>
        <v>0.25520822092540013</v>
      </c>
    </row>
    <row r="31" spans="1:11" x14ac:dyDescent="0.2">
      <c r="A31" s="107" t="s">
        <v>40</v>
      </c>
      <c r="B31" s="73">
        <f>B8</f>
        <v>2943.8530000000001</v>
      </c>
      <c r="C31" s="125">
        <f>VLOOKUP($B$3,'Data for Bill Impacts'!$A$6:$Y$18,15,0)</f>
        <v>6.1060000000000003E-3</v>
      </c>
      <c r="D31" s="22">
        <f>B31*C31</f>
        <v>17.975166418000001</v>
      </c>
      <c r="E31" s="73">
        <f t="shared" si="6"/>
        <v>2943.8530000000001</v>
      </c>
      <c r="F31" s="125">
        <f>VLOOKUP($B$3,'Data for Bill Impacts'!$A$6:$Y$18,24,0)</f>
        <v>6.1060000000000003E-3</v>
      </c>
      <c r="G31" s="22">
        <f>E31*F31</f>
        <v>17.975166418000001</v>
      </c>
      <c r="H31" s="22">
        <f t="shared" si="2"/>
        <v>0</v>
      </c>
      <c r="I31" s="23">
        <f t="shared" si="10"/>
        <v>0</v>
      </c>
      <c r="J31" s="23">
        <f t="shared" si="12"/>
        <v>3.6103282463686132E-2</v>
      </c>
      <c r="K31" s="108">
        <f t="shared" si="13"/>
        <v>3.7178547754696679E-2</v>
      </c>
    </row>
    <row r="32" spans="1:11" x14ac:dyDescent="0.2">
      <c r="A32" s="107" t="s">
        <v>41</v>
      </c>
      <c r="B32" s="73">
        <f>B8</f>
        <v>2943.8530000000001</v>
      </c>
      <c r="C32" s="125">
        <f>VLOOKUP($B$3,'Data for Bill Impacts'!$A$6:$Y$18,16,0)</f>
        <v>4.6519999999999999E-3</v>
      </c>
      <c r="D32" s="22">
        <f>B32*C32</f>
        <v>13.694804156</v>
      </c>
      <c r="E32" s="73">
        <f t="shared" si="6"/>
        <v>2943.8530000000001</v>
      </c>
      <c r="F32" s="125">
        <f>VLOOKUP($B$3,'Data for Bill Impacts'!$A$6:$Y$18,25,0)</f>
        <v>4.6519999999999999E-3</v>
      </c>
      <c r="G32" s="22">
        <f>E32*F32</f>
        <v>13.694804156</v>
      </c>
      <c r="H32" s="22">
        <f t="shared" si="2"/>
        <v>0</v>
      </c>
      <c r="I32" s="23">
        <f t="shared" si="10"/>
        <v>0</v>
      </c>
      <c r="J32" s="23">
        <f t="shared" si="12"/>
        <v>2.7506136590413996E-2</v>
      </c>
      <c r="K32" s="108">
        <f t="shared" si="13"/>
        <v>2.8325352793129539E-2</v>
      </c>
    </row>
    <row r="33" spans="1:11" s="1" customFormat="1" x14ac:dyDescent="0.2">
      <c r="A33" s="110" t="s">
        <v>76</v>
      </c>
      <c r="B33" s="74"/>
      <c r="C33" s="35"/>
      <c r="D33" s="35">
        <f>SUM(D31:D32)</f>
        <v>31.669970574000001</v>
      </c>
      <c r="E33" s="73"/>
      <c r="F33" s="35"/>
      <c r="G33" s="35">
        <f>SUM(G31:G32)</f>
        <v>31.669970574000001</v>
      </c>
      <c r="H33" s="35">
        <f t="shared" si="2"/>
        <v>0</v>
      </c>
      <c r="I33" s="36">
        <f t="shared" si="10"/>
        <v>0</v>
      </c>
      <c r="J33" s="36">
        <f t="shared" si="12"/>
        <v>6.3609419054100128E-2</v>
      </c>
      <c r="K33" s="111">
        <f t="shared" si="13"/>
        <v>6.5503900547826219E-2</v>
      </c>
    </row>
    <row r="34" spans="1:11" s="1" customFormat="1" ht="13.5" customHeight="1" x14ac:dyDescent="0.2">
      <c r="A34" s="110" t="s">
        <v>91</v>
      </c>
      <c r="B34" s="74"/>
      <c r="C34" s="35"/>
      <c r="D34" s="35">
        <f>D29+D33</f>
        <v>152.72535857400001</v>
      </c>
      <c r="E34" s="73"/>
      <c r="F34" s="35"/>
      <c r="G34" s="35">
        <f>G29+G33</f>
        <v>156.62615857400002</v>
      </c>
      <c r="H34" s="35">
        <f t="shared" si="2"/>
        <v>3.9008000000000038</v>
      </c>
      <c r="I34" s="36">
        <f t="shared" si="10"/>
        <v>2.5541272493460537E-2</v>
      </c>
      <c r="J34" s="36">
        <f t="shared" si="12"/>
        <v>0.3145850398657053</v>
      </c>
      <c r="K34" s="111">
        <f t="shared" si="13"/>
        <v>0.32395433682032432</v>
      </c>
    </row>
    <row r="35" spans="1:11" s="1" customFormat="1" ht="13.5" customHeight="1" x14ac:dyDescent="0.2">
      <c r="A35" s="110" t="s">
        <v>92</v>
      </c>
      <c r="B35" s="74"/>
      <c r="C35" s="35"/>
      <c r="D35" s="35">
        <f>D30+D33</f>
        <v>151.157805134</v>
      </c>
      <c r="E35" s="73"/>
      <c r="F35" s="35"/>
      <c r="G35" s="35">
        <f>G30+G33</f>
        <v>155.058605134</v>
      </c>
      <c r="H35" s="35">
        <f t="shared" si="2"/>
        <v>3.9008000000000038</v>
      </c>
      <c r="I35" s="36">
        <f t="shared" si="10"/>
        <v>2.5806143430979173E-2</v>
      </c>
      <c r="J35" s="36">
        <f t="shared" si="12"/>
        <v>0.31143659476621677</v>
      </c>
      <c r="K35" s="111">
        <f t="shared" si="13"/>
        <v>0.32071212147322636</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2"/>
        <v>0</v>
      </c>
      <c r="I36" s="23">
        <f t="shared" si="10"/>
        <v>0</v>
      </c>
      <c r="J36" s="23">
        <f t="shared" si="12"/>
        <v>2.1285918255694411E-2</v>
      </c>
      <c r="K36" s="108">
        <f t="shared" si="13"/>
        <v>2.1919877483935157E-2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10"/>
        <v>0</v>
      </c>
      <c r="J37" s="23">
        <f t="shared" si="12"/>
        <v>1.2416785649155071E-2</v>
      </c>
      <c r="K37" s="108">
        <f t="shared" si="13"/>
        <v>1.2786595198962173E-2</v>
      </c>
    </row>
    <row r="38" spans="1:11" x14ac:dyDescent="0.2">
      <c r="A38" s="107" t="s">
        <v>96</v>
      </c>
      <c r="B38" s="73">
        <f>B8</f>
        <v>2943.8530000000001</v>
      </c>
      <c r="C38" s="34">
        <v>0</v>
      </c>
      <c r="D38" s="22">
        <f>B38*C38</f>
        <v>0</v>
      </c>
      <c r="E38" s="73">
        <f t="shared" si="6"/>
        <v>2943.8530000000001</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5.0212723521064274E-4</v>
      </c>
      <c r="K39" s="108">
        <f t="shared" si="13"/>
        <v>5.1708210775543596E-4</v>
      </c>
    </row>
    <row r="40" spans="1:11" s="1" customFormat="1" x14ac:dyDescent="0.2">
      <c r="A40" s="110" t="s">
        <v>45</v>
      </c>
      <c r="B40" s="74"/>
      <c r="C40" s="35"/>
      <c r="D40" s="35">
        <f>SUM(D36:D39)</f>
        <v>17.029962099999999</v>
      </c>
      <c r="E40" s="73"/>
      <c r="F40" s="35"/>
      <c r="G40" s="35">
        <f>SUM(G36:G39)</f>
        <v>17.029962099999999</v>
      </c>
      <c r="H40" s="35">
        <f t="shared" si="2"/>
        <v>0</v>
      </c>
      <c r="I40" s="36">
        <f t="shared" si="10"/>
        <v>0</v>
      </c>
      <c r="J40" s="36">
        <f t="shared" si="12"/>
        <v>3.4204831140060121E-2</v>
      </c>
      <c r="K40" s="111">
        <f t="shared" si="13"/>
        <v>3.5223554790652763E-2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2"/>
        <v>0</v>
      </c>
      <c r="I41" s="117">
        <f t="shared" si="10"/>
        <v>0</v>
      </c>
      <c r="J41" s="117">
        <f t="shared" si="12"/>
        <v>3.8790333174492569E-2</v>
      </c>
      <c r="K41" s="118">
        <f t="shared" si="13"/>
        <v>3.9945626988322935E-2</v>
      </c>
    </row>
    <row r="42" spans="1:11" s="1" customFormat="1" x14ac:dyDescent="0.2">
      <c r="A42" s="37" t="s">
        <v>101</v>
      </c>
      <c r="B42" s="38"/>
      <c r="C42" s="39"/>
      <c r="D42" s="39">
        <f>SUM(D14,D25,D26,D27,D33,D40,D41)</f>
        <v>470.27232067400001</v>
      </c>
      <c r="E42" s="38"/>
      <c r="F42" s="39"/>
      <c r="G42" s="39">
        <f>SUM(G14,G25,G26,G27,G33,G40,G41)</f>
        <v>474.17312067400002</v>
      </c>
      <c r="H42" s="39">
        <f t="shared" si="2"/>
        <v>3.9008000000000038</v>
      </c>
      <c r="I42" s="40">
        <f t="shared" si="10"/>
        <v>8.2947684320636393E-3</v>
      </c>
      <c r="J42" s="40">
        <f t="shared" si="12"/>
        <v>0.95238095238095233</v>
      </c>
      <c r="K42" s="41"/>
    </row>
    <row r="43" spans="1:11" x14ac:dyDescent="0.2">
      <c r="A43" s="153" t="s">
        <v>102</v>
      </c>
      <c r="B43" s="43"/>
      <c r="C43" s="26">
        <v>0.13</v>
      </c>
      <c r="D43" s="26">
        <f>D42*C43</f>
        <v>61.135401687620003</v>
      </c>
      <c r="E43" s="26"/>
      <c r="F43" s="26">
        <f>C43</f>
        <v>0.13</v>
      </c>
      <c r="G43" s="26">
        <f>G42*F43</f>
        <v>61.642505687620002</v>
      </c>
      <c r="H43" s="26">
        <f t="shared" si="2"/>
        <v>0.50710399999999822</v>
      </c>
      <c r="I43" s="44">
        <f t="shared" si="10"/>
        <v>8.2947684320636011E-3</v>
      </c>
      <c r="J43" s="44">
        <f t="shared" si="12"/>
        <v>0.1238095238095238</v>
      </c>
      <c r="K43" s="45"/>
    </row>
    <row r="44" spans="1:11" s="1" customFormat="1" x14ac:dyDescent="0.2">
      <c r="A44" s="46" t="s">
        <v>103</v>
      </c>
      <c r="B44" s="24"/>
      <c r="C44" s="25"/>
      <c r="D44" s="25">
        <f>SUM(D42:D43)</f>
        <v>531.40772236162002</v>
      </c>
      <c r="E44" s="25"/>
      <c r="F44" s="25"/>
      <c r="G44" s="25">
        <f>SUM(G42:G43)</f>
        <v>535.81562636162005</v>
      </c>
      <c r="H44" s="25">
        <f t="shared" si="2"/>
        <v>4.4079040000000305</v>
      </c>
      <c r="I44" s="27">
        <f t="shared" si="10"/>
        <v>8.2947684320636879E-3</v>
      </c>
      <c r="J44" s="27">
        <f t="shared" si="12"/>
        <v>1.0761904761904761</v>
      </c>
      <c r="K44" s="47"/>
    </row>
    <row r="45" spans="1:11" x14ac:dyDescent="0.2">
      <c r="A45" s="42" t="s">
        <v>104</v>
      </c>
      <c r="B45" s="43"/>
      <c r="C45" s="26">
        <v>-0.08</v>
      </c>
      <c r="D45" s="26">
        <f>D42*C45</f>
        <v>-37.62178565392</v>
      </c>
      <c r="E45" s="26"/>
      <c r="F45" s="26">
        <f>C45</f>
        <v>-0.08</v>
      </c>
      <c r="G45" s="26">
        <f>G42*F45</f>
        <v>-37.933849653919999</v>
      </c>
      <c r="H45" s="26">
        <f t="shared" si="2"/>
        <v>-0.31206399999999945</v>
      </c>
      <c r="I45" s="44">
        <f t="shared" si="10"/>
        <v>-8.2947684320636168E-3</v>
      </c>
      <c r="J45" s="44">
        <f t="shared" si="12"/>
        <v>-7.6190476190476183E-2</v>
      </c>
      <c r="K45" s="45"/>
    </row>
    <row r="46" spans="1:11" s="1" customFormat="1" ht="13.5" thickBot="1" x14ac:dyDescent="0.25">
      <c r="A46" s="48" t="s">
        <v>105</v>
      </c>
      <c r="B46" s="49"/>
      <c r="C46" s="50"/>
      <c r="D46" s="50">
        <f>SUM(D44:D45)</f>
        <v>493.78593670769999</v>
      </c>
      <c r="E46" s="50"/>
      <c r="F46" s="50"/>
      <c r="G46" s="50">
        <f>SUM(G44:G45)</f>
        <v>497.88177670770006</v>
      </c>
      <c r="H46" s="50">
        <f t="shared" si="2"/>
        <v>4.0958400000000665</v>
      </c>
      <c r="I46" s="51">
        <f t="shared" si="10"/>
        <v>8.2947684320637659E-3</v>
      </c>
      <c r="J46" s="51">
        <f t="shared" si="12"/>
        <v>1</v>
      </c>
      <c r="K46" s="52"/>
    </row>
    <row r="47" spans="1:11" x14ac:dyDescent="0.2">
      <c r="A47" s="53" t="s">
        <v>106</v>
      </c>
      <c r="B47" s="54"/>
      <c r="C47" s="55"/>
      <c r="D47" s="55">
        <f>SUM(D18,D25,D26,D28,D33,D40,D41)</f>
        <v>456.55844723399997</v>
      </c>
      <c r="E47" s="55"/>
      <c r="F47" s="55"/>
      <c r="G47" s="55">
        <f>SUM(G18,G25,G26,G28,G33,G40,G41)</f>
        <v>460.45924723399997</v>
      </c>
      <c r="H47" s="55">
        <f>G47-D47</f>
        <v>3.9008000000000038</v>
      </c>
      <c r="I47" s="56">
        <f t="shared" si="10"/>
        <v>8.5439225221491215E-3</v>
      </c>
      <c r="J47" s="56"/>
      <c r="K47" s="57">
        <f>G47/$G$51</f>
        <v>0.95238095238095244</v>
      </c>
    </row>
    <row r="48" spans="1:11" x14ac:dyDescent="0.2">
      <c r="A48" s="58" t="s">
        <v>102</v>
      </c>
      <c r="B48" s="59"/>
      <c r="C48" s="31">
        <v>0.13</v>
      </c>
      <c r="D48" s="31">
        <f>D47*C48</f>
        <v>59.35259814042</v>
      </c>
      <c r="E48" s="31"/>
      <c r="F48" s="31">
        <f>C48</f>
        <v>0.13</v>
      </c>
      <c r="G48" s="31">
        <f>G47*F48</f>
        <v>59.859702140419998</v>
      </c>
      <c r="H48" s="31">
        <f>G48-D48</f>
        <v>0.50710399999999822</v>
      </c>
      <c r="I48" s="32">
        <f t="shared" si="10"/>
        <v>8.5439225221490833E-3</v>
      </c>
      <c r="J48" s="32"/>
      <c r="K48" s="60">
        <f>G48/$G$51</f>
        <v>0.12380952380952381</v>
      </c>
    </row>
    <row r="49" spans="1:11" x14ac:dyDescent="0.2">
      <c r="A49" s="149" t="s">
        <v>107</v>
      </c>
      <c r="B49" s="29"/>
      <c r="C49" s="30"/>
      <c r="D49" s="30">
        <f>SUM(D47:D48)</f>
        <v>515.91104537441993</v>
      </c>
      <c r="E49" s="30"/>
      <c r="F49" s="30"/>
      <c r="G49" s="30">
        <f>SUM(G47:G48)</f>
        <v>520.31894937441996</v>
      </c>
      <c r="H49" s="30">
        <f>G49-D49</f>
        <v>4.4079040000000305</v>
      </c>
      <c r="I49" s="33">
        <f t="shared" si="10"/>
        <v>8.5439225221491735E-3</v>
      </c>
      <c r="J49" s="33"/>
      <c r="K49" s="62">
        <f>G49/$G$51</f>
        <v>1.0761904761904761</v>
      </c>
    </row>
    <row r="50" spans="1:11" x14ac:dyDescent="0.2">
      <c r="A50" s="58" t="s">
        <v>104</v>
      </c>
      <c r="B50" s="59"/>
      <c r="C50" s="31">
        <v>-0.08</v>
      </c>
      <c r="D50" s="31">
        <f>D47*C50</f>
        <v>-36.524675778719995</v>
      </c>
      <c r="E50" s="31"/>
      <c r="F50" s="31">
        <f>C50</f>
        <v>-0.08</v>
      </c>
      <c r="G50" s="31">
        <f>G47*F50</f>
        <v>-36.836739778720002</v>
      </c>
      <c r="H50" s="31">
        <f>G50-D50</f>
        <v>-0.31206400000000656</v>
      </c>
      <c r="I50" s="32">
        <f t="shared" si="10"/>
        <v>-8.5439225221492932E-3</v>
      </c>
      <c r="J50" s="32"/>
      <c r="K50" s="60">
        <f>G50/$G$51</f>
        <v>-7.6190476190476197E-2</v>
      </c>
    </row>
    <row r="51" spans="1:11" ht="13.5" thickBot="1" x14ac:dyDescent="0.25">
      <c r="A51" s="63" t="s">
        <v>116</v>
      </c>
      <c r="B51" s="64"/>
      <c r="C51" s="65"/>
      <c r="D51" s="65">
        <f>SUM(D49:D50)</f>
        <v>479.38636959569993</v>
      </c>
      <c r="E51" s="65"/>
      <c r="F51" s="65"/>
      <c r="G51" s="65">
        <f>SUM(G49:G50)</f>
        <v>483.48220959569994</v>
      </c>
      <c r="H51" s="65">
        <f>G51-D51</f>
        <v>4.0958400000000097</v>
      </c>
      <c r="I51" s="66">
        <f t="shared" si="10"/>
        <v>8.5439225221491336E-3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6"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121</v>
      </c>
      <c r="B1" s="186"/>
      <c r="C1" s="186"/>
      <c r="D1" s="186"/>
      <c r="E1" s="186"/>
      <c r="F1" s="186"/>
      <c r="G1" s="186"/>
      <c r="H1" s="186"/>
      <c r="I1" s="186"/>
      <c r="J1" s="186"/>
      <c r="K1" s="187"/>
    </row>
    <row r="3" spans="1:11" x14ac:dyDescent="0.2">
      <c r="A3" s="13" t="s">
        <v>13</v>
      </c>
      <c r="B3" s="13" t="s">
        <v>6</v>
      </c>
    </row>
    <row r="4" spans="1:11" x14ac:dyDescent="0.2">
      <c r="A4" s="15" t="s">
        <v>62</v>
      </c>
      <c r="B4" s="15">
        <v>15000</v>
      </c>
    </row>
    <row r="5" spans="1:11" x14ac:dyDescent="0.2">
      <c r="A5" s="15" t="s">
        <v>16</v>
      </c>
      <c r="B5" s="15">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5">
        <f>B4*B6</f>
        <v>16005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2.5848442414018805E-2</v>
      </c>
      <c r="K12" s="106"/>
    </row>
    <row r="13" spans="1:11" x14ac:dyDescent="0.2">
      <c r="A13" s="107" t="s">
        <v>32</v>
      </c>
      <c r="B13" s="73">
        <f>IF(B4&gt;B7,(B4)-B7,0)</f>
        <v>14250</v>
      </c>
      <c r="C13" s="21">
        <v>0.106</v>
      </c>
      <c r="D13" s="22">
        <f>B13*C13</f>
        <v>1510.5</v>
      </c>
      <c r="E13" s="73">
        <f t="shared" ref="E13" si="1">B13</f>
        <v>14250</v>
      </c>
      <c r="F13" s="21">
        <f>C13</f>
        <v>0.106</v>
      </c>
      <c r="G13" s="22">
        <f>E13*F13</f>
        <v>1510.5</v>
      </c>
      <c r="H13" s="22">
        <f t="shared" ref="H13:H46" si="2">G13-D13</f>
        <v>0</v>
      </c>
      <c r="I13" s="23">
        <f t="shared" si="0"/>
        <v>0</v>
      </c>
      <c r="J13" s="23">
        <f>G13/$G$46</f>
        <v>0.57207431892125127</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G14/$G$46</f>
        <v>0.59792276133527011</v>
      </c>
      <c r="K14" s="108"/>
    </row>
    <row r="15" spans="1:11" s="1" customFormat="1" x14ac:dyDescent="0.2">
      <c r="A15" s="109" t="s">
        <v>34</v>
      </c>
      <c r="B15" s="75">
        <f>B4*0.65</f>
        <v>9750</v>
      </c>
      <c r="C15" s="28">
        <v>7.6999999999999999E-2</v>
      </c>
      <c r="D15" s="22">
        <f>B15*C15</f>
        <v>750.75</v>
      </c>
      <c r="E15" s="73">
        <f t="shared" ref="E15:F17" si="3">B15</f>
        <v>9750</v>
      </c>
      <c r="F15" s="28">
        <f t="shared" si="3"/>
        <v>7.6999999999999999E-2</v>
      </c>
      <c r="G15" s="22">
        <f>E15*F15</f>
        <v>750.75</v>
      </c>
      <c r="H15" s="22">
        <f t="shared" si="2"/>
        <v>0</v>
      </c>
      <c r="I15" s="23">
        <f t="shared" si="0"/>
        <v>0</v>
      </c>
      <c r="J15" s="23"/>
      <c r="K15" s="108">
        <f t="shared" ref="K15:K26" si="4">G15/$G$51</f>
        <v>0.29913991333954359</v>
      </c>
    </row>
    <row r="16" spans="1:11" s="1" customFormat="1" x14ac:dyDescent="0.2">
      <c r="A16" s="109" t="s">
        <v>35</v>
      </c>
      <c r="B16" s="75">
        <f>B4*0.17</f>
        <v>2550</v>
      </c>
      <c r="C16" s="28">
        <v>0.113</v>
      </c>
      <c r="D16" s="22">
        <f>B16*C16</f>
        <v>288.15000000000003</v>
      </c>
      <c r="E16" s="73">
        <f t="shared" si="3"/>
        <v>2550</v>
      </c>
      <c r="F16" s="28">
        <f t="shared" si="3"/>
        <v>0.113</v>
      </c>
      <c r="G16" s="22">
        <f>E16*F16</f>
        <v>288.15000000000003</v>
      </c>
      <c r="H16" s="22">
        <f t="shared" si="2"/>
        <v>0</v>
      </c>
      <c r="I16" s="23">
        <f t="shared" si="0"/>
        <v>0</v>
      </c>
      <c r="J16" s="23"/>
      <c r="K16" s="108">
        <f t="shared" si="4"/>
        <v>0.11481473996508758</v>
      </c>
    </row>
    <row r="17" spans="1:11" s="1" customFormat="1" x14ac:dyDescent="0.2">
      <c r="A17" s="109" t="s">
        <v>36</v>
      </c>
      <c r="B17" s="75">
        <f>B4*0.18</f>
        <v>2700</v>
      </c>
      <c r="C17" s="28">
        <v>0.157</v>
      </c>
      <c r="D17" s="22">
        <f>B17*C17</f>
        <v>423.9</v>
      </c>
      <c r="E17" s="73">
        <f t="shared" si="3"/>
        <v>2700</v>
      </c>
      <c r="F17" s="28">
        <f t="shared" si="3"/>
        <v>0.157</v>
      </c>
      <c r="G17" s="22">
        <f>E17*F17</f>
        <v>423.9</v>
      </c>
      <c r="H17" s="22">
        <f t="shared" si="2"/>
        <v>0</v>
      </c>
      <c r="I17" s="23">
        <f t="shared" si="0"/>
        <v>0</v>
      </c>
      <c r="J17" s="23"/>
      <c r="K17" s="108">
        <f t="shared" si="4"/>
        <v>0.16890497404546456</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 t="shared" ref="J18:J23" si="5">G18/$G$46</f>
        <v>0.5540088141132119</v>
      </c>
      <c r="K18" s="62">
        <f t="shared" si="4"/>
        <v>0.58285962735009578</v>
      </c>
    </row>
    <row r="19" spans="1:11" x14ac:dyDescent="0.2">
      <c r="A19" s="107" t="s">
        <v>38</v>
      </c>
      <c r="B19" s="73">
        <v>1</v>
      </c>
      <c r="C19" s="78">
        <f>VLOOKUP($B$3,'Data for Bill Impacts'!$A$6:$Y$18,7,0)</f>
        <v>23.88</v>
      </c>
      <c r="D19" s="22">
        <f>B19*C19</f>
        <v>23.88</v>
      </c>
      <c r="E19" s="73">
        <f t="shared" ref="E19:E41" si="6">B19</f>
        <v>1</v>
      </c>
      <c r="F19" s="78">
        <f>VLOOKUP($B$3,'Data for Bill Impacts'!$A$6:$Y$18,17,0)</f>
        <v>24.47</v>
      </c>
      <c r="G19" s="22">
        <f>E19*F19</f>
        <v>24.47</v>
      </c>
      <c r="H19" s="22">
        <f t="shared" si="2"/>
        <v>0.58999999999999986</v>
      </c>
      <c r="I19" s="23">
        <f>IF(ISERROR(H19/ABS(D19)),"N/A",(H19/ABS(D19)))</f>
        <v>2.4706867671691786E-2</v>
      </c>
      <c r="J19" s="23">
        <f t="shared" si="5"/>
        <v>9.2675660933485733E-3</v>
      </c>
      <c r="K19" s="108">
        <f t="shared" si="4"/>
        <v>9.7501880511736694E-3</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8.0000000000000002E-3</v>
      </c>
      <c r="D22" s="22">
        <f t="shared" si="9"/>
        <v>8.0000000000000002E-3</v>
      </c>
      <c r="E22" s="73">
        <f t="shared" si="6"/>
        <v>1</v>
      </c>
      <c r="F22" s="121">
        <f>VLOOKUP($B$3,'Data for Bill Impacts'!$A$6:$Y$18,22,0)</f>
        <v>8.0000000000000002E-3</v>
      </c>
      <c r="G22" s="22">
        <f t="shared" si="7"/>
        <v>8.0000000000000002E-3</v>
      </c>
      <c r="H22" s="22">
        <f t="shared" si="2"/>
        <v>0</v>
      </c>
      <c r="I22" s="23">
        <f t="shared" ref="I22:I51" si="10">IF(ISERROR(H22/ABS(D22)),"N/A",(H22/ABS(D22)))</f>
        <v>0</v>
      </c>
      <c r="J22" s="23">
        <f t="shared" si="5"/>
        <v>3.029854055855684E-6</v>
      </c>
      <c r="K22" s="108">
        <f t="shared" si="4"/>
        <v>3.1876381041842808E-6</v>
      </c>
    </row>
    <row r="23" spans="1:11" x14ac:dyDescent="0.2">
      <c r="A23" s="107" t="s">
        <v>39</v>
      </c>
      <c r="B23" s="73">
        <f>IF($B$9="kWh",$B$4,$B$5)</f>
        <v>15000</v>
      </c>
      <c r="C23" s="125">
        <f>VLOOKUP($B$3,'Data for Bill Impacts'!$A$6:$Y$18,10,0)</f>
        <v>2.7799999999999998E-2</v>
      </c>
      <c r="D23" s="22">
        <f>B23*C23</f>
        <v>417</v>
      </c>
      <c r="E23" s="73">
        <f t="shared" si="6"/>
        <v>15000</v>
      </c>
      <c r="F23" s="78">
        <f>VLOOKUP($B$3,'Data for Bill Impacts'!$A$6:$Y$18,19,0)</f>
        <v>2.9000000000000001E-2</v>
      </c>
      <c r="G23" s="22">
        <f>E23*F23</f>
        <v>435</v>
      </c>
      <c r="H23" s="22">
        <f t="shared" si="2"/>
        <v>18</v>
      </c>
      <c r="I23" s="23">
        <f t="shared" si="10"/>
        <v>4.3165467625899283E-2</v>
      </c>
      <c r="J23" s="23">
        <f t="shared" si="5"/>
        <v>0.16474831428715281</v>
      </c>
      <c r="K23" s="108">
        <f t="shared" si="4"/>
        <v>0.17332782191502027</v>
      </c>
    </row>
    <row r="24" spans="1:11" x14ac:dyDescent="0.2">
      <c r="A24" s="107" t="s">
        <v>122</v>
      </c>
      <c r="B24" s="73">
        <f>IF($B$9="kWh",$B$4,$B$5)</f>
        <v>15000</v>
      </c>
      <c r="C24" s="125">
        <f>VLOOKUP($B$3,'Data for Bill Impacts'!$A$6:$Y$18,14,0)</f>
        <v>3.0000000000000004E-5</v>
      </c>
      <c r="D24" s="22">
        <f>B24*C24</f>
        <v>0.45000000000000007</v>
      </c>
      <c r="E24" s="73">
        <f t="shared" si="6"/>
        <v>15000</v>
      </c>
      <c r="F24" s="125">
        <f>VLOOKUP($B$3,'Data for Bill Impacts'!$A$6:$Y$18,23,0)</f>
        <v>3.0000000000000004E-5</v>
      </c>
      <c r="G24" s="22">
        <f>E24*F24</f>
        <v>0.45000000000000007</v>
      </c>
      <c r="H24" s="22">
        <f t="shared" si="2"/>
        <v>0</v>
      </c>
      <c r="I24" s="23">
        <f t="shared" si="10"/>
        <v>0</v>
      </c>
      <c r="J24" s="23">
        <f t="shared" ref="J24" si="11">G24/$G$46</f>
        <v>1.7042929064188224E-4</v>
      </c>
      <c r="K24" s="108">
        <f t="shared" si="4"/>
        <v>1.7930464336036583E-4</v>
      </c>
    </row>
    <row r="25" spans="1:11" s="1" customFormat="1" x14ac:dyDescent="0.2">
      <c r="A25" s="110" t="s">
        <v>72</v>
      </c>
      <c r="B25" s="74"/>
      <c r="C25" s="35"/>
      <c r="D25" s="35">
        <f>SUM(D19:D24)</f>
        <v>441.33799999999997</v>
      </c>
      <c r="E25" s="73"/>
      <c r="F25" s="35"/>
      <c r="G25" s="35">
        <f>SUM(G19:G24)</f>
        <v>459.928</v>
      </c>
      <c r="H25" s="35">
        <f t="shared" si="2"/>
        <v>18.590000000000032</v>
      </c>
      <c r="I25" s="36">
        <f t="shared" si="10"/>
        <v>4.2121911097616871E-2</v>
      </c>
      <c r="J25" s="36">
        <f>G25/$G$46</f>
        <v>0.17418933952519913</v>
      </c>
      <c r="K25" s="111">
        <f t="shared" si="4"/>
        <v>0.1832605022476585</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2.991980880157488E-4</v>
      </c>
      <c r="K26" s="108">
        <f t="shared" si="4"/>
        <v>3.1477926278819773E-4</v>
      </c>
    </row>
    <row r="27" spans="1:11" s="1" customFormat="1" x14ac:dyDescent="0.2">
      <c r="A27" s="119" t="s">
        <v>75</v>
      </c>
      <c r="B27" s="120">
        <f>B8-B4</f>
        <v>1005</v>
      </c>
      <c r="C27" s="170">
        <f>IF(B4&gt;B7,C13,C12)</f>
        <v>0.106</v>
      </c>
      <c r="D27" s="22">
        <f>B27*C27</f>
        <v>106.53</v>
      </c>
      <c r="E27" s="73">
        <f>B27</f>
        <v>1005</v>
      </c>
      <c r="F27" s="170">
        <f>C27</f>
        <v>0.106</v>
      </c>
      <c r="G27" s="22">
        <f>E27*F27</f>
        <v>106.53</v>
      </c>
      <c r="H27" s="22">
        <f t="shared" si="2"/>
        <v>0</v>
      </c>
      <c r="I27" s="23">
        <f t="shared" si="10"/>
        <v>0</v>
      </c>
      <c r="J27" s="23">
        <f t="shared" ref="J27:J46" si="12">G27/$G$46</f>
        <v>4.0346294071288251E-2</v>
      </c>
      <c r="K27" s="108">
        <f t="shared" ref="K27:K41" si="13">G27/$G$51</f>
        <v>4.2447385904843933E-2</v>
      </c>
    </row>
    <row r="28" spans="1:11" s="1" customFormat="1" x14ac:dyDescent="0.2">
      <c r="A28" s="119" t="s">
        <v>74</v>
      </c>
      <c r="B28" s="120">
        <f>B8-B4</f>
        <v>1005</v>
      </c>
      <c r="C28" s="170">
        <f>0.65*C15+0.17*C16+0.18*C17</f>
        <v>9.7519999999999996E-2</v>
      </c>
      <c r="D28" s="22">
        <f>B28*C28</f>
        <v>98.007599999999996</v>
      </c>
      <c r="E28" s="73">
        <f>B28</f>
        <v>1005</v>
      </c>
      <c r="F28" s="170">
        <f>C28</f>
        <v>9.7519999999999996E-2</v>
      </c>
      <c r="G28" s="22">
        <f>E28*F28</f>
        <v>98.007599999999996</v>
      </c>
      <c r="H28" s="22">
        <f t="shared" si="2"/>
        <v>0</v>
      </c>
      <c r="I28" s="23">
        <f t="shared" si="10"/>
        <v>0</v>
      </c>
      <c r="J28" s="23">
        <f t="shared" si="12"/>
        <v>3.7118590545585188E-2</v>
      </c>
      <c r="K28" s="108">
        <f t="shared" si="13"/>
        <v>3.9051595032456414E-2</v>
      </c>
    </row>
    <row r="29" spans="1:11" s="1" customFormat="1" x14ac:dyDescent="0.2">
      <c r="A29" s="110" t="s">
        <v>78</v>
      </c>
      <c r="B29" s="74"/>
      <c r="C29" s="35"/>
      <c r="D29" s="35">
        <f>SUM(D25,D26:D27)</f>
        <v>548.65800000000002</v>
      </c>
      <c r="E29" s="73"/>
      <c r="F29" s="35"/>
      <c r="G29" s="35">
        <f>SUM(G25,G26:G27)</f>
        <v>567.24800000000005</v>
      </c>
      <c r="H29" s="35">
        <f t="shared" si="2"/>
        <v>18.590000000000032</v>
      </c>
      <c r="I29" s="36">
        <f t="shared" si="10"/>
        <v>3.3882673723886342E-2</v>
      </c>
      <c r="J29" s="36">
        <f t="shared" si="12"/>
        <v>0.21483483168450315</v>
      </c>
      <c r="K29" s="111">
        <f t="shared" si="13"/>
        <v>0.22602266741529065</v>
      </c>
    </row>
    <row r="30" spans="1:11" s="1" customFormat="1" x14ac:dyDescent="0.2">
      <c r="A30" s="110" t="s">
        <v>77</v>
      </c>
      <c r="B30" s="74"/>
      <c r="C30" s="35"/>
      <c r="D30" s="35">
        <f>SUM(D25,D26,D28)</f>
        <v>540.13559999999995</v>
      </c>
      <c r="E30" s="73"/>
      <c r="F30" s="35"/>
      <c r="G30" s="35">
        <f>SUM(G25,G26,G28)</f>
        <v>558.72559999999999</v>
      </c>
      <c r="H30" s="35">
        <f t="shared" si="2"/>
        <v>18.590000000000032</v>
      </c>
      <c r="I30" s="36">
        <f t="shared" si="10"/>
        <v>3.4417283363659117E-2</v>
      </c>
      <c r="J30" s="36">
        <f t="shared" si="12"/>
        <v>0.21160712815880006</v>
      </c>
      <c r="K30" s="111">
        <f t="shared" si="13"/>
        <v>0.22262687654290308</v>
      </c>
    </row>
    <row r="31" spans="1:11" x14ac:dyDescent="0.2">
      <c r="A31" s="107" t="s">
        <v>40</v>
      </c>
      <c r="B31" s="73">
        <f>B8</f>
        <v>16005</v>
      </c>
      <c r="C31" s="125">
        <f>VLOOKUP($B$3,'Data for Bill Impacts'!$A$6:$Y$18,15,0)</f>
        <v>6.1060000000000003E-3</v>
      </c>
      <c r="D31" s="22">
        <f>B31*C31</f>
        <v>97.726530000000011</v>
      </c>
      <c r="E31" s="73">
        <f t="shared" si="6"/>
        <v>16005</v>
      </c>
      <c r="F31" s="125">
        <f>VLOOKUP($B$3,'Data for Bill Impacts'!$A$6:$Y$18,24,0)</f>
        <v>6.1060000000000003E-3</v>
      </c>
      <c r="G31" s="22">
        <f>E31*F31</f>
        <v>97.726530000000011</v>
      </c>
      <c r="H31" s="22">
        <f t="shared" si="2"/>
        <v>0</v>
      </c>
      <c r="I31" s="23">
        <f t="shared" si="10"/>
        <v>0</v>
      </c>
      <c r="J31" s="23">
        <f t="shared" si="12"/>
        <v>3.7012140410650277E-2</v>
      </c>
      <c r="K31" s="108">
        <f t="shared" si="13"/>
        <v>3.8939601352213533E-2</v>
      </c>
    </row>
    <row r="32" spans="1:11" x14ac:dyDescent="0.2">
      <c r="A32" s="107" t="s">
        <v>41</v>
      </c>
      <c r="B32" s="73">
        <f>B8</f>
        <v>16005</v>
      </c>
      <c r="C32" s="125">
        <f>VLOOKUP($B$3,'Data for Bill Impacts'!$A$6:$Y$18,16,0)</f>
        <v>4.6519999999999999E-3</v>
      </c>
      <c r="D32" s="22">
        <f>B32*C32</f>
        <v>74.455259999999996</v>
      </c>
      <c r="E32" s="73">
        <f t="shared" si="6"/>
        <v>16005</v>
      </c>
      <c r="F32" s="125">
        <f>VLOOKUP($B$3,'Data for Bill Impacts'!$A$6:$Y$18,25,0)</f>
        <v>4.6519999999999999E-3</v>
      </c>
      <c r="G32" s="22">
        <f>E32*F32</f>
        <v>74.455259999999996</v>
      </c>
      <c r="H32" s="22">
        <f t="shared" si="2"/>
        <v>0</v>
      </c>
      <c r="I32" s="23">
        <f t="shared" si="10"/>
        <v>0</v>
      </c>
      <c r="J32" s="23">
        <f t="shared" si="12"/>
        <v>2.8198571436348682E-2</v>
      </c>
      <c r="K32" s="108">
        <f t="shared" si="13"/>
        <v>2.9667052979118463E-2</v>
      </c>
    </row>
    <row r="33" spans="1:11" s="1" customFormat="1" x14ac:dyDescent="0.2">
      <c r="A33" s="110" t="s">
        <v>76</v>
      </c>
      <c r="B33" s="74"/>
      <c r="C33" s="35"/>
      <c r="D33" s="35">
        <f>SUM(D31:D32)</f>
        <v>172.18179000000001</v>
      </c>
      <c r="E33" s="73"/>
      <c r="F33" s="35"/>
      <c r="G33" s="35">
        <f>SUM(G31:G32)</f>
        <v>172.18179000000001</v>
      </c>
      <c r="H33" s="35">
        <f t="shared" si="2"/>
        <v>0</v>
      </c>
      <c r="I33" s="36">
        <f t="shared" si="10"/>
        <v>0</v>
      </c>
      <c r="J33" s="36">
        <f t="shared" si="12"/>
        <v>6.5210711846998962E-2</v>
      </c>
      <c r="K33" s="111">
        <f t="shared" si="13"/>
        <v>6.8606654331331993E-2</v>
      </c>
    </row>
    <row r="34" spans="1:11" s="1" customFormat="1" ht="13.5" customHeight="1" x14ac:dyDescent="0.2">
      <c r="A34" s="110" t="s">
        <v>91</v>
      </c>
      <c r="B34" s="74"/>
      <c r="C34" s="35"/>
      <c r="D34" s="35">
        <f>D29+D33</f>
        <v>720.83978999999999</v>
      </c>
      <c r="E34" s="73"/>
      <c r="F34" s="35"/>
      <c r="G34" s="35">
        <f>G29+G33</f>
        <v>739.42979000000003</v>
      </c>
      <c r="H34" s="35">
        <f t="shared" si="2"/>
        <v>18.590000000000032</v>
      </c>
      <c r="I34" s="36">
        <f t="shared" si="10"/>
        <v>2.5789364374572098E-2</v>
      </c>
      <c r="J34" s="36">
        <f t="shared" si="12"/>
        <v>0.28004554353150207</v>
      </c>
      <c r="K34" s="111">
        <f t="shared" si="13"/>
        <v>0.29462932174662265</v>
      </c>
    </row>
    <row r="35" spans="1:11" s="1" customFormat="1" ht="13.5" customHeight="1" x14ac:dyDescent="0.2">
      <c r="A35" s="110" t="s">
        <v>92</v>
      </c>
      <c r="B35" s="74"/>
      <c r="C35" s="35"/>
      <c r="D35" s="35">
        <f>D30+D33</f>
        <v>712.31738999999993</v>
      </c>
      <c r="E35" s="73"/>
      <c r="F35" s="35"/>
      <c r="G35" s="35">
        <f>G30+G33</f>
        <v>730.90738999999996</v>
      </c>
      <c r="H35" s="35">
        <f t="shared" si="2"/>
        <v>18.590000000000032</v>
      </c>
      <c r="I35" s="36">
        <f t="shared" si="10"/>
        <v>2.6097916828901276E-2</v>
      </c>
      <c r="J35" s="36">
        <f t="shared" si="12"/>
        <v>0.27681784000579901</v>
      </c>
      <c r="K35" s="111">
        <f t="shared" si="13"/>
        <v>0.29123353087423509</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2"/>
        <v>0</v>
      </c>
      <c r="I36" s="23">
        <f t="shared" si="10"/>
        <v>0</v>
      </c>
      <c r="J36" s="23">
        <f t="shared" si="12"/>
        <v>2.1821766373786598E-2</v>
      </c>
      <c r="K36" s="108">
        <f t="shared" si="13"/>
        <v>2.2958166535861236E-2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10"/>
        <v>0</v>
      </c>
      <c r="J37" s="23">
        <f t="shared" si="12"/>
        <v>1.272936371804218E-2</v>
      </c>
      <c r="K37" s="108">
        <f t="shared" si="13"/>
        <v>1.3392263812585719E-2</v>
      </c>
    </row>
    <row r="38" spans="1:11" x14ac:dyDescent="0.2">
      <c r="A38" s="107" t="s">
        <v>96</v>
      </c>
      <c r="B38" s="73">
        <f>B8</f>
        <v>16005</v>
      </c>
      <c r="C38" s="34">
        <v>0</v>
      </c>
      <c r="D38" s="22">
        <f>B38*C38</f>
        <v>0</v>
      </c>
      <c r="E38" s="73">
        <f t="shared" si="6"/>
        <v>16005</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9.4682939245490126E-5</v>
      </c>
      <c r="K39" s="108">
        <f t="shared" si="13"/>
        <v>9.9613690755758782E-5</v>
      </c>
    </row>
    <row r="40" spans="1:11" s="1" customFormat="1" x14ac:dyDescent="0.2">
      <c r="A40" s="110" t="s">
        <v>45</v>
      </c>
      <c r="B40" s="74"/>
      <c r="C40" s="35"/>
      <c r="D40" s="35">
        <f>SUM(D36:D39)</f>
        <v>91.478499999999997</v>
      </c>
      <c r="E40" s="73"/>
      <c r="F40" s="35"/>
      <c r="G40" s="35">
        <f>SUM(G36:G39)</f>
        <v>91.478499999999997</v>
      </c>
      <c r="H40" s="35">
        <f t="shared" si="2"/>
        <v>0</v>
      </c>
      <c r="I40" s="36">
        <f t="shared" si="10"/>
        <v>0</v>
      </c>
      <c r="J40" s="36">
        <f t="shared" si="12"/>
        <v>3.4645813031074273E-2</v>
      </c>
      <c r="K40" s="111">
        <f t="shared" si="13"/>
        <v>3.6450044039202718E-2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2"/>
        <v>0</v>
      </c>
      <c r="I41" s="117">
        <f t="shared" si="10"/>
        <v>0</v>
      </c>
      <c r="J41" s="117">
        <f t="shared" si="12"/>
        <v>3.9766834483105848E-2</v>
      </c>
      <c r="K41" s="118">
        <f t="shared" si="13"/>
        <v>4.1837750117418686E-2</v>
      </c>
    </row>
    <row r="42" spans="1:11" s="1" customFormat="1" x14ac:dyDescent="0.2">
      <c r="A42" s="37" t="s">
        <v>101</v>
      </c>
      <c r="B42" s="38"/>
      <c r="C42" s="39"/>
      <c r="D42" s="39">
        <f>SUM(D14,D25,D26,D27,D33,D40,D41)</f>
        <v>2496.0682900000002</v>
      </c>
      <c r="E42" s="38"/>
      <c r="F42" s="39"/>
      <c r="G42" s="39">
        <f>SUM(G14,G25,G26,G27,G33,G40,G41)</f>
        <v>2514.6582900000003</v>
      </c>
      <c r="H42" s="39">
        <f t="shared" si="2"/>
        <v>18.590000000000146</v>
      </c>
      <c r="I42" s="40">
        <f t="shared" si="10"/>
        <v>7.447712898912771E-3</v>
      </c>
      <c r="J42" s="40">
        <f t="shared" si="12"/>
        <v>0.95238095238095244</v>
      </c>
      <c r="K42" s="41"/>
    </row>
    <row r="43" spans="1:11" x14ac:dyDescent="0.2">
      <c r="A43" s="153" t="s">
        <v>102</v>
      </c>
      <c r="B43" s="43"/>
      <c r="C43" s="26">
        <v>0.13</v>
      </c>
      <c r="D43" s="26">
        <f>D42*C43</f>
        <v>324.48887770000005</v>
      </c>
      <c r="E43" s="26"/>
      <c r="F43" s="26">
        <f>C43</f>
        <v>0.13</v>
      </c>
      <c r="G43" s="26">
        <f>G42*F43</f>
        <v>326.90557770000004</v>
      </c>
      <c r="H43" s="26">
        <f t="shared" si="2"/>
        <v>2.4166999999999916</v>
      </c>
      <c r="I43" s="44">
        <f t="shared" si="10"/>
        <v>7.4477128989126869E-3</v>
      </c>
      <c r="J43" s="44">
        <f t="shared" si="12"/>
        <v>0.12380952380952381</v>
      </c>
      <c r="K43" s="45"/>
    </row>
    <row r="44" spans="1:11" s="1" customFormat="1" x14ac:dyDescent="0.2">
      <c r="A44" s="46" t="s">
        <v>103</v>
      </c>
      <c r="B44" s="24"/>
      <c r="C44" s="25"/>
      <c r="D44" s="25">
        <f>SUM(D42:D43)</f>
        <v>2820.5571677000003</v>
      </c>
      <c r="E44" s="25"/>
      <c r="F44" s="25"/>
      <c r="G44" s="25">
        <f>SUM(G42:G43)</f>
        <v>2841.5638677000002</v>
      </c>
      <c r="H44" s="25">
        <f t="shared" si="2"/>
        <v>21.00669999999991</v>
      </c>
      <c r="I44" s="27">
        <f t="shared" si="10"/>
        <v>7.4477128989126808E-3</v>
      </c>
      <c r="J44" s="27">
        <f t="shared" si="12"/>
        <v>1.0761904761904761</v>
      </c>
      <c r="K44" s="47"/>
    </row>
    <row r="45" spans="1:11" x14ac:dyDescent="0.2">
      <c r="A45" s="42" t="s">
        <v>104</v>
      </c>
      <c r="B45" s="43"/>
      <c r="C45" s="26">
        <v>-0.08</v>
      </c>
      <c r="D45" s="26">
        <f>D42*C45</f>
        <v>-199.68546320000002</v>
      </c>
      <c r="E45" s="26"/>
      <c r="F45" s="26">
        <f>C45</f>
        <v>-0.08</v>
      </c>
      <c r="G45" s="26">
        <f>G42*F45</f>
        <v>-201.17266320000002</v>
      </c>
      <c r="H45" s="26">
        <f t="shared" si="2"/>
        <v>-1.4872000000000014</v>
      </c>
      <c r="I45" s="44">
        <f t="shared" si="10"/>
        <v>-7.4477128989127199E-3</v>
      </c>
      <c r="J45" s="44">
        <f t="shared" si="12"/>
        <v>-7.6190476190476197E-2</v>
      </c>
      <c r="K45" s="45"/>
    </row>
    <row r="46" spans="1:11" s="1" customFormat="1" ht="13.5" thickBot="1" x14ac:dyDescent="0.25">
      <c r="A46" s="48" t="s">
        <v>105</v>
      </c>
      <c r="B46" s="49"/>
      <c r="C46" s="50"/>
      <c r="D46" s="50">
        <f>SUM(D44:D45)</f>
        <v>2620.8717045000003</v>
      </c>
      <c r="E46" s="50"/>
      <c r="F46" s="50"/>
      <c r="G46" s="50">
        <f>SUM(G44:G45)</f>
        <v>2640.3912045000002</v>
      </c>
      <c r="H46" s="50">
        <f t="shared" si="2"/>
        <v>19.51949999999988</v>
      </c>
      <c r="I46" s="51">
        <f t="shared" si="10"/>
        <v>7.447712898912667E-3</v>
      </c>
      <c r="J46" s="51">
        <f t="shared" si="12"/>
        <v>1</v>
      </c>
      <c r="K46" s="52"/>
    </row>
    <row r="47" spans="1:11" x14ac:dyDescent="0.2">
      <c r="A47" s="53" t="s">
        <v>106</v>
      </c>
      <c r="B47" s="54"/>
      <c r="C47" s="55"/>
      <c r="D47" s="55">
        <f>SUM(D18,D25,D26,D28,D33,D40,D41)</f>
        <v>2371.5958900000001</v>
      </c>
      <c r="E47" s="55"/>
      <c r="F47" s="55"/>
      <c r="G47" s="55">
        <f>SUM(G18,G25,G26,G28,G33,G40,G41)</f>
        <v>2390.1858900000002</v>
      </c>
      <c r="H47" s="55">
        <f>G47-D47</f>
        <v>18.590000000000146</v>
      </c>
      <c r="I47" s="56">
        <f t="shared" si="10"/>
        <v>7.8386035658040143E-3</v>
      </c>
      <c r="J47" s="56"/>
      <c r="K47" s="57">
        <f>G47/$G$51</f>
        <v>0.95238095238095233</v>
      </c>
    </row>
    <row r="48" spans="1:11" x14ac:dyDescent="0.2">
      <c r="A48" s="58" t="s">
        <v>102</v>
      </c>
      <c r="B48" s="59"/>
      <c r="C48" s="31">
        <v>0.13</v>
      </c>
      <c r="D48" s="31">
        <f>D47*C48</f>
        <v>308.30746570000002</v>
      </c>
      <c r="E48" s="31"/>
      <c r="F48" s="31">
        <f>C48</f>
        <v>0.13</v>
      </c>
      <c r="G48" s="31">
        <f>G47*F48</f>
        <v>310.72416570000001</v>
      </c>
      <c r="H48" s="31">
        <f>G48-D48</f>
        <v>2.4166999999999916</v>
      </c>
      <c r="I48" s="32">
        <f t="shared" si="10"/>
        <v>7.8386035658039258E-3</v>
      </c>
      <c r="J48" s="32"/>
      <c r="K48" s="60">
        <f>G48/$G$51</f>
        <v>0.1238095238095238</v>
      </c>
    </row>
    <row r="49" spans="1:11" x14ac:dyDescent="0.2">
      <c r="A49" s="149" t="s">
        <v>107</v>
      </c>
      <c r="B49" s="29"/>
      <c r="C49" s="30"/>
      <c r="D49" s="30">
        <f>SUM(D47:D48)</f>
        <v>2679.9033557000002</v>
      </c>
      <c r="E49" s="30"/>
      <c r="F49" s="30"/>
      <c r="G49" s="30">
        <f>SUM(G47:G48)</f>
        <v>2700.9100557000002</v>
      </c>
      <c r="H49" s="30">
        <f>G49-D49</f>
        <v>21.00669999999991</v>
      </c>
      <c r="I49" s="33">
        <f t="shared" si="10"/>
        <v>7.8386035658039189E-3</v>
      </c>
      <c r="J49" s="33"/>
      <c r="K49" s="62">
        <f>G49/$G$51</f>
        <v>1.0761904761904761</v>
      </c>
    </row>
    <row r="50" spans="1:11" x14ac:dyDescent="0.2">
      <c r="A50" s="58" t="s">
        <v>104</v>
      </c>
      <c r="B50" s="59"/>
      <c r="C50" s="31">
        <v>-0.08</v>
      </c>
      <c r="D50" s="31">
        <f>D47*C50</f>
        <v>-189.7276712</v>
      </c>
      <c r="E50" s="31"/>
      <c r="F50" s="31">
        <f>C50</f>
        <v>-0.08</v>
      </c>
      <c r="G50" s="31">
        <f>G47*F50</f>
        <v>-191.21487120000003</v>
      </c>
      <c r="H50" s="31">
        <f>G50-D50</f>
        <v>-1.4872000000000298</v>
      </c>
      <c r="I50" s="32">
        <f t="shared" si="10"/>
        <v>-7.8386035658041097E-3</v>
      </c>
      <c r="J50" s="32"/>
      <c r="K50" s="60">
        <f>G50/$G$51</f>
        <v>-7.6190476190476197E-2</v>
      </c>
    </row>
    <row r="51" spans="1:11" ht="13.5" thickBot="1" x14ac:dyDescent="0.25">
      <c r="A51" s="63" t="s">
        <v>116</v>
      </c>
      <c r="B51" s="64"/>
      <c r="C51" s="65"/>
      <c r="D51" s="65">
        <f>SUM(D49:D50)</f>
        <v>2490.1756845000004</v>
      </c>
      <c r="E51" s="65"/>
      <c r="F51" s="65"/>
      <c r="G51" s="65">
        <f>SUM(G49:G50)</f>
        <v>2509.6951845000003</v>
      </c>
      <c r="H51" s="65">
        <f>G51-D51</f>
        <v>19.51949999999988</v>
      </c>
      <c r="I51" s="66">
        <f t="shared" si="10"/>
        <v>7.8386035658039033E-3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4" orientation="landscape" r:id="rId1"/>
  <headerFooter>
    <oddHeader xml:space="preserve">&amp;RUpdated: 2017-06-07
EB-2017-0049
Exhibit H1-4-1
Attachment 2
Page &amp;P of &amp;N
</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118</v>
      </c>
      <c r="B1" s="186"/>
      <c r="C1" s="186"/>
      <c r="D1" s="186"/>
      <c r="E1" s="186"/>
      <c r="F1" s="186"/>
      <c r="G1" s="186"/>
      <c r="H1" s="186"/>
      <c r="I1" s="186"/>
      <c r="J1" s="186"/>
      <c r="K1" s="187"/>
    </row>
    <row r="3" spans="1:11" x14ac:dyDescent="0.2">
      <c r="A3" s="13" t="s">
        <v>13</v>
      </c>
      <c r="B3" s="13" t="s">
        <v>4</v>
      </c>
    </row>
    <row r="4" spans="1:11" x14ac:dyDescent="0.2">
      <c r="A4" s="15" t="s">
        <v>62</v>
      </c>
      <c r="B4" s="15">
        <v>1000</v>
      </c>
    </row>
    <row r="5" spans="1:11" x14ac:dyDescent="0.2">
      <c r="A5" s="15" t="s">
        <v>16</v>
      </c>
      <c r="B5" s="15">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5">
        <f>B4*B6</f>
        <v>1096</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0.29295347909568709</v>
      </c>
      <c r="K12" s="106"/>
    </row>
    <row r="13" spans="1:11" x14ac:dyDescent="0.2">
      <c r="A13" s="107" t="s">
        <v>32</v>
      </c>
      <c r="B13" s="73">
        <f>IF(B4&gt;B7,(B4)-B7,0)</f>
        <v>250</v>
      </c>
      <c r="C13" s="21">
        <v>0.106</v>
      </c>
      <c r="D13" s="22">
        <f>B13*C13</f>
        <v>26.5</v>
      </c>
      <c r="E13" s="73">
        <f t="shared" ref="E13" si="1">B13</f>
        <v>250</v>
      </c>
      <c r="F13" s="21">
        <f>C13</f>
        <v>0.106</v>
      </c>
      <c r="G13" s="22">
        <f>E13*F13</f>
        <v>26.5</v>
      </c>
      <c r="H13" s="22">
        <f t="shared" ref="H13:H46" si="2">G13-D13</f>
        <v>0</v>
      </c>
      <c r="I13" s="23">
        <f t="shared" si="0"/>
        <v>0</v>
      </c>
      <c r="J13" s="23">
        <f>G13/$G$46</f>
        <v>0.11374750470381989</v>
      </c>
      <c r="K13" s="108"/>
    </row>
    <row r="14" spans="1:11" s="1" customFormat="1" x14ac:dyDescent="0.2">
      <c r="A14" s="46" t="s">
        <v>33</v>
      </c>
      <c r="B14" s="24"/>
      <c r="C14" s="25"/>
      <c r="D14" s="25">
        <f>SUM(D12:D13)</f>
        <v>94.75</v>
      </c>
      <c r="E14" s="76"/>
      <c r="F14" s="25"/>
      <c r="G14" s="25">
        <f>SUM(G12:G13)</f>
        <v>94.75</v>
      </c>
      <c r="H14" s="25">
        <f t="shared" si="2"/>
        <v>0</v>
      </c>
      <c r="I14" s="27">
        <f t="shared" si="0"/>
        <v>0</v>
      </c>
      <c r="J14" s="27">
        <f>G14/$G$46</f>
        <v>0.40670098379950698</v>
      </c>
      <c r="K14" s="108"/>
    </row>
    <row r="15" spans="1:11" s="1" customFormat="1" x14ac:dyDescent="0.2">
      <c r="A15" s="109" t="s">
        <v>34</v>
      </c>
      <c r="B15" s="75">
        <f>B4*0.65</f>
        <v>650</v>
      </c>
      <c r="C15" s="28">
        <v>7.6999999999999999E-2</v>
      </c>
      <c r="D15" s="22">
        <f>B15*C15</f>
        <v>50.05</v>
      </c>
      <c r="E15" s="73">
        <f t="shared" ref="E15:F17" si="3">B15</f>
        <v>650</v>
      </c>
      <c r="F15" s="28">
        <f t="shared" si="3"/>
        <v>7.6999999999999999E-2</v>
      </c>
      <c r="G15" s="22">
        <f>E15*F15</f>
        <v>50.05</v>
      </c>
      <c r="H15" s="22">
        <f t="shared" si="2"/>
        <v>0</v>
      </c>
      <c r="I15" s="23">
        <f t="shared" si="0"/>
        <v>0</v>
      </c>
      <c r="J15" s="23"/>
      <c r="K15" s="108">
        <f t="shared" ref="K15:K26" si="4">G15/$G$51</f>
        <v>0.21295528962294669</v>
      </c>
    </row>
    <row r="16" spans="1:11" s="1" customFormat="1" x14ac:dyDescent="0.2">
      <c r="A16" s="109" t="s">
        <v>35</v>
      </c>
      <c r="B16" s="75">
        <f>B4*0.17</f>
        <v>170</v>
      </c>
      <c r="C16" s="28">
        <v>0.113</v>
      </c>
      <c r="D16" s="22">
        <f>B16*C16</f>
        <v>19.21</v>
      </c>
      <c r="E16" s="73">
        <f t="shared" si="3"/>
        <v>170</v>
      </c>
      <c r="F16" s="28">
        <f t="shared" si="3"/>
        <v>0.113</v>
      </c>
      <c r="G16" s="22">
        <f>E16*F16</f>
        <v>19.21</v>
      </c>
      <c r="H16" s="22">
        <f t="shared" si="2"/>
        <v>0</v>
      </c>
      <c r="I16" s="23">
        <f t="shared" si="0"/>
        <v>0</v>
      </c>
      <c r="J16" s="23"/>
      <c r="K16" s="108">
        <f t="shared" si="4"/>
        <v>8.1735686586549575E-2</v>
      </c>
    </row>
    <row r="17" spans="1:11" s="1" customFormat="1" x14ac:dyDescent="0.2">
      <c r="A17" s="109" t="s">
        <v>36</v>
      </c>
      <c r="B17" s="75">
        <f>B4*0.18</f>
        <v>180</v>
      </c>
      <c r="C17" s="28">
        <v>0.157</v>
      </c>
      <c r="D17" s="22">
        <f>B17*C17</f>
        <v>28.26</v>
      </c>
      <c r="E17" s="73">
        <f t="shared" si="3"/>
        <v>180</v>
      </c>
      <c r="F17" s="28">
        <f t="shared" si="3"/>
        <v>0.157</v>
      </c>
      <c r="G17" s="22">
        <f>E17*F17</f>
        <v>28.26</v>
      </c>
      <c r="H17" s="22">
        <f t="shared" si="2"/>
        <v>0</v>
      </c>
      <c r="I17" s="23">
        <f t="shared" si="0"/>
        <v>0</v>
      </c>
      <c r="J17" s="23"/>
      <c r="K17" s="108">
        <f t="shared" si="4"/>
        <v>0.12024208760728219</v>
      </c>
    </row>
    <row r="18" spans="1:11" s="1" customFormat="1" x14ac:dyDescent="0.2">
      <c r="A18" s="61" t="s">
        <v>37</v>
      </c>
      <c r="B18" s="29"/>
      <c r="C18" s="30"/>
      <c r="D18" s="30">
        <f>SUM(D15:D17)</f>
        <v>97.52</v>
      </c>
      <c r="E18" s="77"/>
      <c r="F18" s="30"/>
      <c r="G18" s="30">
        <f>SUM(G15:G17)</f>
        <v>97.52</v>
      </c>
      <c r="H18" s="31">
        <f t="shared" si="2"/>
        <v>0</v>
      </c>
      <c r="I18" s="32">
        <f t="shared" si="0"/>
        <v>0</v>
      </c>
      <c r="J18" s="33">
        <f t="shared" ref="J18:J23" si="5">G18/$G$46</f>
        <v>0.41859081731005715</v>
      </c>
      <c r="K18" s="62">
        <f t="shared" si="4"/>
        <v>0.41493306381677847</v>
      </c>
    </row>
    <row r="19" spans="1:11" x14ac:dyDescent="0.2">
      <c r="A19" s="107" t="s">
        <v>38</v>
      </c>
      <c r="B19" s="73">
        <v>1</v>
      </c>
      <c r="C19" s="78">
        <f>VLOOKUP($B$3,'Data for Bill Impacts'!$A$6:$Y$18,7,0)</f>
        <v>29.56</v>
      </c>
      <c r="D19" s="22">
        <f>B19*C19</f>
        <v>29.56</v>
      </c>
      <c r="E19" s="73">
        <f t="shared" ref="E19:E41" si="6">B19</f>
        <v>1</v>
      </c>
      <c r="F19" s="78">
        <f>VLOOKUP($B$3,'Data for Bill Impacts'!$A$6:$Y$18,17,0)</f>
        <v>30.2</v>
      </c>
      <c r="G19" s="22">
        <f>E19*F19</f>
        <v>30.2</v>
      </c>
      <c r="H19" s="22">
        <f t="shared" si="2"/>
        <v>0.64000000000000057</v>
      </c>
      <c r="I19" s="23">
        <f>IF(ISERROR(H19/ABS(D19)),"N/A",(H19/ABS(D19)))</f>
        <v>2.1650879566982428E-2</v>
      </c>
      <c r="J19" s="23">
        <f t="shared" si="5"/>
        <v>0.12962923177567398</v>
      </c>
      <c r="K19" s="108">
        <f t="shared" si="4"/>
        <v>0.12849649843382599</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2E-3</v>
      </c>
      <c r="D22" s="22">
        <f t="shared" si="9"/>
        <v>2E-3</v>
      </c>
      <c r="E22" s="73">
        <f t="shared" si="6"/>
        <v>1</v>
      </c>
      <c r="F22" s="121">
        <f>VLOOKUP($B$3,'Data for Bill Impacts'!$A$6:$Y$18,22,0)</f>
        <v>2E-3</v>
      </c>
      <c r="G22" s="22">
        <f t="shared" si="7"/>
        <v>2E-3</v>
      </c>
      <c r="H22" s="22">
        <f t="shared" si="2"/>
        <v>0</v>
      </c>
      <c r="I22" s="23">
        <f t="shared" ref="I22:I51" si="10">IF(ISERROR(H22/ABS(D22)),"N/A",(H22/ABS(D22)))</f>
        <v>0</v>
      </c>
      <c r="J22" s="23">
        <f t="shared" si="5"/>
        <v>8.5847173361373501E-6</v>
      </c>
      <c r="K22" s="108">
        <f t="shared" si="4"/>
        <v>8.5097018830348327E-6</v>
      </c>
    </row>
    <row r="23" spans="1:11" x14ac:dyDescent="0.2">
      <c r="A23" s="107" t="s">
        <v>39</v>
      </c>
      <c r="B23" s="73">
        <f>IF($B$9="kWh",$B$4,$B$5)</f>
        <v>1000</v>
      </c>
      <c r="C23" s="78">
        <f>VLOOKUP($B$3,'Data for Bill Impacts'!$A$6:$Y$18,10,0)</f>
        <v>5.8900000000000001E-2</v>
      </c>
      <c r="D23" s="22">
        <f>B23*C23</f>
        <v>58.9</v>
      </c>
      <c r="E23" s="73">
        <f t="shared" si="6"/>
        <v>1000</v>
      </c>
      <c r="F23" s="78">
        <f>VLOOKUP($B$3,'Data for Bill Impacts'!$A$6:$Y$18,19,0)</f>
        <v>6.13E-2</v>
      </c>
      <c r="G23" s="22">
        <f>E23*F23</f>
        <v>61.3</v>
      </c>
      <c r="H23" s="22">
        <f t="shared" si="2"/>
        <v>2.3999999999999986</v>
      </c>
      <c r="I23" s="23">
        <f t="shared" si="10"/>
        <v>4.0747028862478753E-2</v>
      </c>
      <c r="J23" s="23">
        <f t="shared" si="5"/>
        <v>0.26312158635260974</v>
      </c>
      <c r="K23" s="108">
        <f t="shared" si="4"/>
        <v>0.26082236271501763</v>
      </c>
    </row>
    <row r="24" spans="1:11" x14ac:dyDescent="0.2">
      <c r="A24" s="107" t="s">
        <v>122</v>
      </c>
      <c r="B24" s="73">
        <f>IF($B$9="kWh",$B$4,$B$5)</f>
        <v>1000</v>
      </c>
      <c r="C24" s="125">
        <f>VLOOKUP($B$3,'Data for Bill Impacts'!$A$6:$Y$18,14,0)</f>
        <v>2.0000000000000002E-5</v>
      </c>
      <c r="D24" s="22">
        <f>B24*C24</f>
        <v>0.02</v>
      </c>
      <c r="E24" s="73">
        <f t="shared" si="6"/>
        <v>1000</v>
      </c>
      <c r="F24" s="125">
        <f>VLOOKUP($B$3,'Data for Bill Impacts'!$A$6:$Y$18,23,0)</f>
        <v>2.0000000000000002E-5</v>
      </c>
      <c r="G24" s="22">
        <f>E24*F24</f>
        <v>0.02</v>
      </c>
      <c r="H24" s="22">
        <f t="shared" si="2"/>
        <v>0</v>
      </c>
      <c r="I24" s="23">
        <f t="shared" si="10"/>
        <v>0</v>
      </c>
      <c r="J24" s="23">
        <f t="shared" ref="J24" si="11">G24/$G$46</f>
        <v>8.5847173361373495E-5</v>
      </c>
      <c r="K24" s="108">
        <f t="shared" si="4"/>
        <v>8.5097018830348334E-5</v>
      </c>
    </row>
    <row r="25" spans="1:11" s="1" customFormat="1" x14ac:dyDescent="0.2">
      <c r="A25" s="110" t="s">
        <v>72</v>
      </c>
      <c r="B25" s="74"/>
      <c r="C25" s="35"/>
      <c r="D25" s="35">
        <f>SUM(D19:D24)</f>
        <v>88.481999999999985</v>
      </c>
      <c r="E25" s="73"/>
      <c r="F25" s="35"/>
      <c r="G25" s="35">
        <f>SUM(G19:G24)</f>
        <v>91.521999999999991</v>
      </c>
      <c r="H25" s="35">
        <f t="shared" si="2"/>
        <v>3.0400000000000063</v>
      </c>
      <c r="I25" s="36">
        <f t="shared" si="10"/>
        <v>3.4357270405280249E-2</v>
      </c>
      <c r="J25" s="36">
        <f>G25/$G$46</f>
        <v>0.39284525001898124</v>
      </c>
      <c r="K25" s="111">
        <f t="shared" si="4"/>
        <v>0.38941246786955697</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3.3909633477742533E-3</v>
      </c>
      <c r="K26" s="108">
        <f t="shared" si="4"/>
        <v>3.3613322437987593E-3</v>
      </c>
    </row>
    <row r="27" spans="1:11" s="1" customFormat="1" x14ac:dyDescent="0.2">
      <c r="A27" s="119" t="s">
        <v>75</v>
      </c>
      <c r="B27" s="120">
        <f>B8-B4</f>
        <v>96</v>
      </c>
      <c r="C27" s="170">
        <f>IF(B4&gt;B7,C13,C12)</f>
        <v>0.106</v>
      </c>
      <c r="D27" s="22">
        <f>B27*C27</f>
        <v>10.176</v>
      </c>
      <c r="E27" s="73">
        <f>B27</f>
        <v>96</v>
      </c>
      <c r="F27" s="170">
        <f>C27</f>
        <v>0.106</v>
      </c>
      <c r="G27" s="22">
        <f>E27*F27</f>
        <v>10.176</v>
      </c>
      <c r="H27" s="22">
        <f t="shared" si="2"/>
        <v>0</v>
      </c>
      <c r="I27" s="23">
        <f t="shared" si="10"/>
        <v>0</v>
      </c>
      <c r="J27" s="23">
        <f t="shared" ref="J27:J46" si="12">G27/$G$46</f>
        <v>4.367904180626684E-2</v>
      </c>
      <c r="K27" s="108">
        <f t="shared" ref="K27:K41" si="13">G27/$G$51</f>
        <v>4.3297363180881232E-2</v>
      </c>
    </row>
    <row r="28" spans="1:11" s="1" customFormat="1" x14ac:dyDescent="0.2">
      <c r="A28" s="119" t="s">
        <v>74</v>
      </c>
      <c r="B28" s="120">
        <f>B8-B4</f>
        <v>96</v>
      </c>
      <c r="C28" s="170">
        <f>0.65*C15+0.17*C16+0.18*C17</f>
        <v>9.7519999999999996E-2</v>
      </c>
      <c r="D28" s="22">
        <f>B28*C28</f>
        <v>9.3619199999999996</v>
      </c>
      <c r="E28" s="73">
        <f>B28</f>
        <v>96</v>
      </c>
      <c r="F28" s="170">
        <f>C28</f>
        <v>9.7519999999999996E-2</v>
      </c>
      <c r="G28" s="22">
        <f>E28*F28</f>
        <v>9.3619199999999996</v>
      </c>
      <c r="H28" s="22">
        <f t="shared" si="2"/>
        <v>0</v>
      </c>
      <c r="I28" s="23">
        <f t="shared" si="10"/>
        <v>0</v>
      </c>
      <c r="J28" s="23">
        <f t="shared" si="12"/>
        <v>4.0184718461765488E-2</v>
      </c>
      <c r="K28" s="108">
        <f t="shared" si="13"/>
        <v>3.9833574126410733E-2</v>
      </c>
    </row>
    <row r="29" spans="1:11" s="1" customFormat="1" x14ac:dyDescent="0.2">
      <c r="A29" s="110" t="s">
        <v>78</v>
      </c>
      <c r="B29" s="74"/>
      <c r="C29" s="35"/>
      <c r="D29" s="35">
        <f>SUM(D25,D26:D27)</f>
        <v>99.447999999999993</v>
      </c>
      <c r="E29" s="73"/>
      <c r="F29" s="35"/>
      <c r="G29" s="35">
        <f>SUM(G25,G26:G27)</f>
        <v>102.488</v>
      </c>
      <c r="H29" s="35">
        <f t="shared" si="2"/>
        <v>3.0400000000000063</v>
      </c>
      <c r="I29" s="36">
        <f t="shared" si="10"/>
        <v>3.056873944171835E-2</v>
      </c>
      <c r="J29" s="36">
        <f t="shared" si="12"/>
        <v>0.43991525517302238</v>
      </c>
      <c r="K29" s="111">
        <f t="shared" si="13"/>
        <v>0.43607116329423701</v>
      </c>
    </row>
    <row r="30" spans="1:11" s="1" customFormat="1" x14ac:dyDescent="0.2">
      <c r="A30" s="110" t="s">
        <v>77</v>
      </c>
      <c r="B30" s="74"/>
      <c r="C30" s="35"/>
      <c r="D30" s="35">
        <f>SUM(D25,D26,D28)</f>
        <v>98.633919999999989</v>
      </c>
      <c r="E30" s="73"/>
      <c r="F30" s="35"/>
      <c r="G30" s="35">
        <f>SUM(G25,G26,G28)</f>
        <v>101.67392</v>
      </c>
      <c r="H30" s="35">
        <f t="shared" si="2"/>
        <v>3.0400000000000063</v>
      </c>
      <c r="I30" s="36">
        <f t="shared" si="10"/>
        <v>3.0821040064107831E-2</v>
      </c>
      <c r="J30" s="36">
        <f t="shared" si="12"/>
        <v>0.43642093182852099</v>
      </c>
      <c r="K30" s="111">
        <f t="shared" si="13"/>
        <v>0.43260737423976647</v>
      </c>
    </row>
    <row r="31" spans="1:11" x14ac:dyDescent="0.2">
      <c r="A31" s="107" t="s">
        <v>40</v>
      </c>
      <c r="B31" s="73">
        <f>B8</f>
        <v>1096</v>
      </c>
      <c r="C31" s="125">
        <f>VLOOKUP($B$3,'Data for Bill Impacts'!$A$6:$Y$18,15,0)</f>
        <v>5.6930000000000001E-3</v>
      </c>
      <c r="D31" s="22">
        <f>B31*C31</f>
        <v>6.239528</v>
      </c>
      <c r="E31" s="73">
        <f t="shared" si="6"/>
        <v>1096</v>
      </c>
      <c r="F31" s="125">
        <f>VLOOKUP($B$3,'Data for Bill Impacts'!$A$6:$Y$18,24,0)</f>
        <v>5.6930000000000001E-3</v>
      </c>
      <c r="G31" s="22">
        <f>E31*F31</f>
        <v>6.239528</v>
      </c>
      <c r="H31" s="22">
        <f t="shared" si="2"/>
        <v>0</v>
      </c>
      <c r="I31" s="23">
        <f t="shared" si="10"/>
        <v>0</v>
      </c>
      <c r="J31" s="23">
        <f t="shared" si="12"/>
        <v>2.6782292095457204E-2</v>
      </c>
      <c r="K31" s="108">
        <f t="shared" si="13"/>
        <v>2.6548261585424282E-2</v>
      </c>
    </row>
    <row r="32" spans="1:11" x14ac:dyDescent="0.2">
      <c r="A32" s="107" t="s">
        <v>41</v>
      </c>
      <c r="B32" s="73">
        <f>B8</f>
        <v>1096</v>
      </c>
      <c r="C32" s="125">
        <f>VLOOKUP($B$3,'Data for Bill Impacts'!$A$6:$Y$18,16,0)</f>
        <v>4.4740000000000005E-3</v>
      </c>
      <c r="D32" s="22">
        <f>B32*C32</f>
        <v>4.9035040000000008</v>
      </c>
      <c r="E32" s="73">
        <f t="shared" si="6"/>
        <v>1096</v>
      </c>
      <c r="F32" s="125">
        <f>VLOOKUP($B$3,'Data for Bill Impacts'!$A$6:$Y$18,25,0)</f>
        <v>4.4740000000000005E-3</v>
      </c>
      <c r="G32" s="22">
        <f>E32*F32</f>
        <v>4.9035040000000008</v>
      </c>
      <c r="H32" s="22">
        <f t="shared" si="2"/>
        <v>0</v>
      </c>
      <c r="I32" s="23">
        <f t="shared" si="10"/>
        <v>0</v>
      </c>
      <c r="J32" s="23">
        <f t="shared" si="12"/>
        <v>2.1047597898309425E-2</v>
      </c>
      <c r="K32" s="108">
        <f t="shared" si="13"/>
        <v>2.0863678611134421E-2</v>
      </c>
    </row>
    <row r="33" spans="1:11" s="1" customFormat="1" x14ac:dyDescent="0.2">
      <c r="A33" s="110" t="s">
        <v>76</v>
      </c>
      <c r="B33" s="74"/>
      <c r="C33" s="35"/>
      <c r="D33" s="35">
        <f>SUM(D31:D32)</f>
        <v>11.143032000000002</v>
      </c>
      <c r="E33" s="73"/>
      <c r="F33" s="35"/>
      <c r="G33" s="35">
        <f>SUM(G31:G32)</f>
        <v>11.143032000000002</v>
      </c>
      <c r="H33" s="35">
        <f t="shared" si="2"/>
        <v>0</v>
      </c>
      <c r="I33" s="36">
        <f t="shared" si="10"/>
        <v>0</v>
      </c>
      <c r="J33" s="36">
        <f t="shared" si="12"/>
        <v>4.7829889993766632E-2</v>
      </c>
      <c r="K33" s="111">
        <f t="shared" si="13"/>
        <v>4.7411940196558706E-2</v>
      </c>
    </row>
    <row r="34" spans="1:11" s="1" customFormat="1" x14ac:dyDescent="0.2">
      <c r="A34" s="110" t="s">
        <v>91</v>
      </c>
      <c r="B34" s="74"/>
      <c r="C34" s="35"/>
      <c r="D34" s="35">
        <f>D29+D33</f>
        <v>110.591032</v>
      </c>
      <c r="E34" s="73"/>
      <c r="F34" s="35"/>
      <c r="G34" s="35">
        <f>G29+G33</f>
        <v>113.631032</v>
      </c>
      <c r="H34" s="35">
        <f t="shared" si="2"/>
        <v>3.0400000000000063</v>
      </c>
      <c r="I34" s="36">
        <f t="shared" si="10"/>
        <v>2.7488666531297098E-2</v>
      </c>
      <c r="J34" s="36">
        <f t="shared" si="12"/>
        <v>0.48774514516678902</v>
      </c>
      <c r="K34" s="111">
        <f t="shared" si="13"/>
        <v>0.48348310349079571</v>
      </c>
    </row>
    <row r="35" spans="1:11" s="1" customFormat="1" x14ac:dyDescent="0.2">
      <c r="A35" s="110" t="s">
        <v>92</v>
      </c>
      <c r="B35" s="74"/>
      <c r="C35" s="35"/>
      <c r="D35" s="35">
        <f>D30+D33</f>
        <v>109.77695199999999</v>
      </c>
      <c r="E35" s="73"/>
      <c r="F35" s="35"/>
      <c r="G35" s="35">
        <f>G30+G33</f>
        <v>112.816952</v>
      </c>
      <c r="H35" s="35">
        <f t="shared" si="2"/>
        <v>3.0400000000000063</v>
      </c>
      <c r="I35" s="36">
        <f t="shared" si="10"/>
        <v>2.7692516002812743E-2</v>
      </c>
      <c r="J35" s="36">
        <f t="shared" si="12"/>
        <v>0.48425082182228762</v>
      </c>
      <c r="K35" s="111">
        <f t="shared" si="13"/>
        <v>0.48001931443632517</v>
      </c>
    </row>
    <row r="36" spans="1:11" x14ac:dyDescent="0.2">
      <c r="A36" s="107" t="s">
        <v>42</v>
      </c>
      <c r="B36" s="73">
        <f>B8</f>
        <v>1096</v>
      </c>
      <c r="C36" s="34">
        <v>3.5999999999999999E-3</v>
      </c>
      <c r="D36" s="22">
        <f>B36*C36</f>
        <v>3.9455999999999998</v>
      </c>
      <c r="E36" s="73">
        <f t="shared" si="6"/>
        <v>1096</v>
      </c>
      <c r="F36" s="34">
        <v>3.5999999999999999E-3</v>
      </c>
      <c r="G36" s="22">
        <f>E36*F36</f>
        <v>3.9455999999999998</v>
      </c>
      <c r="H36" s="22">
        <f t="shared" si="2"/>
        <v>0</v>
      </c>
      <c r="I36" s="23">
        <f t="shared" si="10"/>
        <v>0</v>
      </c>
      <c r="J36" s="23">
        <f t="shared" si="12"/>
        <v>1.6935930360731762E-2</v>
      </c>
      <c r="K36" s="108">
        <f t="shared" si="13"/>
        <v>1.6787939874851117E-2</v>
      </c>
    </row>
    <row r="37" spans="1:11" x14ac:dyDescent="0.2">
      <c r="A37" s="107" t="s">
        <v>43</v>
      </c>
      <c r="B37" s="73">
        <f>B8</f>
        <v>1096</v>
      </c>
      <c r="C37" s="34">
        <v>2.0999999999999999E-3</v>
      </c>
      <c r="D37" s="22">
        <f>B37*C37</f>
        <v>2.3015999999999996</v>
      </c>
      <c r="E37" s="73">
        <f t="shared" si="6"/>
        <v>1096</v>
      </c>
      <c r="F37" s="34">
        <v>2.0999999999999999E-3</v>
      </c>
      <c r="G37" s="22">
        <f>E37*F37</f>
        <v>2.3015999999999996</v>
      </c>
      <c r="H37" s="22">
        <f>G37-D37</f>
        <v>0</v>
      </c>
      <c r="I37" s="23">
        <f t="shared" si="10"/>
        <v>0</v>
      </c>
      <c r="J37" s="23">
        <f t="shared" si="12"/>
        <v>9.879292710426861E-3</v>
      </c>
      <c r="K37" s="108">
        <f t="shared" si="13"/>
        <v>9.7929649269964843E-3</v>
      </c>
    </row>
    <row r="38" spans="1:11" x14ac:dyDescent="0.2">
      <c r="A38" s="107" t="s">
        <v>96</v>
      </c>
      <c r="B38" s="73">
        <f>B8</f>
        <v>1096</v>
      </c>
      <c r="C38" s="34">
        <v>0</v>
      </c>
      <c r="D38" s="22">
        <f>B38*C38</f>
        <v>0</v>
      </c>
      <c r="E38" s="73">
        <f t="shared" si="6"/>
        <v>1096</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1.0730896670171687E-3</v>
      </c>
      <c r="K39" s="108">
        <f t="shared" si="13"/>
        <v>1.0637127353793541E-3</v>
      </c>
    </row>
    <row r="40" spans="1:11" s="1" customFormat="1" x14ac:dyDescent="0.2">
      <c r="A40" s="110" t="s">
        <v>45</v>
      </c>
      <c r="B40" s="74"/>
      <c r="C40" s="35"/>
      <c r="D40" s="35">
        <f>SUM(D36:D39)</f>
        <v>6.4971999999999994</v>
      </c>
      <c r="E40" s="73"/>
      <c r="F40" s="35"/>
      <c r="G40" s="35">
        <f>SUM(G36:G39)</f>
        <v>6.4971999999999994</v>
      </c>
      <c r="H40" s="35">
        <f t="shared" si="2"/>
        <v>0</v>
      </c>
      <c r="I40" s="36">
        <f t="shared" si="10"/>
        <v>0</v>
      </c>
      <c r="J40" s="36">
        <f t="shared" si="12"/>
        <v>2.7888312738175793E-2</v>
      </c>
      <c r="K40" s="111">
        <f t="shared" si="13"/>
        <v>2.7644617537226957E-2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2"/>
        <v>0</v>
      </c>
      <c r="I41" s="117">
        <f t="shared" si="10"/>
        <v>0</v>
      </c>
      <c r="J41" s="117">
        <f t="shared" si="12"/>
        <v>3.0046510676480724E-2</v>
      </c>
      <c r="K41" s="118">
        <f t="shared" si="13"/>
        <v>2.9783956590621916E-2</v>
      </c>
    </row>
    <row r="42" spans="1:11" s="1" customFormat="1" x14ac:dyDescent="0.2">
      <c r="A42" s="37" t="s">
        <v>101</v>
      </c>
      <c r="B42" s="38"/>
      <c r="C42" s="39"/>
      <c r="D42" s="39">
        <f>SUM(D14,D25,D26,D27,D33,D40,D41)</f>
        <v>218.83823199999995</v>
      </c>
      <c r="E42" s="38"/>
      <c r="F42" s="39"/>
      <c r="G42" s="39">
        <f>SUM(G14,G25,G26,G27,G33,G40,G41)</f>
        <v>221.87823199999997</v>
      </c>
      <c r="H42" s="39">
        <f t="shared" si="2"/>
        <v>3.0400000000000205</v>
      </c>
      <c r="I42" s="40">
        <f t="shared" si="10"/>
        <v>1.3891539756179447E-2</v>
      </c>
      <c r="J42" s="40">
        <f t="shared" si="12"/>
        <v>0.95238095238095233</v>
      </c>
      <c r="K42" s="41"/>
    </row>
    <row r="43" spans="1:11" x14ac:dyDescent="0.2">
      <c r="A43" s="153" t="s">
        <v>102</v>
      </c>
      <c r="B43" s="43"/>
      <c r="C43" s="26">
        <v>0.13</v>
      </c>
      <c r="D43" s="26">
        <f>D42*C43</f>
        <v>28.448970159999995</v>
      </c>
      <c r="E43" s="26"/>
      <c r="F43" s="26">
        <f>C43</f>
        <v>0.13</v>
      </c>
      <c r="G43" s="26">
        <f>G42*F43</f>
        <v>28.844170159999997</v>
      </c>
      <c r="H43" s="26">
        <f t="shared" si="2"/>
        <v>0.39520000000000266</v>
      </c>
      <c r="I43" s="44">
        <f t="shared" si="10"/>
        <v>1.3891539756179447E-2</v>
      </c>
      <c r="J43" s="44">
        <f t="shared" si="12"/>
        <v>0.12380952380952381</v>
      </c>
      <c r="K43" s="45"/>
    </row>
    <row r="44" spans="1:11" s="1" customFormat="1" x14ac:dyDescent="0.2">
      <c r="A44" s="46" t="s">
        <v>103</v>
      </c>
      <c r="B44" s="24"/>
      <c r="C44" s="25"/>
      <c r="D44" s="25">
        <f>SUM(D42:D43)</f>
        <v>247.28720215999994</v>
      </c>
      <c r="E44" s="25"/>
      <c r="F44" s="25"/>
      <c r="G44" s="25">
        <f>SUM(G42:G43)</f>
        <v>250.72240215999997</v>
      </c>
      <c r="H44" s="25">
        <f t="shared" si="2"/>
        <v>3.4352000000000373</v>
      </c>
      <c r="I44" s="27">
        <f t="shared" si="10"/>
        <v>1.3891539756179504E-2</v>
      </c>
      <c r="J44" s="27">
        <f t="shared" si="12"/>
        <v>1.0761904761904761</v>
      </c>
      <c r="K44" s="47"/>
    </row>
    <row r="45" spans="1:11" x14ac:dyDescent="0.2">
      <c r="A45" s="42" t="s">
        <v>104</v>
      </c>
      <c r="B45" s="43"/>
      <c r="C45" s="26">
        <v>-0.08</v>
      </c>
      <c r="D45" s="26">
        <f>D42*C45</f>
        <v>-17.507058559999997</v>
      </c>
      <c r="E45" s="26"/>
      <c r="F45" s="26">
        <f>C45</f>
        <v>-0.08</v>
      </c>
      <c r="G45" s="26">
        <f>G42*F45</f>
        <v>-17.750258559999999</v>
      </c>
      <c r="H45" s="26">
        <f t="shared" si="2"/>
        <v>-0.24320000000000164</v>
      </c>
      <c r="I45" s="44">
        <f t="shared" si="10"/>
        <v>-1.3891539756179445E-2</v>
      </c>
      <c r="J45" s="44">
        <f t="shared" si="12"/>
        <v>-7.6190476190476197E-2</v>
      </c>
      <c r="K45" s="45"/>
    </row>
    <row r="46" spans="1:11" s="1" customFormat="1" ht="13.5" thickBot="1" x14ac:dyDescent="0.25">
      <c r="A46" s="48" t="s">
        <v>105</v>
      </c>
      <c r="B46" s="49"/>
      <c r="C46" s="50"/>
      <c r="D46" s="50">
        <f>SUM(D44:D45)</f>
        <v>229.78014359999995</v>
      </c>
      <c r="E46" s="50"/>
      <c r="F46" s="50"/>
      <c r="G46" s="50">
        <f>SUM(G44:G45)</f>
        <v>232.97214359999998</v>
      </c>
      <c r="H46" s="50">
        <f t="shared" si="2"/>
        <v>3.1920000000000357</v>
      </c>
      <c r="I46" s="51">
        <f t="shared" si="10"/>
        <v>1.3891539756179509E-2</v>
      </c>
      <c r="J46" s="51">
        <f t="shared" si="12"/>
        <v>1</v>
      </c>
      <c r="K46" s="52"/>
    </row>
    <row r="47" spans="1:11" x14ac:dyDescent="0.2">
      <c r="A47" s="53" t="s">
        <v>106</v>
      </c>
      <c r="B47" s="54"/>
      <c r="C47" s="55"/>
      <c r="D47" s="55">
        <f>SUM(D18,D25,D26,D28,D33,D40,D41)</f>
        <v>220.79415199999997</v>
      </c>
      <c r="E47" s="55"/>
      <c r="F47" s="55"/>
      <c r="G47" s="55">
        <f>SUM(G18,G25,G26,G28,G33,G40,G41)</f>
        <v>223.83415199999996</v>
      </c>
      <c r="H47" s="55">
        <f>G47-D47</f>
        <v>3.039999999999992</v>
      </c>
      <c r="I47" s="56">
        <f t="shared" si="10"/>
        <v>1.3768480607221845E-2</v>
      </c>
      <c r="J47" s="56"/>
      <c r="K47" s="57">
        <f>G47/$G$51</f>
        <v>0.95238095238095233</v>
      </c>
    </row>
    <row r="48" spans="1:11" x14ac:dyDescent="0.2">
      <c r="A48" s="154" t="s">
        <v>102</v>
      </c>
      <c r="B48" s="59"/>
      <c r="C48" s="31">
        <v>0.13</v>
      </c>
      <c r="D48" s="31">
        <f>D47*C48</f>
        <v>28.703239759999995</v>
      </c>
      <c r="E48" s="31"/>
      <c r="F48" s="31">
        <f>C48</f>
        <v>0.13</v>
      </c>
      <c r="G48" s="31">
        <f>G47*F48</f>
        <v>29.098439759999994</v>
      </c>
      <c r="H48" s="31">
        <f>G48-D48</f>
        <v>0.39519999999999911</v>
      </c>
      <c r="I48" s="32">
        <f t="shared" si="10"/>
        <v>1.3768480607221851E-2</v>
      </c>
      <c r="J48" s="32"/>
      <c r="K48" s="60">
        <f>G48/$G$51</f>
        <v>0.1238095238095238</v>
      </c>
    </row>
    <row r="49" spans="1:11" x14ac:dyDescent="0.2">
      <c r="A49" s="149" t="s">
        <v>107</v>
      </c>
      <c r="B49" s="29"/>
      <c r="C49" s="30"/>
      <c r="D49" s="30">
        <f>SUM(D47:D48)</f>
        <v>249.49739175999997</v>
      </c>
      <c r="E49" s="30"/>
      <c r="F49" s="30"/>
      <c r="G49" s="30">
        <f>SUM(G47:G48)</f>
        <v>252.93259175999995</v>
      </c>
      <c r="H49" s="30">
        <f>G49-D49</f>
        <v>3.4351999999999805</v>
      </c>
      <c r="I49" s="33">
        <f t="shared" si="10"/>
        <v>1.3768480607221804E-2</v>
      </c>
      <c r="J49" s="33"/>
      <c r="K49" s="62">
        <f>G49/$G$51</f>
        <v>1.0761904761904761</v>
      </c>
    </row>
    <row r="50" spans="1:11" x14ac:dyDescent="0.2">
      <c r="A50" s="58" t="s">
        <v>104</v>
      </c>
      <c r="B50" s="59"/>
      <c r="C50" s="31">
        <v>-0.08</v>
      </c>
      <c r="D50" s="31">
        <f>D47*C50</f>
        <v>-17.663532159999999</v>
      </c>
      <c r="E50" s="31"/>
      <c r="F50" s="31">
        <f>C50</f>
        <v>-0.08</v>
      </c>
      <c r="G50" s="31">
        <f>G47*F50</f>
        <v>-17.906732159999997</v>
      </c>
      <c r="H50" s="31">
        <f>G50-D50</f>
        <v>-0.24319999999999808</v>
      </c>
      <c r="I50" s="32">
        <f t="shared" si="10"/>
        <v>-1.3768480607221772E-2</v>
      </c>
      <c r="J50" s="32"/>
      <c r="K50" s="60">
        <f>G50/$G$51</f>
        <v>-7.6190476190476197E-2</v>
      </c>
    </row>
    <row r="51" spans="1:11" ht="13.5" thickBot="1" x14ac:dyDescent="0.25">
      <c r="A51" s="63" t="s">
        <v>116</v>
      </c>
      <c r="B51" s="64"/>
      <c r="C51" s="65"/>
      <c r="D51" s="65">
        <f>SUM(D49:D50)</f>
        <v>231.83385959999998</v>
      </c>
      <c r="E51" s="65"/>
      <c r="F51" s="65"/>
      <c r="G51" s="65">
        <f>SUM(G49:G50)</f>
        <v>235.02585959999996</v>
      </c>
      <c r="H51" s="65">
        <f>G51-D51</f>
        <v>3.1919999999999789</v>
      </c>
      <c r="I51" s="66">
        <f t="shared" si="10"/>
        <v>1.376848060722179E-2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4"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119</v>
      </c>
      <c r="B1" s="186"/>
      <c r="C1" s="186"/>
      <c r="D1" s="186"/>
      <c r="E1" s="186"/>
      <c r="F1" s="186"/>
      <c r="G1" s="186"/>
      <c r="H1" s="186"/>
      <c r="I1" s="186"/>
      <c r="J1" s="186"/>
      <c r="K1" s="187"/>
    </row>
    <row r="3" spans="1:11" x14ac:dyDescent="0.2">
      <c r="A3" s="13" t="s">
        <v>13</v>
      </c>
      <c r="B3" s="13" t="s">
        <v>4</v>
      </c>
    </row>
    <row r="4" spans="1:11" x14ac:dyDescent="0.2">
      <c r="A4" s="15" t="s">
        <v>62</v>
      </c>
      <c r="B4" s="15">
        <v>2000</v>
      </c>
    </row>
    <row r="5" spans="1:11" x14ac:dyDescent="0.2">
      <c r="A5" s="15" t="s">
        <v>16</v>
      </c>
      <c r="B5" s="15">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5">
        <f>B4*B6</f>
        <v>2192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0.15338709477064599</v>
      </c>
      <c r="K12" s="106"/>
    </row>
    <row r="13" spans="1:11" x14ac:dyDescent="0.2">
      <c r="A13" s="107" t="s">
        <v>32</v>
      </c>
      <c r="B13" s="73">
        <f>IF(B4&gt;B7,(B4)-B7,0)</f>
        <v>1250</v>
      </c>
      <c r="C13" s="21">
        <v>0.106</v>
      </c>
      <c r="D13" s="22">
        <f>B13*C13</f>
        <v>132.5</v>
      </c>
      <c r="E13" s="73">
        <f t="shared" ref="E13" si="1">B13</f>
        <v>1250</v>
      </c>
      <c r="F13" s="21">
        <f>C13</f>
        <v>0.106</v>
      </c>
      <c r="G13" s="22">
        <f>E13*F13</f>
        <v>132.5</v>
      </c>
      <c r="H13" s="22">
        <f t="shared" ref="H13:H46" si="2">G13-D13</f>
        <v>0</v>
      </c>
      <c r="I13" s="23">
        <f t="shared" si="0"/>
        <v>0</v>
      </c>
      <c r="J13" s="23">
        <f>G13/$G$46</f>
        <v>0.29778446970125416</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G14/$G$46</f>
        <v>0.45117156447190016</v>
      </c>
      <c r="K14" s="108"/>
    </row>
    <row r="15" spans="1:11" s="1" customFormat="1" x14ac:dyDescent="0.2">
      <c r="A15" s="109" t="s">
        <v>34</v>
      </c>
      <c r="B15" s="75">
        <f>B4*0.65</f>
        <v>1300</v>
      </c>
      <c r="C15" s="28">
        <v>7.6999999999999999E-2</v>
      </c>
      <c r="D15" s="22">
        <f>B15*C15</f>
        <v>100.1</v>
      </c>
      <c r="E15" s="73">
        <f t="shared" ref="E15:F17" si="3">B15</f>
        <v>1300</v>
      </c>
      <c r="F15" s="28">
        <f t="shared" si="3"/>
        <v>7.6999999999999999E-2</v>
      </c>
      <c r="G15" s="22">
        <f>E15*F15</f>
        <v>100.1</v>
      </c>
      <c r="H15" s="22">
        <f t="shared" si="2"/>
        <v>0</v>
      </c>
      <c r="I15" s="23">
        <f t="shared" si="0"/>
        <v>0</v>
      </c>
      <c r="J15" s="23"/>
      <c r="K15" s="108">
        <f t="shared" ref="K15:K26" si="4">G15/$G$51</f>
        <v>0.22893206413140832</v>
      </c>
    </row>
    <row r="16" spans="1:11" s="1" customFormat="1" x14ac:dyDescent="0.2">
      <c r="A16" s="109" t="s">
        <v>35</v>
      </c>
      <c r="B16" s="75">
        <f>B4*0.17</f>
        <v>340</v>
      </c>
      <c r="C16" s="28">
        <v>0.113</v>
      </c>
      <c r="D16" s="22">
        <f>B16*C16</f>
        <v>38.42</v>
      </c>
      <c r="E16" s="73">
        <f t="shared" si="3"/>
        <v>340</v>
      </c>
      <c r="F16" s="28">
        <f t="shared" si="3"/>
        <v>0.113</v>
      </c>
      <c r="G16" s="22">
        <f>E16*F16</f>
        <v>38.42</v>
      </c>
      <c r="H16" s="22">
        <f t="shared" si="2"/>
        <v>0</v>
      </c>
      <c r="I16" s="23">
        <f t="shared" si="0"/>
        <v>0</v>
      </c>
      <c r="J16" s="23"/>
      <c r="K16" s="108">
        <f t="shared" si="4"/>
        <v>8.7867831208079006E-2</v>
      </c>
    </row>
    <row r="17" spans="1:11" s="1" customFormat="1" x14ac:dyDescent="0.2">
      <c r="A17" s="109" t="s">
        <v>36</v>
      </c>
      <c r="B17" s="75">
        <f>B4*0.18</f>
        <v>360</v>
      </c>
      <c r="C17" s="28">
        <v>0.157</v>
      </c>
      <c r="D17" s="22">
        <f>B17*C17</f>
        <v>56.52</v>
      </c>
      <c r="E17" s="73">
        <f t="shared" si="3"/>
        <v>360</v>
      </c>
      <c r="F17" s="28">
        <f t="shared" si="3"/>
        <v>0.157</v>
      </c>
      <c r="G17" s="22">
        <f>E17*F17</f>
        <v>56.52</v>
      </c>
      <c r="H17" s="22">
        <f t="shared" si="2"/>
        <v>0</v>
      </c>
      <c r="I17" s="23">
        <f t="shared" si="0"/>
        <v>0</v>
      </c>
      <c r="J17" s="23"/>
      <c r="K17" s="108">
        <f t="shared" si="4"/>
        <v>0.12926313950756443</v>
      </c>
    </row>
    <row r="18" spans="1:11" s="1" customFormat="1" x14ac:dyDescent="0.2">
      <c r="A18" s="61" t="s">
        <v>37</v>
      </c>
      <c r="B18" s="29"/>
      <c r="C18" s="30"/>
      <c r="D18" s="30">
        <f>SUM(D15:D17)</f>
        <v>195.04</v>
      </c>
      <c r="E18" s="77"/>
      <c r="F18" s="30"/>
      <c r="G18" s="30">
        <f>SUM(G15:G17)</f>
        <v>195.04</v>
      </c>
      <c r="H18" s="31">
        <f t="shared" si="2"/>
        <v>0</v>
      </c>
      <c r="I18" s="32">
        <f t="shared" si="0"/>
        <v>0</v>
      </c>
      <c r="J18" s="33">
        <f t="shared" ref="J18:J23" si="5">G18/$G$46</f>
        <v>0.43833873940024609</v>
      </c>
      <c r="K18" s="62">
        <f t="shared" si="4"/>
        <v>0.44606303484705173</v>
      </c>
    </row>
    <row r="19" spans="1:11" x14ac:dyDescent="0.2">
      <c r="A19" s="107" t="s">
        <v>38</v>
      </c>
      <c r="B19" s="73">
        <v>1</v>
      </c>
      <c r="C19" s="78">
        <f>VLOOKUP($B$3,'Data for Bill Impacts'!$A$6:$Y$18,7,0)</f>
        <v>29.56</v>
      </c>
      <c r="D19" s="22">
        <f>B19*C19</f>
        <v>29.56</v>
      </c>
      <c r="E19" s="73">
        <f t="shared" ref="E19:E41" si="6">B19</f>
        <v>1</v>
      </c>
      <c r="F19" s="121">
        <f>VLOOKUP($B$3,'Data for Bill Impacts'!$A$6:$Y$18,17,0)</f>
        <v>30.2</v>
      </c>
      <c r="G19" s="22">
        <f>E19*F19</f>
        <v>30.2</v>
      </c>
      <c r="H19" s="22">
        <f t="shared" si="2"/>
        <v>0.64000000000000057</v>
      </c>
      <c r="I19" s="23">
        <f>IF(ISERROR(H19/ABS(D19)),"N/A",(H19/ABS(D19)))</f>
        <v>2.1650879566982428E-2</v>
      </c>
      <c r="J19" s="23">
        <f t="shared" si="5"/>
        <v>6.7872384792285842E-2</v>
      </c>
      <c r="K19" s="108">
        <f t="shared" si="4"/>
        <v>6.9068414952732582E-2</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2E-3</v>
      </c>
      <c r="D22" s="22">
        <f t="shared" si="9"/>
        <v>2E-3</v>
      </c>
      <c r="E22" s="73">
        <f t="shared" si="6"/>
        <v>1</v>
      </c>
      <c r="F22" s="121">
        <f>VLOOKUP($B$3,'Data for Bill Impacts'!$A$6:$Y$18,22,0)</f>
        <v>2E-3</v>
      </c>
      <c r="G22" s="22">
        <f t="shared" si="7"/>
        <v>2E-3</v>
      </c>
      <c r="H22" s="22">
        <f t="shared" si="2"/>
        <v>0</v>
      </c>
      <c r="I22" s="23">
        <f t="shared" ref="I22:I51" si="10">IF(ISERROR(H22/ABS(D22)),"N/A",(H22/ABS(D22)))</f>
        <v>0</v>
      </c>
      <c r="J22" s="23">
        <f t="shared" si="5"/>
        <v>4.4948599200189306E-6</v>
      </c>
      <c r="K22" s="108">
        <f t="shared" si="4"/>
        <v>4.5740672154127542E-6</v>
      </c>
    </row>
    <row r="23" spans="1:11" x14ac:dyDescent="0.2">
      <c r="A23" s="107" t="s">
        <v>39</v>
      </c>
      <c r="B23" s="73">
        <f>IF($B$9="kWh",$B$4,$B$5)</f>
        <v>2000</v>
      </c>
      <c r="C23" s="78">
        <f>VLOOKUP($B$3,'Data for Bill Impacts'!$A$6:$Y$18,10,0)</f>
        <v>5.8900000000000001E-2</v>
      </c>
      <c r="D23" s="22">
        <f>B23*C23</f>
        <v>117.8</v>
      </c>
      <c r="E23" s="73">
        <f t="shared" si="6"/>
        <v>2000</v>
      </c>
      <c r="F23" s="78">
        <f>VLOOKUP($B$3,'Data for Bill Impacts'!$A$6:$Y$18,19,0)</f>
        <v>6.13E-2</v>
      </c>
      <c r="G23" s="22">
        <f>E23*F23</f>
        <v>122.6</v>
      </c>
      <c r="H23" s="22">
        <f t="shared" si="2"/>
        <v>4.7999999999999972</v>
      </c>
      <c r="I23" s="23">
        <f t="shared" si="10"/>
        <v>4.0747028862478753E-2</v>
      </c>
      <c r="J23" s="23">
        <f t="shared" si="5"/>
        <v>0.27553491309716044</v>
      </c>
      <c r="K23" s="108">
        <f t="shared" si="4"/>
        <v>0.28039032030480177</v>
      </c>
    </row>
    <row r="24" spans="1:11" x14ac:dyDescent="0.2">
      <c r="A24" s="107" t="s">
        <v>122</v>
      </c>
      <c r="B24" s="73">
        <f>IF($B$9="kWh",$B$4,$B$5)</f>
        <v>2000</v>
      </c>
      <c r="C24" s="125">
        <f>VLOOKUP($B$3,'Data for Bill Impacts'!$A$6:$Y$18,14,0)</f>
        <v>2.0000000000000002E-5</v>
      </c>
      <c r="D24" s="22">
        <f>B24*C24</f>
        <v>0.04</v>
      </c>
      <c r="E24" s="73">
        <f t="shared" si="6"/>
        <v>2000</v>
      </c>
      <c r="F24" s="125">
        <f>VLOOKUP($B$3,'Data for Bill Impacts'!$A$6:$Y$18,23,0)</f>
        <v>2.0000000000000002E-5</v>
      </c>
      <c r="G24" s="22">
        <f>E24*F24</f>
        <v>0.04</v>
      </c>
      <c r="H24" s="22">
        <f t="shared" si="2"/>
        <v>0</v>
      </c>
      <c r="I24" s="23">
        <f t="shared" si="10"/>
        <v>0</v>
      </c>
      <c r="J24" s="23">
        <f t="shared" ref="J24" si="11">G24/$G$46</f>
        <v>8.9897198400378615E-5</v>
      </c>
      <c r="K24" s="108">
        <f t="shared" si="4"/>
        <v>9.1481344308255071E-5</v>
      </c>
    </row>
    <row r="25" spans="1:11" s="1" customFormat="1" x14ac:dyDescent="0.2">
      <c r="A25" s="110" t="s">
        <v>72</v>
      </c>
      <c r="B25" s="74"/>
      <c r="C25" s="35"/>
      <c r="D25" s="35">
        <f>SUM(D19:D24)</f>
        <v>147.40199999999999</v>
      </c>
      <c r="E25" s="73"/>
      <c r="F25" s="35"/>
      <c r="G25" s="35">
        <f>SUM(G19:G24)</f>
        <v>152.84199999999998</v>
      </c>
      <c r="H25" s="35">
        <f t="shared" si="2"/>
        <v>5.4399999999999977</v>
      </c>
      <c r="I25" s="36">
        <f t="shared" si="10"/>
        <v>3.6905876446723912E-2</v>
      </c>
      <c r="J25" s="36">
        <f>G25/$G$46</f>
        <v>0.34350168994776664</v>
      </c>
      <c r="K25" s="111">
        <f t="shared" si="4"/>
        <v>0.34955479066905804</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1.7754696684074776E-3</v>
      </c>
      <c r="K26" s="108">
        <f t="shared" si="4"/>
        <v>1.8067565500880379E-3</v>
      </c>
    </row>
    <row r="27" spans="1:11" s="1" customFormat="1" x14ac:dyDescent="0.2">
      <c r="A27" s="119" t="s">
        <v>75</v>
      </c>
      <c r="B27" s="120">
        <f>B8-B4</f>
        <v>192</v>
      </c>
      <c r="C27" s="170">
        <f>IF(B4&gt;B7,C13,C12)</f>
        <v>0.106</v>
      </c>
      <c r="D27" s="22">
        <f>B27*C27</f>
        <v>20.352</v>
      </c>
      <c r="E27" s="73">
        <f>B27</f>
        <v>192</v>
      </c>
      <c r="F27" s="170">
        <f>C27</f>
        <v>0.106</v>
      </c>
      <c r="G27" s="22">
        <f>E27*F27</f>
        <v>20.352</v>
      </c>
      <c r="H27" s="22">
        <f t="shared" si="2"/>
        <v>0</v>
      </c>
      <c r="I27" s="23">
        <f t="shared" si="10"/>
        <v>0</v>
      </c>
      <c r="J27" s="23">
        <f t="shared" ref="J27:J46" si="12">G27/$G$46</f>
        <v>4.5739694546112639E-2</v>
      </c>
      <c r="K27" s="108">
        <f t="shared" ref="K27:K41" si="13">G27/$G$51</f>
        <v>4.6545707984040181E-2</v>
      </c>
    </row>
    <row r="28" spans="1:11" s="1" customFormat="1" x14ac:dyDescent="0.2">
      <c r="A28" s="119" t="s">
        <v>74</v>
      </c>
      <c r="B28" s="120">
        <f>B8-B4</f>
        <v>192</v>
      </c>
      <c r="C28" s="170">
        <f>0.65*C15+0.17*C16+0.18*C17</f>
        <v>9.7519999999999996E-2</v>
      </c>
      <c r="D28" s="22">
        <f>B28*C28</f>
        <v>18.723839999999999</v>
      </c>
      <c r="E28" s="73">
        <f>B28</f>
        <v>192</v>
      </c>
      <c r="F28" s="170">
        <f>C28</f>
        <v>9.7519999999999996E-2</v>
      </c>
      <c r="G28" s="22">
        <f>E28*F28</f>
        <v>18.723839999999999</v>
      </c>
      <c r="H28" s="22">
        <f t="shared" si="2"/>
        <v>0</v>
      </c>
      <c r="I28" s="23">
        <f t="shared" si="10"/>
        <v>0</v>
      </c>
      <c r="J28" s="23">
        <f t="shared" si="12"/>
        <v>4.2080518982423626E-2</v>
      </c>
      <c r="K28" s="108">
        <f t="shared" si="13"/>
        <v>4.2822051345316962E-2</v>
      </c>
    </row>
    <row r="29" spans="1:11" s="1" customFormat="1" x14ac:dyDescent="0.2">
      <c r="A29" s="110" t="s">
        <v>78</v>
      </c>
      <c r="B29" s="74"/>
      <c r="C29" s="35"/>
      <c r="D29" s="35">
        <f>SUM(D25,D26:D27)</f>
        <v>168.54399999999998</v>
      </c>
      <c r="E29" s="73"/>
      <c r="F29" s="35"/>
      <c r="G29" s="35">
        <f>SUM(G25,G26:G27)</f>
        <v>173.98399999999998</v>
      </c>
      <c r="H29" s="35">
        <f t="shared" si="2"/>
        <v>5.4399999999999977</v>
      </c>
      <c r="I29" s="36">
        <f t="shared" si="10"/>
        <v>3.2276438200113909E-2</v>
      </c>
      <c r="J29" s="36">
        <f t="shared" si="12"/>
        <v>0.39101685416228676</v>
      </c>
      <c r="K29" s="111">
        <f t="shared" si="13"/>
        <v>0.39790725520318621</v>
      </c>
    </row>
    <row r="30" spans="1:11" s="1" customFormat="1" x14ac:dyDescent="0.2">
      <c r="A30" s="110" t="s">
        <v>77</v>
      </c>
      <c r="B30" s="74"/>
      <c r="C30" s="35"/>
      <c r="D30" s="35">
        <f>SUM(D25,D26,D28)</f>
        <v>166.91583999999997</v>
      </c>
      <c r="E30" s="73"/>
      <c r="F30" s="35"/>
      <c r="G30" s="35">
        <f>SUM(G25,G26,G28)</f>
        <v>172.35583999999997</v>
      </c>
      <c r="H30" s="35">
        <f t="shared" si="2"/>
        <v>5.4399999999999977</v>
      </c>
      <c r="I30" s="36">
        <f t="shared" si="10"/>
        <v>3.2591274740611784E-2</v>
      </c>
      <c r="J30" s="36">
        <f t="shared" si="12"/>
        <v>0.38735767859859771</v>
      </c>
      <c r="K30" s="111">
        <f t="shared" si="13"/>
        <v>0.394183598564463</v>
      </c>
    </row>
    <row r="31" spans="1:11" x14ac:dyDescent="0.2">
      <c r="A31" s="107" t="s">
        <v>40</v>
      </c>
      <c r="B31" s="73">
        <f>B8</f>
        <v>2192</v>
      </c>
      <c r="C31" s="125">
        <f>VLOOKUP($B$3,'Data for Bill Impacts'!$A$6:$Y$18,15,0)</f>
        <v>5.6930000000000001E-3</v>
      </c>
      <c r="D31" s="22">
        <f>B31*C31</f>
        <v>12.479056</v>
      </c>
      <c r="E31" s="73">
        <f t="shared" si="6"/>
        <v>2192</v>
      </c>
      <c r="F31" s="125">
        <f>VLOOKUP($B$3,'Data for Bill Impacts'!$A$6:$Y$18,24,0)</f>
        <v>5.6930000000000001E-3</v>
      </c>
      <c r="G31" s="22">
        <f>E31*F31</f>
        <v>12.479056</v>
      </c>
      <c r="H31" s="22">
        <f t="shared" si="2"/>
        <v>0</v>
      </c>
      <c r="I31" s="23">
        <f t="shared" si="10"/>
        <v>0</v>
      </c>
      <c r="J31" s="23">
        <f t="shared" si="12"/>
        <v>2.8045804327035878E-2</v>
      </c>
      <c r="K31" s="108">
        <f t="shared" si="13"/>
        <v>2.8540020464449908E-2</v>
      </c>
    </row>
    <row r="32" spans="1:11" x14ac:dyDescent="0.2">
      <c r="A32" s="107" t="s">
        <v>41</v>
      </c>
      <c r="B32" s="73">
        <f>B8</f>
        <v>2192</v>
      </c>
      <c r="C32" s="125">
        <f>VLOOKUP($B$3,'Data for Bill Impacts'!$A$6:$Y$18,16,0)</f>
        <v>4.4740000000000005E-3</v>
      </c>
      <c r="D32" s="22">
        <f>B32*C32</f>
        <v>9.8070080000000015</v>
      </c>
      <c r="E32" s="73">
        <f t="shared" si="6"/>
        <v>2192</v>
      </c>
      <c r="F32" s="125">
        <f>VLOOKUP($B$3,'Data for Bill Impacts'!$A$6:$Y$18,25,0)</f>
        <v>4.4740000000000005E-3</v>
      </c>
      <c r="G32" s="22">
        <f>E32*F32</f>
        <v>9.8070080000000015</v>
      </c>
      <c r="H32" s="22">
        <f t="shared" si="2"/>
        <v>0</v>
      </c>
      <c r="I32" s="23">
        <f t="shared" si="10"/>
        <v>0</v>
      </c>
      <c r="J32" s="23">
        <f t="shared" si="12"/>
        <v>2.204056359725251E-2</v>
      </c>
      <c r="K32" s="108">
        <f t="shared" si="13"/>
        <v>2.2428956887045302E-2</v>
      </c>
    </row>
    <row r="33" spans="1:11" s="1" customFormat="1" x14ac:dyDescent="0.2">
      <c r="A33" s="110" t="s">
        <v>76</v>
      </c>
      <c r="B33" s="74"/>
      <c r="C33" s="35"/>
      <c r="D33" s="35">
        <f>SUM(D31:D32)</f>
        <v>22.286064000000003</v>
      </c>
      <c r="E33" s="73"/>
      <c r="F33" s="35"/>
      <c r="G33" s="35">
        <f>SUM(G31:G32)</f>
        <v>22.286064000000003</v>
      </c>
      <c r="H33" s="35">
        <f t="shared" si="2"/>
        <v>0</v>
      </c>
      <c r="I33" s="36">
        <f t="shared" si="10"/>
        <v>0</v>
      </c>
      <c r="J33" s="36">
        <f t="shared" si="12"/>
        <v>5.0086367924288389E-2</v>
      </c>
      <c r="K33" s="111">
        <f t="shared" si="13"/>
        <v>5.0968977351495214E-2</v>
      </c>
    </row>
    <row r="34" spans="1:11" s="1" customFormat="1" x14ac:dyDescent="0.2">
      <c r="A34" s="110" t="s">
        <v>91</v>
      </c>
      <c r="B34" s="74"/>
      <c r="C34" s="35"/>
      <c r="D34" s="35">
        <f>D29+D33</f>
        <v>190.83006399999999</v>
      </c>
      <c r="E34" s="73"/>
      <c r="F34" s="35"/>
      <c r="G34" s="35">
        <f>G29+G33</f>
        <v>196.27006399999999</v>
      </c>
      <c r="H34" s="35">
        <f t="shared" si="2"/>
        <v>5.4399999999999977</v>
      </c>
      <c r="I34" s="36">
        <f t="shared" si="10"/>
        <v>2.8507038597440276E-2</v>
      </c>
      <c r="J34" s="36">
        <f t="shared" si="12"/>
        <v>0.44110322208657515</v>
      </c>
      <c r="K34" s="111">
        <f t="shared" si="13"/>
        <v>0.44887623255468145</v>
      </c>
    </row>
    <row r="35" spans="1:11" s="1" customFormat="1" x14ac:dyDescent="0.2">
      <c r="A35" s="110" t="s">
        <v>92</v>
      </c>
      <c r="B35" s="74"/>
      <c r="C35" s="35"/>
      <c r="D35" s="35">
        <f>D30+D33</f>
        <v>189.20190399999998</v>
      </c>
      <c r="E35" s="73"/>
      <c r="F35" s="35"/>
      <c r="G35" s="35">
        <f>G30+G33</f>
        <v>194.64190399999998</v>
      </c>
      <c r="H35" s="35">
        <f t="shared" si="2"/>
        <v>5.4399999999999977</v>
      </c>
      <c r="I35" s="36">
        <f t="shared" si="10"/>
        <v>2.8752353358980985E-2</v>
      </c>
      <c r="J35" s="36">
        <f t="shared" si="12"/>
        <v>0.43744404652288615</v>
      </c>
      <c r="K35" s="111">
        <f t="shared" si="13"/>
        <v>0.44515257591595825</v>
      </c>
    </row>
    <row r="36" spans="1:11" x14ac:dyDescent="0.2">
      <c r="A36" s="107" t="s">
        <v>42</v>
      </c>
      <c r="B36" s="73">
        <f>B8</f>
        <v>2192</v>
      </c>
      <c r="C36" s="34">
        <v>3.5999999999999999E-3</v>
      </c>
      <c r="D36" s="22">
        <f>B36*C36</f>
        <v>7.8911999999999995</v>
      </c>
      <c r="E36" s="73">
        <f t="shared" si="6"/>
        <v>2192</v>
      </c>
      <c r="F36" s="34">
        <v>3.5999999999999999E-3</v>
      </c>
      <c r="G36" s="22">
        <f>E36*F36</f>
        <v>7.8911999999999995</v>
      </c>
      <c r="H36" s="22">
        <f t="shared" si="2"/>
        <v>0</v>
      </c>
      <c r="I36" s="23">
        <f t="shared" si="10"/>
        <v>0</v>
      </c>
      <c r="J36" s="23">
        <f t="shared" si="12"/>
        <v>1.7734919300426692E-2</v>
      </c>
      <c r="K36" s="108">
        <f t="shared" si="13"/>
        <v>1.8047439605132561E-2</v>
      </c>
    </row>
    <row r="37" spans="1:11" x14ac:dyDescent="0.2">
      <c r="A37" s="107" t="s">
        <v>43</v>
      </c>
      <c r="B37" s="73">
        <f>B8</f>
        <v>2192</v>
      </c>
      <c r="C37" s="34">
        <v>2.0999999999999999E-3</v>
      </c>
      <c r="D37" s="22">
        <f>B37*C37</f>
        <v>4.6031999999999993</v>
      </c>
      <c r="E37" s="73">
        <f t="shared" si="6"/>
        <v>2192</v>
      </c>
      <c r="F37" s="34">
        <v>2.0999999999999999E-3</v>
      </c>
      <c r="G37" s="22">
        <f>E37*F37</f>
        <v>4.6031999999999993</v>
      </c>
      <c r="H37" s="22">
        <f>G37-D37</f>
        <v>0</v>
      </c>
      <c r="I37" s="23">
        <f t="shared" si="10"/>
        <v>0</v>
      </c>
      <c r="J37" s="23">
        <f t="shared" si="12"/>
        <v>1.0345369591915569E-2</v>
      </c>
      <c r="K37" s="108">
        <f t="shared" si="13"/>
        <v>1.0527673102993993E-2</v>
      </c>
    </row>
    <row r="38" spans="1:11" x14ac:dyDescent="0.2">
      <c r="A38" s="107" t="s">
        <v>96</v>
      </c>
      <c r="B38" s="73">
        <f>B8</f>
        <v>2192</v>
      </c>
      <c r="C38" s="34">
        <v>0</v>
      </c>
      <c r="D38" s="22">
        <f>B38*C38</f>
        <v>0</v>
      </c>
      <c r="E38" s="73">
        <f t="shared" si="6"/>
        <v>2192</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5.6185749000236629E-4</v>
      </c>
      <c r="K39" s="108">
        <f t="shared" si="13"/>
        <v>5.7175840192659423E-4</v>
      </c>
    </row>
    <row r="40" spans="1:11" s="1" customFormat="1" x14ac:dyDescent="0.2">
      <c r="A40" s="110" t="s">
        <v>45</v>
      </c>
      <c r="B40" s="74"/>
      <c r="C40" s="35"/>
      <c r="D40" s="35">
        <f>SUM(D36:D39)</f>
        <v>12.744399999999999</v>
      </c>
      <c r="E40" s="73"/>
      <c r="F40" s="35"/>
      <c r="G40" s="35">
        <f>SUM(G36:G39)</f>
        <v>12.744399999999999</v>
      </c>
      <c r="H40" s="35">
        <f t="shared" si="2"/>
        <v>0</v>
      </c>
      <c r="I40" s="36">
        <f t="shared" si="10"/>
        <v>0</v>
      </c>
      <c r="J40" s="36">
        <f t="shared" si="12"/>
        <v>2.8642146382344625E-2</v>
      </c>
      <c r="K40" s="111">
        <f t="shared" si="13"/>
        <v>2.9146871110053148E-2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2"/>
        <v>0</v>
      </c>
      <c r="I41" s="117">
        <f t="shared" si="10"/>
        <v>0</v>
      </c>
      <c r="J41" s="117">
        <f t="shared" si="12"/>
        <v>3.1464019440132517E-2</v>
      </c>
      <c r="K41" s="118">
        <f t="shared" si="13"/>
        <v>3.201847050788928E-2</v>
      </c>
    </row>
    <row r="42" spans="1:11" s="1" customFormat="1" x14ac:dyDescent="0.2">
      <c r="A42" s="37" t="s">
        <v>101</v>
      </c>
      <c r="B42" s="38"/>
      <c r="C42" s="39"/>
      <c r="D42" s="39">
        <f>SUM(D14,D25,D26,D27,D33,D40,D41)</f>
        <v>418.32446399999998</v>
      </c>
      <c r="E42" s="38"/>
      <c r="F42" s="39"/>
      <c r="G42" s="39">
        <f>SUM(G14,G25,G26,G27,G33,G40,G41)</f>
        <v>423.76446399999998</v>
      </c>
      <c r="H42" s="39">
        <f t="shared" si="2"/>
        <v>5.4399999999999977</v>
      </c>
      <c r="I42" s="40">
        <f t="shared" si="10"/>
        <v>1.3004259774776161E-2</v>
      </c>
      <c r="J42" s="40">
        <f t="shared" si="12"/>
        <v>0.95238095238095244</v>
      </c>
      <c r="K42" s="41"/>
    </row>
    <row r="43" spans="1:11" x14ac:dyDescent="0.2">
      <c r="A43" s="153" t="s">
        <v>102</v>
      </c>
      <c r="B43" s="43"/>
      <c r="C43" s="26">
        <v>0.13</v>
      </c>
      <c r="D43" s="26">
        <f>D42*C43</f>
        <v>54.382180319999996</v>
      </c>
      <c r="E43" s="26"/>
      <c r="F43" s="26">
        <f>C43</f>
        <v>0.13</v>
      </c>
      <c r="G43" s="26">
        <f>G42*F43</f>
        <v>55.089380319999997</v>
      </c>
      <c r="H43" s="26">
        <f t="shared" si="2"/>
        <v>0.70720000000000027</v>
      </c>
      <c r="I43" s="44">
        <f t="shared" si="10"/>
        <v>1.3004259774776171E-2</v>
      </c>
      <c r="J43" s="44">
        <f t="shared" si="12"/>
        <v>0.12380952380952381</v>
      </c>
      <c r="K43" s="45"/>
    </row>
    <row r="44" spans="1:11" s="1" customFormat="1" x14ac:dyDescent="0.2">
      <c r="A44" s="46" t="s">
        <v>103</v>
      </c>
      <c r="B44" s="24"/>
      <c r="C44" s="25"/>
      <c r="D44" s="25">
        <f>SUM(D42:D43)</f>
        <v>472.70664431999995</v>
      </c>
      <c r="E44" s="25"/>
      <c r="F44" s="25"/>
      <c r="G44" s="25">
        <f>SUM(G42:G43)</f>
        <v>478.85384431999995</v>
      </c>
      <c r="H44" s="25">
        <f t="shared" si="2"/>
        <v>6.147199999999998</v>
      </c>
      <c r="I44" s="27">
        <f t="shared" si="10"/>
        <v>1.3004259774776162E-2</v>
      </c>
      <c r="J44" s="27">
        <f t="shared" si="12"/>
        <v>1.0761904761904761</v>
      </c>
      <c r="K44" s="47"/>
    </row>
    <row r="45" spans="1:11" x14ac:dyDescent="0.2">
      <c r="A45" s="42" t="s">
        <v>104</v>
      </c>
      <c r="B45" s="43"/>
      <c r="C45" s="26">
        <v>-0.08</v>
      </c>
      <c r="D45" s="26">
        <f>D42*C45</f>
        <v>-33.465957119999999</v>
      </c>
      <c r="E45" s="26"/>
      <c r="F45" s="26">
        <f>C45</f>
        <v>-0.08</v>
      </c>
      <c r="G45" s="26">
        <f>G42*F45</f>
        <v>-33.901157120000001</v>
      </c>
      <c r="H45" s="26">
        <f t="shared" si="2"/>
        <v>-0.43520000000000181</v>
      </c>
      <c r="I45" s="44">
        <f t="shared" si="10"/>
        <v>-1.300425977477622E-2</v>
      </c>
      <c r="J45" s="44">
        <f t="shared" si="12"/>
        <v>-7.6190476190476197E-2</v>
      </c>
      <c r="K45" s="45"/>
    </row>
    <row r="46" spans="1:11" s="1" customFormat="1" ht="13.5" thickBot="1" x14ac:dyDescent="0.25">
      <c r="A46" s="48" t="s">
        <v>105</v>
      </c>
      <c r="B46" s="49"/>
      <c r="C46" s="50"/>
      <c r="D46" s="50">
        <f>SUM(D44:D45)</f>
        <v>439.24068719999997</v>
      </c>
      <c r="E46" s="50"/>
      <c r="F46" s="50"/>
      <c r="G46" s="50">
        <f>SUM(G44:G45)</f>
        <v>444.95268719999996</v>
      </c>
      <c r="H46" s="50">
        <f t="shared" si="2"/>
        <v>5.7119999999999891</v>
      </c>
      <c r="I46" s="51">
        <f t="shared" si="10"/>
        <v>1.3004259774776141E-2</v>
      </c>
      <c r="J46" s="51">
        <f t="shared" si="12"/>
        <v>1</v>
      </c>
      <c r="K46" s="52"/>
    </row>
    <row r="47" spans="1:11" x14ac:dyDescent="0.2">
      <c r="A47" s="53" t="s">
        <v>106</v>
      </c>
      <c r="B47" s="54"/>
      <c r="C47" s="55"/>
      <c r="D47" s="55">
        <f>SUM(D18,D25,D26,D28,D33,D40,D41)</f>
        <v>410.98630400000002</v>
      </c>
      <c r="E47" s="55"/>
      <c r="F47" s="55"/>
      <c r="G47" s="55">
        <f>SUM(G18,G25,G26,G28,G33,G40,G41)</f>
        <v>416.42630399999996</v>
      </c>
      <c r="H47" s="55">
        <f>G47-D47</f>
        <v>5.4399999999999409</v>
      </c>
      <c r="I47" s="56">
        <f t="shared" si="10"/>
        <v>1.3236450818565332E-2</v>
      </c>
      <c r="J47" s="56"/>
      <c r="K47" s="57">
        <f>G47/$G$51</f>
        <v>0.95238095238095233</v>
      </c>
    </row>
    <row r="48" spans="1:11" x14ac:dyDescent="0.2">
      <c r="A48" s="58" t="s">
        <v>102</v>
      </c>
      <c r="B48" s="59"/>
      <c r="C48" s="31">
        <v>0.13</v>
      </c>
      <c r="D48" s="31">
        <f>D47*C48</f>
        <v>53.428219520000006</v>
      </c>
      <c r="E48" s="31"/>
      <c r="F48" s="31">
        <f>C48</f>
        <v>0.13</v>
      </c>
      <c r="G48" s="31">
        <f>G47*F48</f>
        <v>54.135419519999999</v>
      </c>
      <c r="H48" s="31">
        <f>G48-D48</f>
        <v>0.70719999999999317</v>
      </c>
      <c r="I48" s="32">
        <f t="shared" si="10"/>
        <v>1.3236450818565348E-2</v>
      </c>
      <c r="J48" s="32"/>
      <c r="K48" s="60">
        <f>G48/$G$51</f>
        <v>0.12380952380952381</v>
      </c>
    </row>
    <row r="49" spans="1:11" x14ac:dyDescent="0.2">
      <c r="A49" s="149" t="s">
        <v>107</v>
      </c>
      <c r="B49" s="29"/>
      <c r="C49" s="30"/>
      <c r="D49" s="30">
        <f>SUM(D47:D48)</f>
        <v>464.41452352000005</v>
      </c>
      <c r="E49" s="30"/>
      <c r="F49" s="30"/>
      <c r="G49" s="30">
        <f>SUM(G47:G48)</f>
        <v>470.56172351999999</v>
      </c>
      <c r="H49" s="30">
        <f>G49-D49</f>
        <v>6.1471999999999412</v>
      </c>
      <c r="I49" s="33">
        <f t="shared" si="10"/>
        <v>1.3236450818565349E-2</v>
      </c>
      <c r="J49" s="33"/>
      <c r="K49" s="62">
        <f>G49/$G$51</f>
        <v>1.0761904761904761</v>
      </c>
    </row>
    <row r="50" spans="1:11" x14ac:dyDescent="0.2">
      <c r="A50" s="58" t="s">
        <v>104</v>
      </c>
      <c r="B50" s="59"/>
      <c r="C50" s="31">
        <v>-0.08</v>
      </c>
      <c r="D50" s="31">
        <f>D47*C50</f>
        <v>-32.878904320000004</v>
      </c>
      <c r="E50" s="31"/>
      <c r="F50" s="31">
        <f>C50</f>
        <v>-0.08</v>
      </c>
      <c r="G50" s="31">
        <f>G47*F50</f>
        <v>-33.314104319999998</v>
      </c>
      <c r="H50" s="31">
        <f>G50-D50</f>
        <v>-0.4351999999999947</v>
      </c>
      <c r="I50" s="32">
        <f t="shared" si="10"/>
        <v>-1.3236450818565315E-2</v>
      </c>
      <c r="J50" s="32"/>
      <c r="K50" s="60">
        <f>G50/$G$51</f>
        <v>-7.6190476190476197E-2</v>
      </c>
    </row>
    <row r="51" spans="1:11" ht="13.5" thickBot="1" x14ac:dyDescent="0.25">
      <c r="A51" s="63" t="s">
        <v>116</v>
      </c>
      <c r="B51" s="64"/>
      <c r="C51" s="65"/>
      <c r="D51" s="65">
        <f>SUM(D49:D50)</f>
        <v>431.53561920000004</v>
      </c>
      <c r="E51" s="65"/>
      <c r="F51" s="65"/>
      <c r="G51" s="65">
        <f>SUM(G49:G50)</f>
        <v>437.24761919999997</v>
      </c>
      <c r="H51" s="65">
        <f>G51-D51</f>
        <v>5.7119999999999322</v>
      </c>
      <c r="I51" s="66">
        <f t="shared" si="10"/>
        <v>1.3236450818565318E-2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4"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120</v>
      </c>
      <c r="B1" s="186"/>
      <c r="C1" s="186"/>
      <c r="D1" s="186"/>
      <c r="E1" s="186"/>
      <c r="F1" s="186"/>
      <c r="G1" s="186"/>
      <c r="H1" s="186"/>
      <c r="I1" s="186"/>
      <c r="J1" s="186"/>
      <c r="K1" s="187"/>
    </row>
    <row r="3" spans="1:11" x14ac:dyDescent="0.2">
      <c r="A3" s="13" t="s">
        <v>13</v>
      </c>
      <c r="B3" s="13" t="s">
        <v>4</v>
      </c>
    </row>
    <row r="4" spans="1:11" x14ac:dyDescent="0.2">
      <c r="A4" s="15" t="s">
        <v>62</v>
      </c>
      <c r="B4" s="167">
        <f>VLOOKUP(B3,'Data for Bill Impacts'!A22:D35,3,FALSE)</f>
        <v>1982</v>
      </c>
    </row>
    <row r="5" spans="1:11" x14ac:dyDescent="0.2">
      <c r="A5" s="15" t="s">
        <v>16</v>
      </c>
      <c r="B5" s="167">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67">
        <f>B4*B6</f>
        <v>2172.2720000000004</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0.15471382860959554</v>
      </c>
      <c r="K12" s="106"/>
    </row>
    <row r="13" spans="1:11" x14ac:dyDescent="0.2">
      <c r="A13" s="107" t="s">
        <v>32</v>
      </c>
      <c r="B13" s="73">
        <f>IF(B4&gt;B7,(B4)-B7,0)</f>
        <v>1232</v>
      </c>
      <c r="C13" s="21">
        <v>0.106</v>
      </c>
      <c r="D13" s="22">
        <f>B13*C13</f>
        <v>130.59199999999998</v>
      </c>
      <c r="E13" s="73">
        <f t="shared" ref="E13" si="1">B13</f>
        <v>1232</v>
      </c>
      <c r="F13" s="21">
        <f>C13</f>
        <v>0.106</v>
      </c>
      <c r="G13" s="22">
        <f>E13*F13</f>
        <v>130.59199999999998</v>
      </c>
      <c r="H13" s="22">
        <f t="shared" ref="H13:H46" si="2">G13-D13</f>
        <v>0</v>
      </c>
      <c r="I13" s="23">
        <f t="shared" si="0"/>
        <v>0</v>
      </c>
      <c r="J13" s="23">
        <f>G13/$G$46</f>
        <v>0.29603499349134504</v>
      </c>
      <c r="K13" s="108"/>
    </row>
    <row r="14" spans="1:11" s="1" customFormat="1" x14ac:dyDescent="0.2">
      <c r="A14" s="46" t="s">
        <v>33</v>
      </c>
      <c r="B14" s="24"/>
      <c r="C14" s="25"/>
      <c r="D14" s="25">
        <f>SUM(D12:D13)</f>
        <v>198.84199999999998</v>
      </c>
      <c r="E14" s="76"/>
      <c r="F14" s="25"/>
      <c r="G14" s="25">
        <f>SUM(G12:G13)</f>
        <v>198.84199999999998</v>
      </c>
      <c r="H14" s="25">
        <f t="shared" si="2"/>
        <v>0</v>
      </c>
      <c r="I14" s="27">
        <f t="shared" si="0"/>
        <v>0</v>
      </c>
      <c r="J14" s="27">
        <f>G14/$G$46</f>
        <v>0.45074882210094053</v>
      </c>
      <c r="K14" s="108"/>
    </row>
    <row r="15" spans="1:11" s="1" customFormat="1" x14ac:dyDescent="0.2">
      <c r="A15" s="109" t="s">
        <v>34</v>
      </c>
      <c r="B15" s="75">
        <f>B4*0.65</f>
        <v>1288.3</v>
      </c>
      <c r="C15" s="28">
        <v>7.6999999999999999E-2</v>
      </c>
      <c r="D15" s="22">
        <f>B15*C15</f>
        <v>99.199100000000001</v>
      </c>
      <c r="E15" s="73">
        <f t="shared" ref="E15:F17" si="3">B15</f>
        <v>1288.3</v>
      </c>
      <c r="F15" s="28">
        <f t="shared" si="3"/>
        <v>7.6999999999999999E-2</v>
      </c>
      <c r="G15" s="22">
        <f>E15*F15</f>
        <v>99.199100000000001</v>
      </c>
      <c r="H15" s="22">
        <f t="shared" si="2"/>
        <v>0</v>
      </c>
      <c r="I15" s="23">
        <f t="shared" si="0"/>
        <v>0</v>
      </c>
      <c r="J15" s="23"/>
      <c r="K15" s="108">
        <f t="shared" ref="K15:K26" si="4">G15/$G$51</f>
        <v>0.22877618773848085</v>
      </c>
    </row>
    <row r="16" spans="1:11" s="1" customFormat="1" x14ac:dyDescent="0.2">
      <c r="A16" s="109" t="s">
        <v>35</v>
      </c>
      <c r="B16" s="75">
        <f>B4*0.17</f>
        <v>336.94</v>
      </c>
      <c r="C16" s="28">
        <v>0.113</v>
      </c>
      <c r="D16" s="22">
        <f>B16*C16</f>
        <v>38.074220000000004</v>
      </c>
      <c r="E16" s="73">
        <f t="shared" si="3"/>
        <v>336.94</v>
      </c>
      <c r="F16" s="28">
        <f t="shared" si="3"/>
        <v>0.113</v>
      </c>
      <c r="G16" s="22">
        <f>E16*F16</f>
        <v>38.074220000000004</v>
      </c>
      <c r="H16" s="22">
        <f t="shared" si="2"/>
        <v>0</v>
      </c>
      <c r="I16" s="23">
        <f t="shared" si="0"/>
        <v>0</v>
      </c>
      <c r="J16" s="23"/>
      <c r="K16" s="108">
        <f t="shared" si="4"/>
        <v>8.780800332579855E-2</v>
      </c>
    </row>
    <row r="17" spans="1:11" s="1" customFormat="1" x14ac:dyDescent="0.2">
      <c r="A17" s="109" t="s">
        <v>36</v>
      </c>
      <c r="B17" s="75">
        <f>B4*0.18</f>
        <v>356.76</v>
      </c>
      <c r="C17" s="28">
        <v>0.157</v>
      </c>
      <c r="D17" s="22">
        <f>B17*C17</f>
        <v>56.011319999999998</v>
      </c>
      <c r="E17" s="73">
        <f t="shared" si="3"/>
        <v>356.76</v>
      </c>
      <c r="F17" s="28">
        <f t="shared" si="3"/>
        <v>0.157</v>
      </c>
      <c r="G17" s="22">
        <f>E17*F17</f>
        <v>56.011319999999998</v>
      </c>
      <c r="H17" s="22">
        <f t="shared" si="2"/>
        <v>0</v>
      </c>
      <c r="I17" s="23">
        <f t="shared" si="0"/>
        <v>0</v>
      </c>
      <c r="J17" s="23"/>
      <c r="K17" s="108">
        <f t="shared" si="4"/>
        <v>0.12917512618360577</v>
      </c>
    </row>
    <row r="18" spans="1:11" s="1" customFormat="1" x14ac:dyDescent="0.2">
      <c r="A18" s="61" t="s">
        <v>37</v>
      </c>
      <c r="B18" s="29"/>
      <c r="C18" s="30"/>
      <c r="D18" s="30">
        <f>SUM(D15:D17)</f>
        <v>193.28464000000002</v>
      </c>
      <c r="E18" s="77"/>
      <c r="F18" s="30"/>
      <c r="G18" s="30">
        <f>SUM(G15:G17)</f>
        <v>193.28464000000002</v>
      </c>
      <c r="H18" s="31">
        <f t="shared" si="2"/>
        <v>0</v>
      </c>
      <c r="I18" s="32">
        <f t="shared" si="0"/>
        <v>0</v>
      </c>
      <c r="J18" s="33">
        <f t="shared" ref="J18:J23" si="5">G18/$G$46</f>
        <v>0.43815101341871615</v>
      </c>
      <c r="K18" s="62">
        <f t="shared" si="4"/>
        <v>0.4457593172478852</v>
      </c>
    </row>
    <row r="19" spans="1:11" x14ac:dyDescent="0.2">
      <c r="A19" s="107" t="s">
        <v>38</v>
      </c>
      <c r="B19" s="73">
        <v>1</v>
      </c>
      <c r="C19" s="78">
        <f>VLOOKUP($B$3,'Data for Bill Impacts'!$A$6:$Y$18,7,0)</f>
        <v>29.56</v>
      </c>
      <c r="D19" s="22">
        <f>B19*C19</f>
        <v>29.56</v>
      </c>
      <c r="E19" s="73">
        <f t="shared" ref="E19:E41" si="6">B19</f>
        <v>1</v>
      </c>
      <c r="F19" s="78">
        <f>VLOOKUP($B$3,'Data for Bill Impacts'!$A$6:$Y$18,17,0)</f>
        <v>30.2</v>
      </c>
      <c r="G19" s="22">
        <f>E19*F19</f>
        <v>30.2</v>
      </c>
      <c r="H19" s="22">
        <f t="shared" si="2"/>
        <v>0.64000000000000057</v>
      </c>
      <c r="I19" s="23">
        <f>IF(ISERROR(H19/ABS(D19)),"N/A",(H19/ABS(D19)))</f>
        <v>2.1650879566982428E-2</v>
      </c>
      <c r="J19" s="23">
        <f t="shared" si="5"/>
        <v>6.845945236644374E-2</v>
      </c>
      <c r="K19" s="108">
        <f t="shared" si="4"/>
        <v>6.9648221301424326E-2</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2E-3</v>
      </c>
      <c r="D22" s="22">
        <f t="shared" si="9"/>
        <v>2E-3</v>
      </c>
      <c r="E22" s="73">
        <f t="shared" si="6"/>
        <v>1</v>
      </c>
      <c r="F22" s="121">
        <f>VLOOKUP($B$3,'Data for Bill Impacts'!$A$6:$Y$18,22,0)</f>
        <v>2E-3</v>
      </c>
      <c r="G22" s="22">
        <f t="shared" si="7"/>
        <v>2E-3</v>
      </c>
      <c r="H22" s="22">
        <f t="shared" si="2"/>
        <v>0</v>
      </c>
      <c r="I22" s="23">
        <f t="shared" ref="I22:I51" si="10">IF(ISERROR(H22/ABS(D22)),"N/A",(H22/ABS(D22)))</f>
        <v>0</v>
      </c>
      <c r="J22" s="23">
        <f t="shared" si="5"/>
        <v>4.5337385673141545E-6</v>
      </c>
      <c r="K22" s="108">
        <f t="shared" si="4"/>
        <v>4.612464986849293E-6</v>
      </c>
    </row>
    <row r="23" spans="1:11" x14ac:dyDescent="0.2">
      <c r="A23" s="107" t="s">
        <v>39</v>
      </c>
      <c r="B23" s="73">
        <f>IF($B$9="kWh",$B$4,$B$5)</f>
        <v>1982</v>
      </c>
      <c r="C23" s="78">
        <f>VLOOKUP($B$3,'Data for Bill Impacts'!$A$6:$Y$18,10,0)</f>
        <v>5.8900000000000001E-2</v>
      </c>
      <c r="D23" s="22">
        <f>B23*C23</f>
        <v>116.7398</v>
      </c>
      <c r="E23" s="73">
        <f t="shared" si="6"/>
        <v>1982</v>
      </c>
      <c r="F23" s="78">
        <f>VLOOKUP($B$3,'Data for Bill Impacts'!$A$6:$Y$18,19,0)</f>
        <v>6.13E-2</v>
      </c>
      <c r="G23" s="22">
        <f>E23*F23</f>
        <v>121.4966</v>
      </c>
      <c r="H23" s="22">
        <f t="shared" si="2"/>
        <v>4.7567999999999984</v>
      </c>
      <c r="I23" s="23">
        <f t="shared" si="10"/>
        <v>4.074702886247876E-2</v>
      </c>
      <c r="J23" s="23">
        <f t="shared" si="5"/>
        <v>0.27541691060877049</v>
      </c>
      <c r="K23" s="108">
        <f t="shared" si="4"/>
        <v>0.28019940676061689</v>
      </c>
    </row>
    <row r="24" spans="1:11" x14ac:dyDescent="0.2">
      <c r="A24" s="107" t="s">
        <v>122</v>
      </c>
      <c r="B24" s="73">
        <f>IF($B$9="kWh",$B$4,$B$5)</f>
        <v>1982</v>
      </c>
      <c r="C24" s="125">
        <f>VLOOKUP($B$3,'Data for Bill Impacts'!$A$6:$Y$18,14,0)</f>
        <v>2.0000000000000002E-5</v>
      </c>
      <c r="D24" s="22">
        <f>B24*C24</f>
        <v>3.9640000000000002E-2</v>
      </c>
      <c r="E24" s="73">
        <f t="shared" si="6"/>
        <v>1982</v>
      </c>
      <c r="F24" s="125">
        <f>VLOOKUP($B$3,'Data for Bill Impacts'!$A$6:$Y$18,23,0)</f>
        <v>2.0000000000000002E-5</v>
      </c>
      <c r="G24" s="22">
        <f>E24*F24</f>
        <v>3.9640000000000002E-2</v>
      </c>
      <c r="H24" s="22">
        <f t="shared" si="2"/>
        <v>0</v>
      </c>
      <c r="I24" s="23">
        <f t="shared" si="10"/>
        <v>0</v>
      </c>
      <c r="J24" s="23">
        <f t="shared" ref="J24" si="11">G24/$G$46</f>
        <v>8.985869840416655E-5</v>
      </c>
      <c r="K24" s="108">
        <f t="shared" si="4"/>
        <v>9.1419056039352995E-5</v>
      </c>
    </row>
    <row r="25" spans="1:11" s="1" customFormat="1" x14ac:dyDescent="0.2">
      <c r="A25" s="110" t="s">
        <v>72</v>
      </c>
      <c r="B25" s="74"/>
      <c r="C25" s="35"/>
      <c r="D25" s="35">
        <f>SUM(D19:D24)</f>
        <v>146.34144000000001</v>
      </c>
      <c r="E25" s="73"/>
      <c r="F25" s="35"/>
      <c r="G25" s="35">
        <f>SUM(G19:G24)</f>
        <v>151.73823999999999</v>
      </c>
      <c r="H25" s="35">
        <f t="shared" si="2"/>
        <v>5.3967999999999847</v>
      </c>
      <c r="I25" s="36">
        <f t="shared" si="10"/>
        <v>3.6878139233835504E-2</v>
      </c>
      <c r="J25" s="36">
        <f>G25/$G$46</f>
        <v>0.34397075541218569</v>
      </c>
      <c r="K25" s="111">
        <f t="shared" si="4"/>
        <v>0.34994365958306739</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1.7908267340890913E-3</v>
      </c>
      <c r="K26" s="108">
        <f t="shared" si="4"/>
        <v>1.8219236698054709E-3</v>
      </c>
    </row>
    <row r="27" spans="1:11" s="1" customFormat="1" x14ac:dyDescent="0.2">
      <c r="A27" s="119" t="s">
        <v>75</v>
      </c>
      <c r="B27" s="120">
        <f>B8-B4</f>
        <v>190.27200000000039</v>
      </c>
      <c r="C27" s="170">
        <f>IF(B4&gt;B7,C13,C12)</f>
        <v>0.106</v>
      </c>
      <c r="D27" s="22">
        <f>B27*C27</f>
        <v>20.168832000000041</v>
      </c>
      <c r="E27" s="73">
        <f>B27</f>
        <v>190.27200000000039</v>
      </c>
      <c r="F27" s="170">
        <f>C27</f>
        <v>0.106</v>
      </c>
      <c r="G27" s="22">
        <f>E27*F27</f>
        <v>20.168832000000041</v>
      </c>
      <c r="H27" s="22">
        <f t="shared" si="2"/>
        <v>0</v>
      </c>
      <c r="I27" s="23">
        <f t="shared" si="10"/>
        <v>0</v>
      </c>
      <c r="J27" s="23">
        <f t="shared" ref="J27:J46" si="12">G27/$G$46</f>
        <v>4.572010574804003E-2</v>
      </c>
      <c r="K27" s="108">
        <f t="shared" ref="K27:K41" si="13">G27/$G$51</f>
        <v>4.6514015712822897E-2</v>
      </c>
    </row>
    <row r="28" spans="1:11" s="1" customFormat="1" x14ac:dyDescent="0.2">
      <c r="A28" s="119" t="s">
        <v>74</v>
      </c>
      <c r="B28" s="120">
        <f>B8-B4</f>
        <v>190.27200000000039</v>
      </c>
      <c r="C28" s="170">
        <f>0.65*C15+0.17*C16+0.18*C17</f>
        <v>9.7519999999999996E-2</v>
      </c>
      <c r="D28" s="22">
        <f>B28*C28</f>
        <v>18.555325440000036</v>
      </c>
      <c r="E28" s="73">
        <f>B28</f>
        <v>190.27200000000039</v>
      </c>
      <c r="F28" s="170">
        <f>C28</f>
        <v>9.7519999999999996E-2</v>
      </c>
      <c r="G28" s="22">
        <f>E28*F28</f>
        <v>18.555325440000036</v>
      </c>
      <c r="H28" s="22">
        <f t="shared" si="2"/>
        <v>0</v>
      </c>
      <c r="I28" s="23">
        <f t="shared" si="10"/>
        <v>0</v>
      </c>
      <c r="J28" s="23">
        <f t="shared" si="12"/>
        <v>4.2062497288196825E-2</v>
      </c>
      <c r="K28" s="108">
        <f t="shared" si="13"/>
        <v>4.2792894455797058E-2</v>
      </c>
    </row>
    <row r="29" spans="1:11" s="1" customFormat="1" x14ac:dyDescent="0.2">
      <c r="A29" s="110" t="s">
        <v>78</v>
      </c>
      <c r="B29" s="74"/>
      <c r="C29" s="35"/>
      <c r="D29" s="35">
        <f>SUM(D25,D26:D27)</f>
        <v>167.30027200000004</v>
      </c>
      <c r="E29" s="73"/>
      <c r="F29" s="35"/>
      <c r="G29" s="35">
        <f>SUM(G25,G26:G27)</f>
        <v>172.69707200000002</v>
      </c>
      <c r="H29" s="35">
        <f t="shared" si="2"/>
        <v>5.3967999999999847</v>
      </c>
      <c r="I29" s="36">
        <f t="shared" si="10"/>
        <v>3.2258166322646407E-2</v>
      </c>
      <c r="J29" s="36">
        <f t="shared" si="12"/>
        <v>0.39148168789431476</v>
      </c>
      <c r="K29" s="111">
        <f t="shared" si="13"/>
        <v>0.39827959896569576</v>
      </c>
    </row>
    <row r="30" spans="1:11" s="1" customFormat="1" x14ac:dyDescent="0.2">
      <c r="A30" s="110" t="s">
        <v>77</v>
      </c>
      <c r="B30" s="74"/>
      <c r="C30" s="35"/>
      <c r="D30" s="35">
        <f>SUM(D25,D26,D28)</f>
        <v>165.68676544000004</v>
      </c>
      <c r="E30" s="73"/>
      <c r="F30" s="35"/>
      <c r="G30" s="35">
        <f>SUM(G25,G26,G28)</f>
        <v>171.08356544000003</v>
      </c>
      <c r="H30" s="35">
        <f t="shared" si="2"/>
        <v>5.3967999999999847</v>
      </c>
      <c r="I30" s="36">
        <f t="shared" si="10"/>
        <v>3.2572305854774636E-2</v>
      </c>
      <c r="J30" s="36">
        <f t="shared" si="12"/>
        <v>0.38782407943447161</v>
      </c>
      <c r="K30" s="111">
        <f t="shared" si="13"/>
        <v>0.39455847770866997</v>
      </c>
    </row>
    <row r="31" spans="1:11" x14ac:dyDescent="0.2">
      <c r="A31" s="107" t="s">
        <v>40</v>
      </c>
      <c r="B31" s="73">
        <f>B8</f>
        <v>2172.2720000000004</v>
      </c>
      <c r="C31" s="125">
        <f>VLOOKUP($B$3,'Data for Bill Impacts'!$A$6:$Y$18,15,0)</f>
        <v>5.6930000000000001E-3</v>
      </c>
      <c r="D31" s="22">
        <f>B31*C31</f>
        <v>12.366744496000003</v>
      </c>
      <c r="E31" s="73">
        <f t="shared" si="6"/>
        <v>2172.2720000000004</v>
      </c>
      <c r="F31" s="125">
        <f>VLOOKUP($B$3,'Data for Bill Impacts'!$A$6:$Y$18,24,0)</f>
        <v>5.6930000000000001E-3</v>
      </c>
      <c r="G31" s="22">
        <f>E31*F31</f>
        <v>12.366744496000003</v>
      </c>
      <c r="H31" s="22">
        <f t="shared" si="2"/>
        <v>0</v>
      </c>
      <c r="I31" s="23">
        <f t="shared" si="10"/>
        <v>0</v>
      </c>
      <c r="J31" s="23">
        <f t="shared" si="12"/>
        <v>2.8033793236817629E-2</v>
      </c>
      <c r="K31" s="108">
        <f t="shared" si="13"/>
        <v>2.8520587994555608E-2</v>
      </c>
    </row>
    <row r="32" spans="1:11" x14ac:dyDescent="0.2">
      <c r="A32" s="107" t="s">
        <v>41</v>
      </c>
      <c r="B32" s="73">
        <f>B8</f>
        <v>2172.2720000000004</v>
      </c>
      <c r="C32" s="125">
        <f>VLOOKUP($B$3,'Data for Bill Impacts'!$A$6:$Y$18,16,0)</f>
        <v>4.4740000000000005E-3</v>
      </c>
      <c r="D32" s="22">
        <f>B32*C32</f>
        <v>9.7187449280000031</v>
      </c>
      <c r="E32" s="73">
        <f t="shared" si="6"/>
        <v>2172.2720000000004</v>
      </c>
      <c r="F32" s="125">
        <f>VLOOKUP($B$3,'Data for Bill Impacts'!$A$6:$Y$18,25,0)</f>
        <v>4.4740000000000005E-3</v>
      </c>
      <c r="G32" s="22">
        <f>E32*F32</f>
        <v>9.7187449280000031</v>
      </c>
      <c r="H32" s="22">
        <f t="shared" si="2"/>
        <v>0</v>
      </c>
      <c r="I32" s="23">
        <f t="shared" si="10"/>
        <v>0</v>
      </c>
      <c r="J32" s="23">
        <f t="shared" si="12"/>
        <v>2.203112435298122E-2</v>
      </c>
      <c r="K32" s="108">
        <f t="shared" si="13"/>
        <v>2.2413685348259584E-2</v>
      </c>
    </row>
    <row r="33" spans="1:11" s="1" customFormat="1" x14ac:dyDescent="0.2">
      <c r="A33" s="110" t="s">
        <v>76</v>
      </c>
      <c r="B33" s="74"/>
      <c r="C33" s="35"/>
      <c r="D33" s="35">
        <f>SUM(D31:D32)</f>
        <v>22.085489424000006</v>
      </c>
      <c r="E33" s="73"/>
      <c r="F33" s="35"/>
      <c r="G33" s="35">
        <f>SUM(G31:G32)</f>
        <v>22.085489424000006</v>
      </c>
      <c r="H33" s="35">
        <f t="shared" si="2"/>
        <v>0</v>
      </c>
      <c r="I33" s="36">
        <f t="shared" si="10"/>
        <v>0</v>
      </c>
      <c r="J33" s="36">
        <f t="shared" si="12"/>
        <v>5.0064917589798849E-2</v>
      </c>
      <c r="K33" s="111">
        <f t="shared" si="13"/>
        <v>5.0934273342815195E-2</v>
      </c>
    </row>
    <row r="34" spans="1:11" s="1" customFormat="1" x14ac:dyDescent="0.2">
      <c r="A34" s="110" t="s">
        <v>91</v>
      </c>
      <c r="B34" s="74"/>
      <c r="C34" s="35"/>
      <c r="D34" s="35">
        <f>D29+D33</f>
        <v>189.38576142400004</v>
      </c>
      <c r="E34" s="73"/>
      <c r="F34" s="35"/>
      <c r="G34" s="35">
        <f>G29+G33</f>
        <v>194.78256142400002</v>
      </c>
      <c r="H34" s="35">
        <f t="shared" si="2"/>
        <v>5.3967999999999847</v>
      </c>
      <c r="I34" s="36">
        <f t="shared" si="10"/>
        <v>2.8496334462639657E-2</v>
      </c>
      <c r="J34" s="36">
        <f t="shared" si="12"/>
        <v>0.44154660548411362</v>
      </c>
      <c r="K34" s="111">
        <f t="shared" si="13"/>
        <v>0.44921387230851095</v>
      </c>
    </row>
    <row r="35" spans="1:11" s="1" customFormat="1" x14ac:dyDescent="0.2">
      <c r="A35" s="110" t="s">
        <v>92</v>
      </c>
      <c r="B35" s="74"/>
      <c r="C35" s="35"/>
      <c r="D35" s="35">
        <f>D30+D33</f>
        <v>187.77225486400005</v>
      </c>
      <c r="E35" s="73"/>
      <c r="F35" s="35"/>
      <c r="G35" s="35">
        <f>G30+G33</f>
        <v>193.16905486400003</v>
      </c>
      <c r="H35" s="35">
        <f t="shared" si="2"/>
        <v>5.3967999999999847</v>
      </c>
      <c r="I35" s="36">
        <f t="shared" si="10"/>
        <v>2.8741200364818469E-2</v>
      </c>
      <c r="J35" s="36">
        <f t="shared" si="12"/>
        <v>0.43788899702427042</v>
      </c>
      <c r="K35" s="111">
        <f t="shared" si="13"/>
        <v>0.44549275105148511</v>
      </c>
    </row>
    <row r="36" spans="1:11" x14ac:dyDescent="0.2">
      <c r="A36" s="107" t="s">
        <v>42</v>
      </c>
      <c r="B36" s="73">
        <f>B8</f>
        <v>2172.2720000000004</v>
      </c>
      <c r="C36" s="34">
        <v>3.5999999999999999E-3</v>
      </c>
      <c r="D36" s="22">
        <f>B36*C36</f>
        <v>7.820179200000001</v>
      </c>
      <c r="E36" s="73">
        <f t="shared" si="6"/>
        <v>2172.2720000000004</v>
      </c>
      <c r="F36" s="34">
        <v>3.5999999999999999E-3</v>
      </c>
      <c r="G36" s="22">
        <f>E36*F36</f>
        <v>7.820179200000001</v>
      </c>
      <c r="H36" s="22">
        <f t="shared" si="2"/>
        <v>0</v>
      </c>
      <c r="I36" s="23">
        <f t="shared" si="10"/>
        <v>0</v>
      </c>
      <c r="J36" s="23">
        <f t="shared" si="12"/>
        <v>1.7727324021173978E-2</v>
      </c>
      <c r="K36" s="108">
        <f t="shared" si="13"/>
        <v>1.8035151375443561E-2</v>
      </c>
    </row>
    <row r="37" spans="1:11" x14ac:dyDescent="0.2">
      <c r="A37" s="107" t="s">
        <v>43</v>
      </c>
      <c r="B37" s="73">
        <f>B8</f>
        <v>2172.2720000000004</v>
      </c>
      <c r="C37" s="34">
        <v>2.0999999999999999E-3</v>
      </c>
      <c r="D37" s="22">
        <f>B37*C37</f>
        <v>4.5617712000000008</v>
      </c>
      <c r="E37" s="73">
        <f t="shared" si="6"/>
        <v>2172.2720000000004</v>
      </c>
      <c r="F37" s="34">
        <v>2.0999999999999999E-3</v>
      </c>
      <c r="G37" s="22">
        <f>E37*F37</f>
        <v>4.5617712000000008</v>
      </c>
      <c r="H37" s="22">
        <f>G37-D37</f>
        <v>0</v>
      </c>
      <c r="I37" s="23">
        <f t="shared" si="10"/>
        <v>0</v>
      </c>
      <c r="J37" s="23">
        <f t="shared" si="12"/>
        <v>1.0340939012351488E-2</v>
      </c>
      <c r="K37" s="108">
        <f t="shared" si="13"/>
        <v>1.0520504969008743E-2</v>
      </c>
    </row>
    <row r="38" spans="1:11" x14ac:dyDescent="0.2">
      <c r="A38" s="107" t="s">
        <v>96</v>
      </c>
      <c r="B38" s="73">
        <f>B8</f>
        <v>2172.2720000000004</v>
      </c>
      <c r="C38" s="34">
        <v>0</v>
      </c>
      <c r="D38" s="22">
        <f>B38*C38</f>
        <v>0</v>
      </c>
      <c r="E38" s="73">
        <f t="shared" si="6"/>
        <v>2172.2720000000004</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5.6671732091426934E-4</v>
      </c>
      <c r="K39" s="108">
        <f t="shared" si="13"/>
        <v>5.7655812335616168E-4</v>
      </c>
    </row>
    <row r="40" spans="1:11" s="1" customFormat="1" x14ac:dyDescent="0.2">
      <c r="A40" s="110" t="s">
        <v>45</v>
      </c>
      <c r="B40" s="74"/>
      <c r="C40" s="35"/>
      <c r="D40" s="35">
        <f>SUM(D36:D39)</f>
        <v>12.631950400000001</v>
      </c>
      <c r="E40" s="73"/>
      <c r="F40" s="35"/>
      <c r="G40" s="35">
        <f>SUM(G36:G39)</f>
        <v>12.631950400000001</v>
      </c>
      <c r="H40" s="35">
        <f t="shared" si="2"/>
        <v>0</v>
      </c>
      <c r="I40" s="36">
        <f t="shared" si="10"/>
        <v>0</v>
      </c>
      <c r="J40" s="36">
        <f t="shared" si="12"/>
        <v>2.8634980354439735E-2</v>
      </c>
      <c r="K40" s="111">
        <f t="shared" si="13"/>
        <v>2.9132214467808462E-2</v>
      </c>
    </row>
    <row r="41" spans="1:11" s="1" customFormat="1" ht="13.5" thickBot="1" x14ac:dyDescent="0.25">
      <c r="A41" s="112" t="s">
        <v>46</v>
      </c>
      <c r="B41" s="113">
        <f>B4</f>
        <v>1982</v>
      </c>
      <c r="C41" s="114">
        <v>7.0000000000000001E-3</v>
      </c>
      <c r="D41" s="115">
        <f>B41*C41</f>
        <v>13.874000000000001</v>
      </c>
      <c r="E41" s="116">
        <f t="shared" si="6"/>
        <v>1982</v>
      </c>
      <c r="F41" s="114">
        <f>C41</f>
        <v>7.0000000000000001E-3</v>
      </c>
      <c r="G41" s="115">
        <f>E41*F41</f>
        <v>13.874000000000001</v>
      </c>
      <c r="H41" s="115">
        <f t="shared" si="2"/>
        <v>0</v>
      </c>
      <c r="I41" s="117">
        <f t="shared" si="10"/>
        <v>0</v>
      </c>
      <c r="J41" s="117">
        <f t="shared" si="12"/>
        <v>3.145054444145829E-2</v>
      </c>
      <c r="K41" s="118">
        <f t="shared" si="13"/>
        <v>3.1996669613773544E-2</v>
      </c>
    </row>
    <row r="42" spans="1:11" s="1" customFormat="1" x14ac:dyDescent="0.2">
      <c r="A42" s="37" t="s">
        <v>101</v>
      </c>
      <c r="B42" s="38"/>
      <c r="C42" s="39"/>
      <c r="D42" s="39">
        <f>SUM(D14,D25,D26,D27,D33,D40,D41)</f>
        <v>414.73371182400012</v>
      </c>
      <c r="E42" s="38"/>
      <c r="F42" s="39"/>
      <c r="G42" s="39">
        <f>SUM(G14,G25,G26,G27,G33,G40,G41)</f>
        <v>420.13051182400011</v>
      </c>
      <c r="H42" s="39">
        <f t="shared" si="2"/>
        <v>5.3967999999999847</v>
      </c>
      <c r="I42" s="40">
        <f t="shared" si="10"/>
        <v>1.3012687047466776E-2</v>
      </c>
      <c r="J42" s="40">
        <f t="shared" si="12"/>
        <v>0.95238095238095244</v>
      </c>
      <c r="K42" s="41"/>
    </row>
    <row r="43" spans="1:11" x14ac:dyDescent="0.2">
      <c r="A43" s="153" t="s">
        <v>102</v>
      </c>
      <c r="B43" s="43"/>
      <c r="C43" s="26">
        <v>0.13</v>
      </c>
      <c r="D43" s="26">
        <f>D42*C43</f>
        <v>53.915382537120017</v>
      </c>
      <c r="E43" s="26"/>
      <c r="F43" s="26">
        <f>C43</f>
        <v>0.13</v>
      </c>
      <c r="G43" s="26">
        <f>G42*F43</f>
        <v>54.616966537120014</v>
      </c>
      <c r="H43" s="26">
        <f t="shared" si="2"/>
        <v>0.70158399999999688</v>
      </c>
      <c r="I43" s="44">
        <f t="shared" si="10"/>
        <v>1.3012687047466755E-2</v>
      </c>
      <c r="J43" s="44">
        <f t="shared" si="12"/>
        <v>0.12380952380952381</v>
      </c>
      <c r="K43" s="45"/>
    </row>
    <row r="44" spans="1:11" s="1" customFormat="1" x14ac:dyDescent="0.2">
      <c r="A44" s="46" t="s">
        <v>103</v>
      </c>
      <c r="B44" s="24"/>
      <c r="C44" s="25"/>
      <c r="D44" s="25">
        <f>SUM(D42:D43)</f>
        <v>468.64909436112015</v>
      </c>
      <c r="E44" s="25"/>
      <c r="F44" s="25"/>
      <c r="G44" s="25">
        <f>SUM(G42:G43)</f>
        <v>474.7474783611201</v>
      </c>
      <c r="H44" s="25">
        <f t="shared" si="2"/>
        <v>6.0983839999999532</v>
      </c>
      <c r="I44" s="27">
        <f t="shared" si="10"/>
        <v>1.3012687047466713E-2</v>
      </c>
      <c r="J44" s="27">
        <f t="shared" si="12"/>
        <v>1.0761904761904761</v>
      </c>
      <c r="K44" s="47"/>
    </row>
    <row r="45" spans="1:11" x14ac:dyDescent="0.2">
      <c r="A45" s="42" t="s">
        <v>104</v>
      </c>
      <c r="B45" s="43"/>
      <c r="C45" s="26">
        <v>-0.08</v>
      </c>
      <c r="D45" s="26">
        <f>D42*C45</f>
        <v>-33.178696945920009</v>
      </c>
      <c r="E45" s="26"/>
      <c r="F45" s="26">
        <f>C45</f>
        <v>-0.08</v>
      </c>
      <c r="G45" s="26">
        <f>G42*F45</f>
        <v>-33.610440945920011</v>
      </c>
      <c r="H45" s="26">
        <f t="shared" si="2"/>
        <v>-0.4317440000000019</v>
      </c>
      <c r="I45" s="44">
        <f t="shared" si="10"/>
        <v>-1.3012687047466869E-2</v>
      </c>
      <c r="J45" s="44">
        <f t="shared" si="12"/>
        <v>-7.6190476190476197E-2</v>
      </c>
      <c r="K45" s="45"/>
    </row>
    <row r="46" spans="1:11" s="1" customFormat="1" ht="13.5" thickBot="1" x14ac:dyDescent="0.25">
      <c r="A46" s="48" t="s">
        <v>105</v>
      </c>
      <c r="B46" s="49"/>
      <c r="C46" s="50"/>
      <c r="D46" s="50">
        <f>SUM(D44:D45)</f>
        <v>435.47039741520013</v>
      </c>
      <c r="E46" s="50"/>
      <c r="F46" s="50"/>
      <c r="G46" s="50">
        <f>SUM(G44:G45)</f>
        <v>441.1370374152001</v>
      </c>
      <c r="H46" s="50">
        <f t="shared" si="2"/>
        <v>5.6666399999999726</v>
      </c>
      <c r="I46" s="51">
        <f t="shared" si="10"/>
        <v>1.3012687047466749E-2</v>
      </c>
      <c r="J46" s="51">
        <f t="shared" si="12"/>
        <v>1</v>
      </c>
      <c r="K46" s="52"/>
    </row>
    <row r="47" spans="1:11" x14ac:dyDescent="0.2">
      <c r="A47" s="53" t="s">
        <v>106</v>
      </c>
      <c r="B47" s="54"/>
      <c r="C47" s="55"/>
      <c r="D47" s="55">
        <f>SUM(D18,D25,D26,D28,D33,D40,D41)</f>
        <v>407.56284526400009</v>
      </c>
      <c r="E47" s="55"/>
      <c r="F47" s="55"/>
      <c r="G47" s="55">
        <f>SUM(G18,G25,G26,G28,G33,G40,G41)</f>
        <v>412.95964526400007</v>
      </c>
      <c r="H47" s="55">
        <f>G47-D47</f>
        <v>5.3967999999999847</v>
      </c>
      <c r="I47" s="56">
        <f t="shared" si="10"/>
        <v>1.3241638836101929E-2</v>
      </c>
      <c r="J47" s="56"/>
      <c r="K47" s="57">
        <f>G47/$G$51</f>
        <v>0.95238095238095244</v>
      </c>
    </row>
    <row r="48" spans="1:11" x14ac:dyDescent="0.2">
      <c r="A48" s="58" t="s">
        <v>102</v>
      </c>
      <c r="B48" s="59"/>
      <c r="C48" s="31">
        <v>0.13</v>
      </c>
      <c r="D48" s="31">
        <f>D47*C48</f>
        <v>52.983169884320013</v>
      </c>
      <c r="E48" s="31"/>
      <c r="F48" s="31">
        <f>C48</f>
        <v>0.13</v>
      </c>
      <c r="G48" s="31">
        <f>G47*F48</f>
        <v>53.68475388432001</v>
      </c>
      <c r="H48" s="31">
        <f>G48-D48</f>
        <v>0.70158399999999688</v>
      </c>
      <c r="I48" s="32">
        <f t="shared" si="10"/>
        <v>1.3241638836101906E-2</v>
      </c>
      <c r="J48" s="32"/>
      <c r="K48" s="60">
        <f>G48/$G$51</f>
        <v>0.12380952380952381</v>
      </c>
    </row>
    <row r="49" spans="1:11" x14ac:dyDescent="0.2">
      <c r="A49" s="149" t="s">
        <v>107</v>
      </c>
      <c r="B49" s="29"/>
      <c r="C49" s="30"/>
      <c r="D49" s="30">
        <f>SUM(D47:D48)</f>
        <v>460.54601514832012</v>
      </c>
      <c r="E49" s="30"/>
      <c r="F49" s="30"/>
      <c r="G49" s="30">
        <f>SUM(G47:G48)</f>
        <v>466.64439914832008</v>
      </c>
      <c r="H49" s="30">
        <f>G49-D49</f>
        <v>6.0983839999999532</v>
      </c>
      <c r="I49" s="33">
        <f t="shared" si="10"/>
        <v>1.3241638836101865E-2</v>
      </c>
      <c r="J49" s="33"/>
      <c r="K49" s="62">
        <f>G49/$G$51</f>
        <v>1.0761904761904761</v>
      </c>
    </row>
    <row r="50" spans="1:11" x14ac:dyDescent="0.2">
      <c r="A50" s="58" t="s">
        <v>104</v>
      </c>
      <c r="B50" s="59"/>
      <c r="C50" s="31">
        <v>-0.08</v>
      </c>
      <c r="D50" s="31">
        <f>D47*C50</f>
        <v>-32.605027621120009</v>
      </c>
      <c r="E50" s="31"/>
      <c r="F50" s="31">
        <f>C50</f>
        <v>-0.08</v>
      </c>
      <c r="G50" s="31">
        <f>G47*F50</f>
        <v>-33.036771621120003</v>
      </c>
      <c r="H50" s="31">
        <f>G50-D50</f>
        <v>-0.4317439999999948</v>
      </c>
      <c r="I50" s="32">
        <f t="shared" si="10"/>
        <v>-1.3241638836101806E-2</v>
      </c>
      <c r="J50" s="32"/>
      <c r="K50" s="60">
        <f>G50/$G$51</f>
        <v>-7.6190476190476183E-2</v>
      </c>
    </row>
    <row r="51" spans="1:11" ht="13.5" thickBot="1" x14ac:dyDescent="0.25">
      <c r="A51" s="63" t="s">
        <v>116</v>
      </c>
      <c r="B51" s="64"/>
      <c r="C51" s="65"/>
      <c r="D51" s="65">
        <f>SUM(D49:D50)</f>
        <v>427.94098752720009</v>
      </c>
      <c r="E51" s="65"/>
      <c r="F51" s="65"/>
      <c r="G51" s="65">
        <f>SUM(G49:G50)</f>
        <v>433.60762752720007</v>
      </c>
      <c r="H51" s="65">
        <f>G51-D51</f>
        <v>5.6666399999999726</v>
      </c>
      <c r="I51" s="66">
        <f t="shared" si="10"/>
        <v>1.3241638836101903E-2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6"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theme="1" tint="0.499984740745262"/>
    <pageSetUpPr fitToPage="1"/>
  </sheetPr>
  <dimension ref="A1:K68"/>
  <sheetViews>
    <sheetView tabSelected="1" view="pageLayout" topLeftCell="A7"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121</v>
      </c>
      <c r="B1" s="186"/>
      <c r="C1" s="186"/>
      <c r="D1" s="186"/>
      <c r="E1" s="186"/>
      <c r="F1" s="186"/>
      <c r="G1" s="186"/>
      <c r="H1" s="186"/>
      <c r="I1" s="186"/>
      <c r="J1" s="186"/>
      <c r="K1" s="187"/>
    </row>
    <row r="3" spans="1:11" x14ac:dyDescent="0.2">
      <c r="A3" s="13" t="s">
        <v>13</v>
      </c>
      <c r="B3" s="13" t="s">
        <v>4</v>
      </c>
    </row>
    <row r="4" spans="1:11" x14ac:dyDescent="0.2">
      <c r="A4" s="15" t="s">
        <v>62</v>
      </c>
      <c r="B4" s="15">
        <v>15000</v>
      </c>
    </row>
    <row r="5" spans="1:11" x14ac:dyDescent="0.2">
      <c r="A5" s="15" t="s">
        <v>16</v>
      </c>
      <c r="B5" s="15">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5">
        <f>B4*B6</f>
        <v>16440</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2.1323462131899798E-2</v>
      </c>
      <c r="K12" s="106"/>
    </row>
    <row r="13" spans="1:11" x14ac:dyDescent="0.2">
      <c r="A13" s="107" t="s">
        <v>32</v>
      </c>
      <c r="B13" s="73">
        <f>IF(B4&gt;B7,(B4)-B7,0)</f>
        <v>14250</v>
      </c>
      <c r="C13" s="21">
        <v>0.106</v>
      </c>
      <c r="D13" s="22">
        <f>B13*C13</f>
        <v>1510.5</v>
      </c>
      <c r="E13" s="73">
        <f t="shared" ref="E13" si="1">B13</f>
        <v>14250</v>
      </c>
      <c r="F13" s="21">
        <f>C13</f>
        <v>0.106</v>
      </c>
      <c r="G13" s="22">
        <f>E13*F13</f>
        <v>1510.5</v>
      </c>
      <c r="H13" s="22">
        <f t="shared" ref="H13:H46" si="2">G13-D13</f>
        <v>0</v>
      </c>
      <c r="I13" s="23">
        <f t="shared" si="0"/>
        <v>0</v>
      </c>
      <c r="J13" s="23">
        <f>G13/$G$46</f>
        <v>0.47192805201809002</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G14/$G$46</f>
        <v>0.4932515141499898</v>
      </c>
      <c r="K14" s="108"/>
    </row>
    <row r="15" spans="1:11" s="1" customFormat="1" x14ac:dyDescent="0.2">
      <c r="A15" s="109" t="s">
        <v>34</v>
      </c>
      <c r="B15" s="75">
        <f>B4*0.65</f>
        <v>9750</v>
      </c>
      <c r="C15" s="28">
        <v>7.6999999999999999E-2</v>
      </c>
      <c r="D15" s="22">
        <f>B15*C15</f>
        <v>750.75</v>
      </c>
      <c r="E15" s="73">
        <f t="shared" ref="E15:F17" si="3">B15</f>
        <v>9750</v>
      </c>
      <c r="F15" s="28">
        <f t="shared" si="3"/>
        <v>7.6999999999999999E-2</v>
      </c>
      <c r="G15" s="22">
        <f>E15*F15</f>
        <v>750.75</v>
      </c>
      <c r="H15" s="22">
        <f t="shared" si="2"/>
        <v>0</v>
      </c>
      <c r="I15" s="23">
        <f t="shared" si="0"/>
        <v>0</v>
      </c>
      <c r="J15" s="23"/>
      <c r="K15" s="108">
        <f t="shared" ref="K15:K26" si="4">G15/$G$51</f>
        <v>0.24485259236980142</v>
      </c>
    </row>
    <row r="16" spans="1:11" s="1" customFormat="1" x14ac:dyDescent="0.2">
      <c r="A16" s="109" t="s">
        <v>35</v>
      </c>
      <c r="B16" s="75">
        <f>B4*0.17</f>
        <v>2550</v>
      </c>
      <c r="C16" s="28">
        <v>0.113</v>
      </c>
      <c r="D16" s="22">
        <f>B16*C16</f>
        <v>288.15000000000003</v>
      </c>
      <c r="E16" s="73">
        <f t="shared" si="3"/>
        <v>2550</v>
      </c>
      <c r="F16" s="28">
        <f t="shared" si="3"/>
        <v>0.113</v>
      </c>
      <c r="G16" s="22">
        <f>E16*F16</f>
        <v>288.15000000000003</v>
      </c>
      <c r="H16" s="22">
        <f t="shared" si="2"/>
        <v>0</v>
      </c>
      <c r="I16" s="23">
        <f t="shared" si="0"/>
        <v>0</v>
      </c>
      <c r="J16" s="23"/>
      <c r="K16" s="108">
        <f t="shared" si="4"/>
        <v>9.3978387600876845E-2</v>
      </c>
    </row>
    <row r="17" spans="1:11" s="1" customFormat="1" x14ac:dyDescent="0.2">
      <c r="A17" s="109" t="s">
        <v>36</v>
      </c>
      <c r="B17" s="75">
        <f>B4*0.18</f>
        <v>2700</v>
      </c>
      <c r="C17" s="28">
        <v>0.157</v>
      </c>
      <c r="D17" s="22">
        <f>B17*C17</f>
        <v>423.9</v>
      </c>
      <c r="E17" s="73">
        <f t="shared" si="3"/>
        <v>2700</v>
      </c>
      <c r="F17" s="28">
        <f t="shared" si="3"/>
        <v>0.157</v>
      </c>
      <c r="G17" s="22">
        <f>E17*F17</f>
        <v>423.9</v>
      </c>
      <c r="H17" s="22">
        <f t="shared" si="2"/>
        <v>0</v>
      </c>
      <c r="I17" s="23">
        <f t="shared" si="0"/>
        <v>0</v>
      </c>
      <c r="J17" s="23"/>
      <c r="K17" s="108">
        <f t="shared" si="4"/>
        <v>0.13825243277463711</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 t="shared" ref="J18:J23" si="5">G18/$G$46</f>
        <v>0.45702506090172934</v>
      </c>
      <c r="K18" s="62">
        <f t="shared" si="4"/>
        <v>0.47708341274531546</v>
      </c>
    </row>
    <row r="19" spans="1:11" x14ac:dyDescent="0.2">
      <c r="A19" s="107" t="s">
        <v>38</v>
      </c>
      <c r="B19" s="73">
        <v>1</v>
      </c>
      <c r="C19" s="78">
        <f>VLOOKUP($B$3,'Data for Bill Impacts'!$A$6:$Y$18,7,0)</f>
        <v>29.56</v>
      </c>
      <c r="D19" s="22">
        <f>B19*C19</f>
        <v>29.56</v>
      </c>
      <c r="E19" s="73">
        <f t="shared" ref="E19:E41" si="6">B19</f>
        <v>1</v>
      </c>
      <c r="F19" s="78">
        <f>VLOOKUP($B$3,'Data for Bill Impacts'!$A$6:$Y$18,17,0)</f>
        <v>30.2</v>
      </c>
      <c r="G19" s="22">
        <f>E19*F19</f>
        <v>30.2</v>
      </c>
      <c r="H19" s="22">
        <f t="shared" si="2"/>
        <v>0.64000000000000057</v>
      </c>
      <c r="I19" s="23">
        <f>IF(ISERROR(H19/ABS(D19)),"N/A",(H19/ABS(D19)))</f>
        <v>2.1650879566982428E-2</v>
      </c>
      <c r="J19" s="23">
        <f t="shared" si="5"/>
        <v>9.4354367235659174E-3</v>
      </c>
      <c r="K19" s="108">
        <f t="shared" si="4"/>
        <v>9.8495481712527512E-3</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110</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2E-3</v>
      </c>
      <c r="D22" s="22">
        <f t="shared" si="9"/>
        <v>2E-3</v>
      </c>
      <c r="E22" s="73">
        <f t="shared" si="6"/>
        <v>1</v>
      </c>
      <c r="F22" s="121">
        <f>VLOOKUP($B$3,'Data for Bill Impacts'!$A$6:$Y$18,22,0)</f>
        <v>2E-3</v>
      </c>
      <c r="G22" s="22">
        <f t="shared" si="7"/>
        <v>2E-3</v>
      </c>
      <c r="H22" s="22">
        <f t="shared" si="2"/>
        <v>0</v>
      </c>
      <c r="I22" s="23">
        <f t="shared" ref="I22:I51" si="10">IF(ISERROR(H22/ABS(D22)),"N/A",(H22/ABS(D22)))</f>
        <v>0</v>
      </c>
      <c r="J22" s="23">
        <f t="shared" si="5"/>
        <v>6.2486335917655079E-7</v>
      </c>
      <c r="K22" s="108">
        <f t="shared" si="4"/>
        <v>6.5228795836110934E-7</v>
      </c>
    </row>
    <row r="23" spans="1:11" x14ac:dyDescent="0.2">
      <c r="A23" s="107" t="s">
        <v>39</v>
      </c>
      <c r="B23" s="73">
        <f>IF($B$9="kWh",$B$4,$B$5)</f>
        <v>15000</v>
      </c>
      <c r="C23" s="78">
        <f>VLOOKUP($B$3,'Data for Bill Impacts'!$A$6:$Y$18,10,0)</f>
        <v>5.8900000000000001E-2</v>
      </c>
      <c r="D23" s="22">
        <f>B23*C23</f>
        <v>883.5</v>
      </c>
      <c r="E23" s="73">
        <f t="shared" si="6"/>
        <v>15000</v>
      </c>
      <c r="F23" s="78">
        <f>VLOOKUP($B$3,'Data for Bill Impacts'!$A$6:$Y$18,19,0)</f>
        <v>6.13E-2</v>
      </c>
      <c r="G23" s="22">
        <f>E23*F23</f>
        <v>919.5</v>
      </c>
      <c r="H23" s="22">
        <f t="shared" si="2"/>
        <v>36</v>
      </c>
      <c r="I23" s="23">
        <f t="shared" si="10"/>
        <v>4.074702886247878E-2</v>
      </c>
      <c r="J23" s="23">
        <f t="shared" si="5"/>
        <v>0.28728092938141925</v>
      </c>
      <c r="K23" s="108">
        <f t="shared" si="4"/>
        <v>0.29988938885652006</v>
      </c>
    </row>
    <row r="24" spans="1:11" x14ac:dyDescent="0.2">
      <c r="A24" s="107" t="s">
        <v>122</v>
      </c>
      <c r="B24" s="73">
        <f>IF($B$9="kWh",$B$4,$B$5)</f>
        <v>15000</v>
      </c>
      <c r="C24" s="125">
        <f>VLOOKUP($B$3,'Data for Bill Impacts'!$A$6:$Y$18,14,0)</f>
        <v>2.0000000000000002E-5</v>
      </c>
      <c r="D24" s="22">
        <f>B24*C24</f>
        <v>0.30000000000000004</v>
      </c>
      <c r="E24" s="73">
        <f t="shared" si="6"/>
        <v>15000</v>
      </c>
      <c r="F24" s="125">
        <f>VLOOKUP($B$3,'Data for Bill Impacts'!$A$6:$Y$18,23,0)</f>
        <v>2.0000000000000002E-5</v>
      </c>
      <c r="G24" s="22">
        <f>E24*F24</f>
        <v>0.30000000000000004</v>
      </c>
      <c r="H24" s="22">
        <f t="shared" si="2"/>
        <v>0</v>
      </c>
      <c r="I24" s="23">
        <f t="shared" si="10"/>
        <v>0</v>
      </c>
      <c r="J24" s="23">
        <f t="shared" ref="J24" si="11">G24/$G$46</f>
        <v>9.3729503876482635E-5</v>
      </c>
      <c r="K24" s="108">
        <f t="shared" si="4"/>
        <v>9.7843193754166416E-5</v>
      </c>
    </row>
    <row r="25" spans="1:11" s="1" customFormat="1" x14ac:dyDescent="0.2">
      <c r="A25" s="110" t="s">
        <v>72</v>
      </c>
      <c r="B25" s="74"/>
      <c r="C25" s="35"/>
      <c r="D25" s="35">
        <f>SUM(D19:D24)</f>
        <v>913.36199999999997</v>
      </c>
      <c r="E25" s="73"/>
      <c r="F25" s="35"/>
      <c r="G25" s="35">
        <f>SUM(G19:G24)</f>
        <v>950.00199999999995</v>
      </c>
      <c r="H25" s="35">
        <f t="shared" si="2"/>
        <v>36.639999999999986</v>
      </c>
      <c r="I25" s="36">
        <f t="shared" si="10"/>
        <v>4.0115529220615689E-2</v>
      </c>
      <c r="J25" s="36">
        <f>G25/$G$46</f>
        <v>0.29681072047222079</v>
      </c>
      <c r="K25" s="111">
        <f t="shared" si="4"/>
        <v>0.30983743250948531</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2.4682102687473761E-4</v>
      </c>
      <c r="K26" s="108">
        <f t="shared" si="4"/>
        <v>2.5765374355263824E-4</v>
      </c>
    </row>
    <row r="27" spans="1:11" s="1" customFormat="1" x14ac:dyDescent="0.2">
      <c r="A27" s="119" t="s">
        <v>75</v>
      </c>
      <c r="B27" s="120">
        <f>B8-B4</f>
        <v>1440</v>
      </c>
      <c r="C27" s="170">
        <f>IF(B4&gt;B7,C13,C12)</f>
        <v>0.106</v>
      </c>
      <c r="D27" s="22">
        <f>B27*C27</f>
        <v>152.63999999999999</v>
      </c>
      <c r="E27" s="73">
        <f>B27</f>
        <v>1440</v>
      </c>
      <c r="F27" s="170">
        <f>C27</f>
        <v>0.106</v>
      </c>
      <c r="G27" s="22">
        <f>E27*F27</f>
        <v>152.63999999999999</v>
      </c>
      <c r="H27" s="22">
        <f t="shared" si="2"/>
        <v>0</v>
      </c>
      <c r="I27" s="23">
        <f t="shared" si="10"/>
        <v>0</v>
      </c>
      <c r="J27" s="23">
        <f t="shared" ref="J27:J46" si="12">G27/$G$46</f>
        <v>4.7689571572354351E-2</v>
      </c>
      <c r="K27" s="108">
        <f t="shared" ref="K27:K41" si="13">G27/$G$51</f>
        <v>4.9782616982119859E-2</v>
      </c>
    </row>
    <row r="28" spans="1:11" s="1" customFormat="1" x14ac:dyDescent="0.2">
      <c r="A28" s="119" t="s">
        <v>74</v>
      </c>
      <c r="B28" s="120">
        <f>B8-B4</f>
        <v>1440</v>
      </c>
      <c r="C28" s="170">
        <f>0.65*C15+0.17*C16+0.18*C17</f>
        <v>9.7519999999999996E-2</v>
      </c>
      <c r="D28" s="22">
        <f>B28*C28</f>
        <v>140.4288</v>
      </c>
      <c r="E28" s="73">
        <f>B28</f>
        <v>1440</v>
      </c>
      <c r="F28" s="170">
        <f>C28</f>
        <v>9.7519999999999996E-2</v>
      </c>
      <c r="G28" s="22">
        <f>E28*F28</f>
        <v>140.4288</v>
      </c>
      <c r="H28" s="22">
        <f t="shared" si="2"/>
        <v>0</v>
      </c>
      <c r="I28" s="23">
        <f t="shared" si="10"/>
        <v>0</v>
      </c>
      <c r="J28" s="23">
        <f t="shared" si="12"/>
        <v>4.387440584656601E-2</v>
      </c>
      <c r="K28" s="108">
        <f t="shared" si="13"/>
        <v>4.5800007623550278E-2</v>
      </c>
    </row>
    <row r="29" spans="1:11" s="1" customFormat="1" x14ac:dyDescent="0.2">
      <c r="A29" s="110" t="s">
        <v>78</v>
      </c>
      <c r="B29" s="74"/>
      <c r="C29" s="35"/>
      <c r="D29" s="35">
        <f>SUM(D25,D26:D27)</f>
        <v>1066.7919999999999</v>
      </c>
      <c r="E29" s="73"/>
      <c r="F29" s="35"/>
      <c r="G29" s="35">
        <f>SUM(G25,G26:G27)</f>
        <v>1103.4319999999998</v>
      </c>
      <c r="H29" s="35">
        <f t="shared" si="2"/>
        <v>36.639999999999873</v>
      </c>
      <c r="I29" s="36">
        <f t="shared" si="10"/>
        <v>3.4345964349188851E-2</v>
      </c>
      <c r="J29" s="36">
        <f t="shared" si="12"/>
        <v>0.34474711307144984</v>
      </c>
      <c r="K29" s="111">
        <f t="shared" si="13"/>
        <v>0.35987770323515778</v>
      </c>
    </row>
    <row r="30" spans="1:11" s="1" customFormat="1" x14ac:dyDescent="0.2">
      <c r="A30" s="110" t="s">
        <v>77</v>
      </c>
      <c r="B30" s="74"/>
      <c r="C30" s="35"/>
      <c r="D30" s="35">
        <f>SUM(D25,D26,D28)</f>
        <v>1054.5808</v>
      </c>
      <c r="E30" s="73"/>
      <c r="F30" s="35"/>
      <c r="G30" s="35">
        <f>SUM(G25,G26,G28)</f>
        <v>1091.2207999999998</v>
      </c>
      <c r="H30" s="35">
        <f t="shared" si="2"/>
        <v>36.639999999999873</v>
      </c>
      <c r="I30" s="36">
        <f t="shared" si="10"/>
        <v>3.4743663074465109E-2</v>
      </c>
      <c r="J30" s="36">
        <f t="shared" si="12"/>
        <v>0.34093194734566151</v>
      </c>
      <c r="K30" s="111">
        <f t="shared" si="13"/>
        <v>0.35589509387658819</v>
      </c>
    </row>
    <row r="31" spans="1:11" x14ac:dyDescent="0.2">
      <c r="A31" s="107" t="s">
        <v>40</v>
      </c>
      <c r="B31" s="73">
        <f>B8</f>
        <v>16440</v>
      </c>
      <c r="C31" s="125">
        <f>VLOOKUP($B$3,'Data for Bill Impacts'!$A$6:$Y$18,15,0)</f>
        <v>5.6930000000000001E-3</v>
      </c>
      <c r="D31" s="22">
        <f>B31*C31</f>
        <v>93.592920000000007</v>
      </c>
      <c r="E31" s="73">
        <f t="shared" si="6"/>
        <v>16440</v>
      </c>
      <c r="F31" s="125">
        <f>VLOOKUP($B$3,'Data for Bill Impacts'!$A$6:$Y$18,24,0)</f>
        <v>5.6930000000000001E-3</v>
      </c>
      <c r="G31" s="22">
        <f>E31*F31</f>
        <v>93.592920000000007</v>
      </c>
      <c r="H31" s="22">
        <f t="shared" si="2"/>
        <v>0</v>
      </c>
      <c r="I31" s="23">
        <f t="shared" si="10"/>
        <v>0</v>
      </c>
      <c r="J31" s="23">
        <f t="shared" si="12"/>
        <v>2.9241393193171095E-2</v>
      </c>
      <c r="K31" s="108">
        <f t="shared" si="13"/>
        <v>3.0524767351927322E-2</v>
      </c>
    </row>
    <row r="32" spans="1:11" x14ac:dyDescent="0.2">
      <c r="A32" s="107" t="s">
        <v>41</v>
      </c>
      <c r="B32" s="73">
        <f>B8</f>
        <v>16440</v>
      </c>
      <c r="C32" s="125">
        <f>VLOOKUP($B$3,'Data for Bill Impacts'!$A$6:$Y$18,16,0)</f>
        <v>4.4740000000000005E-3</v>
      </c>
      <c r="D32" s="22">
        <f>B32*C32</f>
        <v>73.552560000000014</v>
      </c>
      <c r="E32" s="73">
        <f t="shared" si="6"/>
        <v>16440</v>
      </c>
      <c r="F32" s="125">
        <f>VLOOKUP($B$3,'Data for Bill Impacts'!$A$6:$Y$18,25,0)</f>
        <v>4.4740000000000005E-3</v>
      </c>
      <c r="G32" s="22">
        <f>E32*F32</f>
        <v>73.552560000000014</v>
      </c>
      <c r="H32" s="22">
        <f t="shared" si="2"/>
        <v>0</v>
      </c>
      <c r="I32" s="23">
        <f t="shared" si="10"/>
        <v>0</v>
      </c>
      <c r="J32" s="23">
        <f t="shared" si="12"/>
        <v>2.2980149858817408E-2</v>
      </c>
      <c r="K32" s="108">
        <f t="shared" si="13"/>
        <v>2.3988724597316505E-2</v>
      </c>
    </row>
    <row r="33" spans="1:11" s="1" customFormat="1" x14ac:dyDescent="0.2">
      <c r="A33" s="110" t="s">
        <v>76</v>
      </c>
      <c r="B33" s="74"/>
      <c r="C33" s="35"/>
      <c r="D33" s="35">
        <f>SUM(D31:D32)</f>
        <v>167.14548000000002</v>
      </c>
      <c r="E33" s="73"/>
      <c r="F33" s="35"/>
      <c r="G33" s="35">
        <f>SUM(G31:G32)</f>
        <v>167.14548000000002</v>
      </c>
      <c r="H33" s="35">
        <f t="shared" si="2"/>
        <v>0</v>
      </c>
      <c r="I33" s="36">
        <f t="shared" si="10"/>
        <v>0</v>
      </c>
      <c r="J33" s="36">
        <f t="shared" si="12"/>
        <v>5.2221543051988506E-2</v>
      </c>
      <c r="K33" s="111">
        <f t="shared" si="13"/>
        <v>5.4513491949243827E-2</v>
      </c>
    </row>
    <row r="34" spans="1:11" s="1" customFormat="1" x14ac:dyDescent="0.2">
      <c r="A34" s="110" t="s">
        <v>91</v>
      </c>
      <c r="B34" s="74"/>
      <c r="C34" s="35"/>
      <c r="D34" s="35">
        <f>D29+D33</f>
        <v>1233.9374800000001</v>
      </c>
      <c r="E34" s="73"/>
      <c r="F34" s="35"/>
      <c r="G34" s="35">
        <f>G29+G33</f>
        <v>1270.5774799999999</v>
      </c>
      <c r="H34" s="35">
        <f t="shared" si="2"/>
        <v>36.639999999999873</v>
      </c>
      <c r="I34" s="36">
        <f t="shared" si="10"/>
        <v>2.969356275651816E-2</v>
      </c>
      <c r="J34" s="36">
        <f t="shared" si="12"/>
        <v>0.3969686561234384</v>
      </c>
      <c r="K34" s="111">
        <f t="shared" si="13"/>
        <v>0.4143911951844016</v>
      </c>
    </row>
    <row r="35" spans="1:11" s="1" customFormat="1" x14ac:dyDescent="0.2">
      <c r="A35" s="110" t="s">
        <v>92</v>
      </c>
      <c r="B35" s="74"/>
      <c r="C35" s="35"/>
      <c r="D35" s="35">
        <f>D30+D33</f>
        <v>1221.7262799999999</v>
      </c>
      <c r="E35" s="73"/>
      <c r="F35" s="35"/>
      <c r="G35" s="35">
        <f>G30+G33</f>
        <v>1258.3662799999997</v>
      </c>
      <c r="H35" s="35">
        <f t="shared" si="2"/>
        <v>36.639999999999873</v>
      </c>
      <c r="I35" s="36">
        <f t="shared" si="10"/>
        <v>2.9990351030183191E-2</v>
      </c>
      <c r="J35" s="36">
        <f t="shared" si="12"/>
        <v>0.39315349039764996</v>
      </c>
      <c r="K35" s="111">
        <f t="shared" si="13"/>
        <v>0.41040858582583195</v>
      </c>
    </row>
    <row r="36" spans="1:11" x14ac:dyDescent="0.2">
      <c r="A36" s="107" t="s">
        <v>42</v>
      </c>
      <c r="B36" s="73">
        <f>B8</f>
        <v>16440</v>
      </c>
      <c r="C36" s="34">
        <v>3.5999999999999999E-3</v>
      </c>
      <c r="D36" s="22">
        <f>B36*C36</f>
        <v>59.183999999999997</v>
      </c>
      <c r="E36" s="73">
        <f t="shared" si="6"/>
        <v>16440</v>
      </c>
      <c r="F36" s="34">
        <v>3.5999999999999999E-3</v>
      </c>
      <c r="G36" s="22">
        <f>E36*F36</f>
        <v>59.183999999999997</v>
      </c>
      <c r="H36" s="22">
        <f t="shared" si="2"/>
        <v>0</v>
      </c>
      <c r="I36" s="23">
        <f t="shared" si="10"/>
        <v>0</v>
      </c>
      <c r="J36" s="23">
        <f t="shared" si="12"/>
        <v>1.8490956524752491E-2</v>
      </c>
      <c r="K36" s="108">
        <f t="shared" si="13"/>
        <v>1.9302505263821948E-2</v>
      </c>
    </row>
    <row r="37" spans="1:11" x14ac:dyDescent="0.2">
      <c r="A37" s="107" t="s">
        <v>43</v>
      </c>
      <c r="B37" s="73">
        <f>B8</f>
        <v>16440</v>
      </c>
      <c r="C37" s="34">
        <v>2.0999999999999999E-3</v>
      </c>
      <c r="D37" s="22">
        <f>B37*C37</f>
        <v>34.524000000000001</v>
      </c>
      <c r="E37" s="73">
        <f t="shared" si="6"/>
        <v>16440</v>
      </c>
      <c r="F37" s="34">
        <v>2.0999999999999999E-3</v>
      </c>
      <c r="G37" s="22">
        <f>E37*F37</f>
        <v>34.524000000000001</v>
      </c>
      <c r="H37" s="22">
        <f>G37-D37</f>
        <v>0</v>
      </c>
      <c r="I37" s="23">
        <f t="shared" si="10"/>
        <v>0</v>
      </c>
      <c r="J37" s="23">
        <f t="shared" si="12"/>
        <v>1.0786391306105621E-2</v>
      </c>
      <c r="K37" s="108">
        <f t="shared" si="13"/>
        <v>1.125979473722947E-2</v>
      </c>
    </row>
    <row r="38" spans="1:11" x14ac:dyDescent="0.2">
      <c r="A38" s="107" t="s">
        <v>96</v>
      </c>
      <c r="B38" s="73">
        <f>B8</f>
        <v>16440</v>
      </c>
      <c r="C38" s="34">
        <v>0</v>
      </c>
      <c r="D38" s="22">
        <f>B38*C38</f>
        <v>0</v>
      </c>
      <c r="E38" s="73">
        <f t="shared" si="6"/>
        <v>16440</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2"/>
        <v>7.8107919897068854E-5</v>
      </c>
      <c r="K39" s="108">
        <f t="shared" si="13"/>
        <v>8.1535994795138678E-5</v>
      </c>
    </row>
    <row r="40" spans="1:11" s="1" customFormat="1" x14ac:dyDescent="0.2">
      <c r="A40" s="110" t="s">
        <v>45</v>
      </c>
      <c r="B40" s="74"/>
      <c r="C40" s="35"/>
      <c r="D40" s="35">
        <f>SUM(D36:D39)</f>
        <v>93.957999999999998</v>
      </c>
      <c r="E40" s="73"/>
      <c r="F40" s="35"/>
      <c r="G40" s="35">
        <f>SUM(G36:G39)</f>
        <v>93.957999999999998</v>
      </c>
      <c r="H40" s="35">
        <f t="shared" si="2"/>
        <v>0</v>
      </c>
      <c r="I40" s="36">
        <f t="shared" si="10"/>
        <v>0</v>
      </c>
      <c r="J40" s="36">
        <f t="shared" si="12"/>
        <v>2.9355455750755179E-2</v>
      </c>
      <c r="K40" s="111">
        <f t="shared" si="13"/>
        <v>3.0643835995846556E-2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2"/>
        <v>0</v>
      </c>
      <c r="I41" s="117">
        <f t="shared" si="10"/>
        <v>0</v>
      </c>
      <c r="J41" s="117">
        <f t="shared" si="12"/>
        <v>3.2805326356768916E-2</v>
      </c>
      <c r="K41" s="118">
        <f t="shared" si="13"/>
        <v>3.424511781395824E-2</v>
      </c>
    </row>
    <row r="42" spans="1:11" s="1" customFormat="1" x14ac:dyDescent="0.2">
      <c r="A42" s="37" t="s">
        <v>101</v>
      </c>
      <c r="B42" s="38"/>
      <c r="C42" s="39"/>
      <c r="D42" s="39">
        <f>SUM(D14,D25,D26,D27,D33,D40,D41)</f>
        <v>3011.6454800000001</v>
      </c>
      <c r="E42" s="38"/>
      <c r="F42" s="39"/>
      <c r="G42" s="39">
        <f>SUM(G14,G25,G26,G27,G33,G40,G41)</f>
        <v>3048.28548</v>
      </c>
      <c r="H42" s="39">
        <f t="shared" si="2"/>
        <v>36.639999999999873</v>
      </c>
      <c r="I42" s="40">
        <f t="shared" si="10"/>
        <v>1.2166106616240856E-2</v>
      </c>
      <c r="J42" s="40">
        <f t="shared" si="12"/>
        <v>0.95238095238095233</v>
      </c>
      <c r="K42" s="41"/>
    </row>
    <row r="43" spans="1:11" x14ac:dyDescent="0.2">
      <c r="A43" s="153" t="s">
        <v>102</v>
      </c>
      <c r="B43" s="43"/>
      <c r="C43" s="26">
        <v>0.13</v>
      </c>
      <c r="D43" s="26">
        <f>D42*C43</f>
        <v>391.51391240000004</v>
      </c>
      <c r="E43" s="26"/>
      <c r="F43" s="26">
        <f>C43</f>
        <v>0.13</v>
      </c>
      <c r="G43" s="26">
        <f>G42*F43</f>
        <v>396.27711240000002</v>
      </c>
      <c r="H43" s="26">
        <f t="shared" si="2"/>
        <v>4.7631999999999834</v>
      </c>
      <c r="I43" s="44">
        <f t="shared" si="10"/>
        <v>1.2166106616240856E-2</v>
      </c>
      <c r="J43" s="44">
        <f t="shared" si="12"/>
        <v>0.12380952380952381</v>
      </c>
      <c r="K43" s="45"/>
    </row>
    <row r="44" spans="1:11" s="1" customFormat="1" x14ac:dyDescent="0.2">
      <c r="A44" s="46" t="s">
        <v>103</v>
      </c>
      <c r="B44" s="24"/>
      <c r="C44" s="25"/>
      <c r="D44" s="25">
        <f>SUM(D42:D43)</f>
        <v>3403.1593924000003</v>
      </c>
      <c r="E44" s="25"/>
      <c r="F44" s="25"/>
      <c r="G44" s="25">
        <f>SUM(G42:G43)</f>
        <v>3444.5625924000001</v>
      </c>
      <c r="H44" s="25">
        <f t="shared" si="2"/>
        <v>41.403199999999742</v>
      </c>
      <c r="I44" s="27">
        <f t="shared" si="10"/>
        <v>1.2166106616240823E-2</v>
      </c>
      <c r="J44" s="27">
        <f t="shared" si="12"/>
        <v>1.0761904761904761</v>
      </c>
      <c r="K44" s="47"/>
    </row>
    <row r="45" spans="1:11" x14ac:dyDescent="0.2">
      <c r="A45" s="42" t="s">
        <v>104</v>
      </c>
      <c r="B45" s="43"/>
      <c r="C45" s="26">
        <v>-0.08</v>
      </c>
      <c r="D45" s="26">
        <f>D42*C45</f>
        <v>-240.93163840000003</v>
      </c>
      <c r="E45" s="26"/>
      <c r="F45" s="26">
        <f>C45</f>
        <v>-0.08</v>
      </c>
      <c r="G45" s="26">
        <f>G42*F45</f>
        <v>-243.86283840000002</v>
      </c>
      <c r="H45" s="26">
        <f t="shared" si="2"/>
        <v>-2.9311999999999898</v>
      </c>
      <c r="I45" s="44">
        <f t="shared" si="10"/>
        <v>-1.2166106616240856E-2</v>
      </c>
      <c r="J45" s="44">
        <f t="shared" si="12"/>
        <v>-7.6190476190476183E-2</v>
      </c>
      <c r="K45" s="45"/>
    </row>
    <row r="46" spans="1:11" s="1" customFormat="1" ht="13.5" thickBot="1" x14ac:dyDescent="0.25">
      <c r="A46" s="48" t="s">
        <v>105</v>
      </c>
      <c r="B46" s="49"/>
      <c r="C46" s="50"/>
      <c r="D46" s="50">
        <f>SUM(D44:D45)</f>
        <v>3162.2277540000005</v>
      </c>
      <c r="E46" s="50"/>
      <c r="F46" s="50"/>
      <c r="G46" s="50">
        <f>SUM(G44:G45)</f>
        <v>3200.6997540000002</v>
      </c>
      <c r="H46" s="50">
        <f t="shared" si="2"/>
        <v>38.471999999999753</v>
      </c>
      <c r="I46" s="51">
        <f t="shared" si="10"/>
        <v>1.216610661624082E-2</v>
      </c>
      <c r="J46" s="51">
        <f t="shared" si="12"/>
        <v>1</v>
      </c>
      <c r="K46" s="52"/>
    </row>
    <row r="47" spans="1:11" x14ac:dyDescent="0.2">
      <c r="A47" s="53" t="s">
        <v>106</v>
      </c>
      <c r="B47" s="54"/>
      <c r="C47" s="55"/>
      <c r="D47" s="55">
        <f>SUM(D18,D25,D26,D28,D33,D40,D41)</f>
        <v>2883.4842800000006</v>
      </c>
      <c r="E47" s="55"/>
      <c r="F47" s="55"/>
      <c r="G47" s="55">
        <f>SUM(G18,G25,G26,G28,G33,G40,G41)</f>
        <v>2920.1242800000005</v>
      </c>
      <c r="H47" s="55">
        <f>G47-D47</f>
        <v>36.639999999999873</v>
      </c>
      <c r="I47" s="56">
        <f t="shared" si="10"/>
        <v>1.2706849228947371E-2</v>
      </c>
      <c r="J47" s="56"/>
      <c r="K47" s="57">
        <f>G47/$G$51</f>
        <v>0.95238095238095244</v>
      </c>
    </row>
    <row r="48" spans="1:11" x14ac:dyDescent="0.2">
      <c r="A48" s="58" t="s">
        <v>102</v>
      </c>
      <c r="B48" s="59"/>
      <c r="C48" s="31">
        <v>0.13</v>
      </c>
      <c r="D48" s="31">
        <f>D47*C48</f>
        <v>374.8529564000001</v>
      </c>
      <c r="E48" s="31"/>
      <c r="F48" s="31">
        <f>C48</f>
        <v>0.13</v>
      </c>
      <c r="G48" s="31">
        <f>G47*F48</f>
        <v>379.61615640000008</v>
      </c>
      <c r="H48" s="31">
        <f>G48-D48</f>
        <v>4.7631999999999834</v>
      </c>
      <c r="I48" s="32">
        <f t="shared" si="10"/>
        <v>1.2706849228947371E-2</v>
      </c>
      <c r="J48" s="32"/>
      <c r="K48" s="60">
        <f>G48/$G$51</f>
        <v>0.12380952380952381</v>
      </c>
    </row>
    <row r="49" spans="1:11" x14ac:dyDescent="0.2">
      <c r="A49" s="149" t="s">
        <v>107</v>
      </c>
      <c r="B49" s="29"/>
      <c r="C49" s="30"/>
      <c r="D49" s="30">
        <f>SUM(D47:D48)</f>
        <v>3258.3372364000006</v>
      </c>
      <c r="E49" s="30"/>
      <c r="F49" s="30"/>
      <c r="G49" s="30">
        <f>SUM(G47:G48)</f>
        <v>3299.7404364000004</v>
      </c>
      <c r="H49" s="30">
        <f>G49-D49</f>
        <v>41.403199999999742</v>
      </c>
      <c r="I49" s="33">
        <f t="shared" si="10"/>
        <v>1.2706849228947336E-2</v>
      </c>
      <c r="J49" s="33"/>
      <c r="K49" s="62">
        <f>G49/$G$51</f>
        <v>1.0761904761904761</v>
      </c>
    </row>
    <row r="50" spans="1:11" x14ac:dyDescent="0.2">
      <c r="A50" s="58" t="s">
        <v>104</v>
      </c>
      <c r="B50" s="59"/>
      <c r="C50" s="31">
        <v>-0.08</v>
      </c>
      <c r="D50" s="31">
        <f>D47*C50</f>
        <v>-230.67874240000006</v>
      </c>
      <c r="E50" s="31"/>
      <c r="F50" s="31">
        <f>C50</f>
        <v>-0.08</v>
      </c>
      <c r="G50" s="31">
        <f>G47*F50</f>
        <v>-233.60994240000005</v>
      </c>
      <c r="H50" s="31">
        <f>G50-D50</f>
        <v>-2.9311999999999898</v>
      </c>
      <c r="I50" s="32">
        <f t="shared" si="10"/>
        <v>-1.2706849228947371E-2</v>
      </c>
      <c r="J50" s="32"/>
      <c r="K50" s="60">
        <f>G50/$G$51</f>
        <v>-7.6190476190476197E-2</v>
      </c>
    </row>
    <row r="51" spans="1:11" ht="13.5" thickBot="1" x14ac:dyDescent="0.25">
      <c r="A51" s="63" t="s">
        <v>116</v>
      </c>
      <c r="B51" s="64"/>
      <c r="C51" s="65"/>
      <c r="D51" s="65">
        <f>SUM(D49:D50)</f>
        <v>3027.6584940000007</v>
      </c>
      <c r="E51" s="65"/>
      <c r="F51" s="65"/>
      <c r="G51" s="65">
        <f>SUM(G49:G50)</f>
        <v>3066.1304940000005</v>
      </c>
      <c r="H51" s="65">
        <f>G51-D51</f>
        <v>38.471999999999753</v>
      </c>
      <c r="I51" s="66">
        <f t="shared" si="10"/>
        <v>1.2706849228947333E-2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4" orientation="landscape" r:id="rId1"/>
  <headerFooter>
    <oddHeader xml:space="preserve">&amp;RUpdated: 2017-06-07
EB-2017-0049
Exhibit H1-4-1
Attachment 2
Page &amp;P of &amp;N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118</v>
      </c>
      <c r="B1" s="186"/>
      <c r="C1" s="186"/>
      <c r="D1" s="186"/>
      <c r="E1" s="186"/>
      <c r="F1" s="186"/>
      <c r="G1" s="186"/>
      <c r="H1" s="186"/>
      <c r="I1" s="186"/>
      <c r="J1" s="187"/>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Impacts'!$A$6:$Y$18,2,0)</f>
        <v>1.05</v>
      </c>
    </row>
    <row r="7" spans="1:10" x14ac:dyDescent="0.2">
      <c r="A7" s="81" t="s">
        <v>48</v>
      </c>
      <c r="B7" s="82">
        <f>B4/(B5*730)</f>
        <v>0.34246575342465752</v>
      </c>
    </row>
    <row r="8" spans="1:10" x14ac:dyDescent="0.2">
      <c r="A8" s="15" t="s">
        <v>15</v>
      </c>
      <c r="B8" s="79">
        <f>VLOOKUP($B$3,'Data for Bill Impacts'!$A$6:$Y$18,4,0)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15750</v>
      </c>
      <c r="C13" s="103">
        <v>9.0999999999999998E-2</v>
      </c>
      <c r="D13" s="104">
        <f>B13*C13</f>
        <v>1433.25</v>
      </c>
      <c r="E13" s="102">
        <f>B13</f>
        <v>15750</v>
      </c>
      <c r="F13" s="103">
        <f>C13</f>
        <v>9.0999999999999998E-2</v>
      </c>
      <c r="G13" s="104">
        <f>E13*F13</f>
        <v>1433.25</v>
      </c>
      <c r="H13" s="104">
        <f>G13-D13</f>
        <v>0</v>
      </c>
      <c r="I13" s="105">
        <f t="shared" ref="I13:I18" si="0">IF(ISERROR(H13/ABS(D13)),"N/A",(H13/ABS(D13)))</f>
        <v>0</v>
      </c>
      <c r="J13" s="123">
        <f t="shared" ref="J13:J21" si="1">G13/$G$38</f>
        <v>0.49417618733395513</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1433.25</v>
      </c>
      <c r="E15" s="76"/>
      <c r="F15" s="25"/>
      <c r="G15" s="25">
        <f>SUM(G13:G14)</f>
        <v>1433.25</v>
      </c>
      <c r="H15" s="25">
        <f t="shared" si="3"/>
        <v>0</v>
      </c>
      <c r="I15" s="27">
        <f t="shared" si="0"/>
        <v>0</v>
      </c>
      <c r="J15" s="47">
        <f t="shared" si="1"/>
        <v>0.49417618733395513</v>
      </c>
    </row>
    <row r="16" spans="1:10" s="1" customFormat="1" x14ac:dyDescent="0.2">
      <c r="A16" s="107" t="s">
        <v>38</v>
      </c>
      <c r="B16" s="73">
        <v>1</v>
      </c>
      <c r="C16" s="78">
        <f>VLOOKUP($B$3,'Data for Bill Impacts'!$A$6:$Y$18,7,0)</f>
        <v>100.72</v>
      </c>
      <c r="D16" s="22">
        <f>B16*C16</f>
        <v>100.72</v>
      </c>
      <c r="E16" s="73">
        <f t="shared" ref="E16:E33" si="4">B16</f>
        <v>1</v>
      </c>
      <c r="F16" s="78">
        <f>VLOOKUP($B$3,'Data for Bill Impacts'!$A$6:$Y$18,17,0)</f>
        <v>102.72</v>
      </c>
      <c r="G16" s="22">
        <f>E16*F16</f>
        <v>102.72</v>
      </c>
      <c r="H16" s="22">
        <f t="shared" si="3"/>
        <v>2</v>
      </c>
      <c r="I16" s="23">
        <f t="shared" si="0"/>
        <v>1.9857029388403495E-2</v>
      </c>
      <c r="J16" s="124">
        <f t="shared" si="1"/>
        <v>3.5417253070255623E-2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121">
        <f>VLOOKUP($B$3,'Data for Bill Impacts'!$A$6:$Y$18,13,0)</f>
        <v>1.7999999999999999E-2</v>
      </c>
      <c r="D19" s="22">
        <f t="shared" si="6"/>
        <v>1.7999999999999999E-2</v>
      </c>
      <c r="E19" s="73">
        <f t="shared" si="4"/>
        <v>1</v>
      </c>
      <c r="F19" s="121">
        <f>VLOOKUP($B$3,'Data for Bill Impacts'!$A$6:$Y$18,22,0)</f>
        <v>1.7999999999999999E-2</v>
      </c>
      <c r="G19" s="22">
        <f t="shared" si="5"/>
        <v>1.7999999999999999E-2</v>
      </c>
      <c r="H19" s="22">
        <f t="shared" si="3"/>
        <v>0</v>
      </c>
      <c r="I19" s="23">
        <f>IF(ISERROR(H19/ABS(D19)),"N/A",(H19/ABS(D19)))</f>
        <v>0</v>
      </c>
      <c r="J19" s="124">
        <f t="shared" si="1"/>
        <v>6.2062943464232977E-6</v>
      </c>
    </row>
    <row r="20" spans="1:10" x14ac:dyDescent="0.2">
      <c r="A20" s="107" t="s">
        <v>39</v>
      </c>
      <c r="B20" s="73">
        <f>IF($B$10="kWh",$B$4,$B$5)</f>
        <v>60</v>
      </c>
      <c r="C20" s="78">
        <f>VLOOKUP($B$3,'Data for Bill Impacts'!$A$6:$Y$18,10,0)</f>
        <v>9.6226000000000003</v>
      </c>
      <c r="D20" s="22">
        <f>B20*C20</f>
        <v>577.35599999999999</v>
      </c>
      <c r="E20" s="73">
        <f t="shared" si="4"/>
        <v>60</v>
      </c>
      <c r="F20" s="125">
        <f>VLOOKUP($B$3,'Data for Bill Impacts'!$A$6:$Y$18,19,0)</f>
        <v>9.9799000000000007</v>
      </c>
      <c r="G20" s="22">
        <f>E20*F20</f>
        <v>598.7940000000001</v>
      </c>
      <c r="H20" s="22">
        <f t="shared" si="3"/>
        <v>21.438000000000102</v>
      </c>
      <c r="I20" s="23">
        <f t="shared" ref="I20" si="7">IF(ISERROR(H20/D20),0,(H20/D20))</f>
        <v>3.7131336644981784E-2</v>
      </c>
      <c r="J20" s="124">
        <f t="shared" si="1"/>
        <v>0.20646065649289963</v>
      </c>
    </row>
    <row r="21" spans="1:10" s="1" customFormat="1" x14ac:dyDescent="0.2">
      <c r="A21" s="107" t="s">
        <v>122</v>
      </c>
      <c r="B21" s="73">
        <f>IF($B$10="kWh",$B$4,$B$5)</f>
        <v>60</v>
      </c>
      <c r="C21" s="125">
        <f>VLOOKUP($B$3,'Data for Bill Impacts'!$A$6:$Y$18,14,0)</f>
        <v>1.1179999999999999E-2</v>
      </c>
      <c r="D21" s="22">
        <f>B21*C21</f>
        <v>0.67079999999999995</v>
      </c>
      <c r="E21" s="73">
        <f t="shared" si="4"/>
        <v>60</v>
      </c>
      <c r="F21" s="125">
        <f>VLOOKUP($B$3,'Data for Bill Impacts'!$A$6:$Y$18,23,0)</f>
        <v>1.1179999999999999E-2</v>
      </c>
      <c r="G21" s="22">
        <f>E21*F21</f>
        <v>0.67079999999999995</v>
      </c>
      <c r="H21" s="22">
        <f t="shared" si="3"/>
        <v>0</v>
      </c>
      <c r="I21" s="23">
        <f>IF(ISERROR(H21/D21),0,(H21/D21))</f>
        <v>0</v>
      </c>
      <c r="J21" s="124">
        <f t="shared" si="1"/>
        <v>2.3128790264337492E-4</v>
      </c>
    </row>
    <row r="22" spans="1:10" s="1" customFormat="1" x14ac:dyDescent="0.2">
      <c r="A22" s="107" t="s">
        <v>108</v>
      </c>
      <c r="B22" s="73">
        <f>B9</f>
        <v>15750</v>
      </c>
      <c r="C22" s="125">
        <f>VLOOKUP($B$3,'Data for Bill Impacts'!$A$6:$Y$18,20,0)</f>
        <v>0</v>
      </c>
      <c r="D22" s="22">
        <f>B22*C22</f>
        <v>0</v>
      </c>
      <c r="E22" s="73">
        <f>B22</f>
        <v>15750</v>
      </c>
      <c r="F22" s="125">
        <f>VLOOKUP($B$3,'Data for Bill Impacts'!$A$6:$Y$18,21,0)</f>
        <v>0</v>
      </c>
      <c r="G22" s="22">
        <f>E22*F22</f>
        <v>0</v>
      </c>
      <c r="H22" s="22">
        <f t="shared" ref="H22" si="8">G22-D22</f>
        <v>0</v>
      </c>
      <c r="I22" s="23" t="str">
        <f t="shared" ref="I22:I38" si="9">IF(ISERROR(H22/ABS(D22)),"N/A",(H22/ABS(D22)))</f>
        <v>N/A</v>
      </c>
      <c r="J22" s="124">
        <f t="shared" ref="J22" si="10">G22/$G$38</f>
        <v>0</v>
      </c>
    </row>
    <row r="23" spans="1:10" x14ac:dyDescent="0.2">
      <c r="A23" s="110" t="s">
        <v>93</v>
      </c>
      <c r="B23" s="74"/>
      <c r="C23" s="35"/>
      <c r="D23" s="35">
        <f>SUM(D16:D22)</f>
        <v>678.76480000000004</v>
      </c>
      <c r="E23" s="73"/>
      <c r="F23" s="35"/>
      <c r="G23" s="35">
        <f>SUM(G16:G22)</f>
        <v>702.20280000000014</v>
      </c>
      <c r="H23" s="35">
        <f t="shared" si="3"/>
        <v>23.438000000000102</v>
      </c>
      <c r="I23" s="36">
        <f t="shared" si="9"/>
        <v>3.4530370461167255E-2</v>
      </c>
      <c r="J23" s="111">
        <f t="shared" ref="J23:J29" si="11">G23/$G$38</f>
        <v>0.24211540376014506</v>
      </c>
    </row>
    <row r="24" spans="1:10" x14ac:dyDescent="0.2">
      <c r="A24" s="107" t="s">
        <v>40</v>
      </c>
      <c r="B24" s="73">
        <f>B5</f>
        <v>60</v>
      </c>
      <c r="C24" s="78">
        <f>VLOOKUP($B$3,'Data for Bill Impacts'!$A$6:$Y$18,15,0)</f>
        <v>2.2310400000000001</v>
      </c>
      <c r="D24" s="22">
        <f>B24*C24</f>
        <v>133.86240000000001</v>
      </c>
      <c r="E24" s="73">
        <f t="shared" si="4"/>
        <v>60</v>
      </c>
      <c r="F24" s="125">
        <f>VLOOKUP($B$3,'Data for Bill Impacts'!$A$6:$Y$18,24,0)</f>
        <v>2.2310400000000001</v>
      </c>
      <c r="G24" s="22">
        <f>E24*F24</f>
        <v>133.86240000000001</v>
      </c>
      <c r="H24" s="22">
        <f t="shared" si="3"/>
        <v>0</v>
      </c>
      <c r="I24" s="23">
        <f t="shared" si="9"/>
        <v>0</v>
      </c>
      <c r="J24" s="124">
        <f t="shared" si="11"/>
        <v>4.6154969795480789E-2</v>
      </c>
    </row>
    <row r="25" spans="1:10" s="1" customFormat="1" x14ac:dyDescent="0.2">
      <c r="A25" s="107" t="s">
        <v>41</v>
      </c>
      <c r="B25" s="73">
        <f>B5</f>
        <v>60</v>
      </c>
      <c r="C25" s="78">
        <f>VLOOKUP($B$3,'Data for Bill Impacts'!$A$6:$Y$18,16,0)</f>
        <v>1.7046749999999999</v>
      </c>
      <c r="D25" s="22">
        <f>B25*C25</f>
        <v>102.28049999999999</v>
      </c>
      <c r="E25" s="73">
        <f t="shared" si="4"/>
        <v>60</v>
      </c>
      <c r="F25" s="125">
        <f>VLOOKUP($B$3,'Data for Bill Impacts'!$A$6:$Y$18,25,0)</f>
        <v>1.7046749999999999</v>
      </c>
      <c r="G25" s="22">
        <f>E25*F25</f>
        <v>102.28049999999999</v>
      </c>
      <c r="H25" s="22">
        <f t="shared" si="3"/>
        <v>0</v>
      </c>
      <c r="I25" s="23">
        <f t="shared" si="9"/>
        <v>0</v>
      </c>
      <c r="J25" s="124">
        <f t="shared" si="11"/>
        <v>3.5265716049963786E-2</v>
      </c>
    </row>
    <row r="26" spans="1:10" x14ac:dyDescent="0.2">
      <c r="A26" s="110" t="s">
        <v>76</v>
      </c>
      <c r="B26" s="74"/>
      <c r="C26" s="35"/>
      <c r="D26" s="35">
        <f>SUM(D24:D25)</f>
        <v>236.1429</v>
      </c>
      <c r="E26" s="73"/>
      <c r="F26" s="35"/>
      <c r="G26" s="35">
        <f>SUM(G24:G25)</f>
        <v>236.1429</v>
      </c>
      <c r="H26" s="35">
        <f t="shared" si="3"/>
        <v>0</v>
      </c>
      <c r="I26" s="36">
        <f t="shared" si="9"/>
        <v>0</v>
      </c>
      <c r="J26" s="111">
        <f t="shared" si="11"/>
        <v>8.1420685845444568E-2</v>
      </c>
    </row>
    <row r="27" spans="1:10" s="1" customFormat="1" x14ac:dyDescent="0.2">
      <c r="A27" s="110" t="s">
        <v>80</v>
      </c>
      <c r="B27" s="74"/>
      <c r="C27" s="35"/>
      <c r="D27" s="35">
        <f>D23+D26</f>
        <v>914.90769999999998</v>
      </c>
      <c r="E27" s="73"/>
      <c r="F27" s="35"/>
      <c r="G27" s="35">
        <f>G23+G26</f>
        <v>938.34570000000008</v>
      </c>
      <c r="H27" s="35">
        <f t="shared" si="3"/>
        <v>23.438000000000102</v>
      </c>
      <c r="I27" s="36">
        <f t="shared" si="9"/>
        <v>2.5617884733072093E-2</v>
      </c>
      <c r="J27" s="111">
        <f t="shared" si="11"/>
        <v>0.32353608960558961</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3"/>
        <v>0</v>
      </c>
      <c r="I28" s="23">
        <f t="shared" si="9"/>
        <v>0</v>
      </c>
      <c r="J28" s="124">
        <f t="shared" si="11"/>
        <v>1.9549827191233389E-2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9"/>
        <v>0</v>
      </c>
      <c r="J29" s="124">
        <f t="shared" si="11"/>
        <v>1.140406586155281E-2</v>
      </c>
    </row>
    <row r="30" spans="1:10" x14ac:dyDescent="0.2">
      <c r="A30" s="107" t="s">
        <v>96</v>
      </c>
      <c r="B30" s="73">
        <f>B9</f>
        <v>15750</v>
      </c>
      <c r="C30" s="34">
        <v>0</v>
      </c>
      <c r="D30" s="22">
        <f>B30*C30</f>
        <v>0</v>
      </c>
      <c r="E30" s="73">
        <f t="shared" si="4"/>
        <v>15750</v>
      </c>
      <c r="F30" s="34">
        <v>0</v>
      </c>
      <c r="G30" s="22">
        <f>E30*F30</f>
        <v>0</v>
      </c>
      <c r="H30" s="22">
        <f>G30-D30</f>
        <v>0</v>
      </c>
      <c r="I30" s="23" t="str">
        <f t="shared" si="9"/>
        <v>N/A</v>
      </c>
      <c r="J30" s="124">
        <f t="shared" ref="J30" si="12">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3">G31/$G$38</f>
        <v>8.6198532589212482E-5</v>
      </c>
    </row>
    <row r="32" spans="1:10" x14ac:dyDescent="0.2">
      <c r="A32" s="110" t="s">
        <v>45</v>
      </c>
      <c r="B32" s="74"/>
      <c r="C32" s="35"/>
      <c r="D32" s="35">
        <f>SUM(D28:D31)</f>
        <v>90.024999999999991</v>
      </c>
      <c r="E32" s="73"/>
      <c r="F32" s="35"/>
      <c r="G32" s="35">
        <f>SUM(G28:G31)</f>
        <v>90.024999999999991</v>
      </c>
      <c r="H32" s="35">
        <f t="shared" si="3"/>
        <v>0</v>
      </c>
      <c r="I32" s="36">
        <f t="shared" si="9"/>
        <v>0</v>
      </c>
      <c r="J32" s="111">
        <f t="shared" si="13"/>
        <v>3.104009158537541E-2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3"/>
        <v>0</v>
      </c>
      <c r="I33" s="117">
        <f t="shared" si="9"/>
        <v>0</v>
      </c>
      <c r="J33" s="118">
        <f t="shared" si="13"/>
        <v>3.620338368746924E-2</v>
      </c>
    </row>
    <row r="34" spans="1:10" x14ac:dyDescent="0.2">
      <c r="A34" s="37" t="s">
        <v>111</v>
      </c>
      <c r="B34" s="38"/>
      <c r="C34" s="39"/>
      <c r="D34" s="39">
        <f>SUM(D15,D23,D26,D32,D33)</f>
        <v>2543.1826999999998</v>
      </c>
      <c r="E34" s="38"/>
      <c r="F34" s="39"/>
      <c r="G34" s="39">
        <f>SUM(G15,G23,G26,G32,G33)</f>
        <v>2566.6206999999999</v>
      </c>
      <c r="H34" s="39">
        <f t="shared" si="3"/>
        <v>23.438000000000102</v>
      </c>
      <c r="I34" s="40">
        <f t="shared" si="9"/>
        <v>9.2160111029381039E-3</v>
      </c>
      <c r="J34" s="41">
        <f t="shared" si="13"/>
        <v>0.88495575221238931</v>
      </c>
    </row>
    <row r="35" spans="1:10" x14ac:dyDescent="0.2">
      <c r="A35" s="46" t="s">
        <v>102</v>
      </c>
      <c r="B35" s="43"/>
      <c r="C35" s="26">
        <v>0.13</v>
      </c>
      <c r="D35" s="26">
        <f>D34*C35</f>
        <v>330.61375099999998</v>
      </c>
      <c r="E35" s="26"/>
      <c r="F35" s="26">
        <f>C35</f>
        <v>0.13</v>
      </c>
      <c r="G35" s="26">
        <f>G34*F35</f>
        <v>333.66069099999999</v>
      </c>
      <c r="H35" s="26">
        <f t="shared" si="3"/>
        <v>3.0469400000000064</v>
      </c>
      <c r="I35" s="44">
        <f t="shared" si="9"/>
        <v>9.2160111029380831E-3</v>
      </c>
      <c r="J35" s="45">
        <f t="shared" si="13"/>
        <v>0.11504424778761062</v>
      </c>
    </row>
    <row r="36" spans="1:10" x14ac:dyDescent="0.2">
      <c r="A36" s="46" t="s">
        <v>103</v>
      </c>
      <c r="B36" s="24"/>
      <c r="C36" s="25"/>
      <c r="D36" s="25">
        <f>SUM(D34:D35)</f>
        <v>2873.7964509999997</v>
      </c>
      <c r="E36" s="25"/>
      <c r="F36" s="25"/>
      <c r="G36" s="25">
        <f>SUM(G34:G35)</f>
        <v>2900.281391</v>
      </c>
      <c r="H36" s="25">
        <f t="shared" si="3"/>
        <v>26.484940000000279</v>
      </c>
      <c r="I36" s="27">
        <f t="shared" si="9"/>
        <v>9.2160111029381611E-3</v>
      </c>
      <c r="J36" s="47">
        <f t="shared" si="13"/>
        <v>1</v>
      </c>
    </row>
    <row r="37" spans="1:10" x14ac:dyDescent="0.2">
      <c r="A37" s="46" t="s">
        <v>104</v>
      </c>
      <c r="B37" s="43"/>
      <c r="C37" s="26">
        <v>0</v>
      </c>
      <c r="D37" s="26">
        <f>D34*C37</f>
        <v>0</v>
      </c>
      <c r="E37" s="26"/>
      <c r="F37" s="26">
        <f>C37</f>
        <v>0</v>
      </c>
      <c r="G37" s="26">
        <f>G34*F37</f>
        <v>0</v>
      </c>
      <c r="H37" s="26">
        <f t="shared" si="3"/>
        <v>0</v>
      </c>
      <c r="I37" s="44" t="str">
        <f t="shared" si="9"/>
        <v>N/A</v>
      </c>
      <c r="J37" s="45">
        <f t="shared" si="13"/>
        <v>0</v>
      </c>
    </row>
    <row r="38" spans="1:10" ht="13.5" thickBot="1" x14ac:dyDescent="0.25">
      <c r="A38" s="46" t="s">
        <v>105</v>
      </c>
      <c r="B38" s="49"/>
      <c r="C38" s="50"/>
      <c r="D38" s="50">
        <f>SUM(D36:D37)</f>
        <v>2873.7964509999997</v>
      </c>
      <c r="E38" s="50"/>
      <c r="F38" s="50"/>
      <c r="G38" s="50">
        <f>SUM(G36:G37)</f>
        <v>2900.281391</v>
      </c>
      <c r="H38" s="50">
        <f t="shared" si="3"/>
        <v>26.484940000000279</v>
      </c>
      <c r="I38" s="51">
        <f t="shared" si="9"/>
        <v>9.2160111029381611E-3</v>
      </c>
      <c r="J38" s="52">
        <f t="shared" si="13"/>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119</v>
      </c>
      <c r="B1" s="186"/>
      <c r="C1" s="186"/>
      <c r="D1" s="186"/>
      <c r="E1" s="186"/>
      <c r="F1" s="186"/>
      <c r="G1" s="186"/>
      <c r="H1" s="186"/>
      <c r="I1" s="186"/>
      <c r="J1" s="187"/>
    </row>
    <row r="3" spans="1:10" x14ac:dyDescent="0.2">
      <c r="A3" s="13" t="s">
        <v>13</v>
      </c>
      <c r="B3" s="13" t="s">
        <v>7</v>
      </c>
    </row>
    <row r="4" spans="1:10" x14ac:dyDescent="0.2">
      <c r="A4" s="15" t="s">
        <v>62</v>
      </c>
      <c r="B4" s="79">
        <f>VLOOKUP(B3,'Data for Bill Impacts'!A22:D34,3,FALSE)</f>
        <v>50525</v>
      </c>
    </row>
    <row r="5" spans="1:10" x14ac:dyDescent="0.2">
      <c r="A5" s="15" t="s">
        <v>16</v>
      </c>
      <c r="B5" s="79">
        <f>VLOOKUP(B3,'Data for Bill Impacts'!A22:D34,4,FALSE)</f>
        <v>135</v>
      </c>
    </row>
    <row r="6" spans="1:10" x14ac:dyDescent="0.2">
      <c r="A6" s="15" t="s">
        <v>20</v>
      </c>
      <c r="B6" s="80">
        <f>VLOOKUP($B$3,'Data for Bill Impacts'!$A$6:$Y$18,2,0)</f>
        <v>1.05</v>
      </c>
    </row>
    <row r="7" spans="1:10" x14ac:dyDescent="0.2">
      <c r="A7" s="81" t="s">
        <v>48</v>
      </c>
      <c r="B7" s="82">
        <f>B4/(B5*730)</f>
        <v>0.51268391679350589</v>
      </c>
    </row>
    <row r="8" spans="1:10" x14ac:dyDescent="0.2">
      <c r="A8" s="15" t="s">
        <v>15</v>
      </c>
      <c r="B8" s="79">
        <f>VLOOKUP($B$3,'Data for Bill Impacts'!$A$6:$Y$18,4,0)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53051.25</v>
      </c>
      <c r="C13" s="103">
        <v>9.0999999999999998E-2</v>
      </c>
      <c r="D13" s="104">
        <f>B13*C13</f>
        <v>4827.6637499999997</v>
      </c>
      <c r="E13" s="102">
        <f>B13</f>
        <v>53051.25</v>
      </c>
      <c r="F13" s="103">
        <f>C13</f>
        <v>9.0999999999999998E-2</v>
      </c>
      <c r="G13" s="104">
        <f>E13*F13</f>
        <v>4827.6637499999997</v>
      </c>
      <c r="H13" s="104">
        <f>G13-D13</f>
        <v>0</v>
      </c>
      <c r="I13" s="105">
        <f t="shared" ref="I13:I18" si="0">IF(ISERROR(H13/ABS(D13)),"N/A",(H13/ABS(D13)))</f>
        <v>0</v>
      </c>
      <c r="J13" s="123">
        <f t="shared" ref="J13:J21" si="1">G13/$G$38</f>
        <v>0.57216586662363556</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4827.6637499999997</v>
      </c>
      <c r="E15" s="76"/>
      <c r="F15" s="25"/>
      <c r="G15" s="25">
        <f>SUM(G13:G14)</f>
        <v>4827.6637499999997</v>
      </c>
      <c r="H15" s="25">
        <f t="shared" si="3"/>
        <v>0</v>
      </c>
      <c r="I15" s="27">
        <f t="shared" si="0"/>
        <v>0</v>
      </c>
      <c r="J15" s="47">
        <f t="shared" si="1"/>
        <v>0.57216586662363556</v>
      </c>
    </row>
    <row r="16" spans="1:10" s="1" customFormat="1" x14ac:dyDescent="0.2">
      <c r="A16" s="107" t="s">
        <v>38</v>
      </c>
      <c r="B16" s="73">
        <v>1</v>
      </c>
      <c r="C16" s="78">
        <f>VLOOKUP($B$3,'Data for Bill Impacts'!$A$6:$Y$18,7,0)</f>
        <v>100.72</v>
      </c>
      <c r="D16" s="22">
        <f>B16*C16</f>
        <v>100.72</v>
      </c>
      <c r="E16" s="73">
        <f t="shared" ref="E16:E33" si="4">B16</f>
        <v>1</v>
      </c>
      <c r="F16" s="78">
        <f>VLOOKUP($B$3,'Data for Bill Impacts'!$A$6:$Y$18,17,0)</f>
        <v>102.72</v>
      </c>
      <c r="G16" s="22">
        <f>E16*F16</f>
        <v>102.72</v>
      </c>
      <c r="H16" s="22">
        <f t="shared" si="3"/>
        <v>2</v>
      </c>
      <c r="I16" s="23">
        <f t="shared" si="0"/>
        <v>1.9857029388403495E-2</v>
      </c>
      <c r="J16" s="124">
        <f t="shared" si="1"/>
        <v>1.2174186286188604E-2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121">
        <f>VLOOKUP($B$3,'Data for Bill Impacts'!$A$6:$Y$18,13,0)</f>
        <v>1.7999999999999999E-2</v>
      </c>
      <c r="D19" s="22">
        <f t="shared" si="6"/>
        <v>1.7999999999999999E-2</v>
      </c>
      <c r="E19" s="73">
        <f t="shared" si="4"/>
        <v>1</v>
      </c>
      <c r="F19" s="121">
        <f>VLOOKUP($B$3,'Data for Bill Impacts'!$A$6:$Y$18,22,0)</f>
        <v>1.7999999999999999E-2</v>
      </c>
      <c r="G19" s="22">
        <f t="shared" si="5"/>
        <v>1.7999999999999999E-2</v>
      </c>
      <c r="H19" s="22">
        <f t="shared" si="3"/>
        <v>0</v>
      </c>
      <c r="I19" s="23">
        <f>IF(ISERROR(H19/ABS(D19)),"N/A",(H19/ABS(D19)))</f>
        <v>0</v>
      </c>
      <c r="J19" s="124">
        <f t="shared" si="1"/>
        <v>2.1333270361311806E-6</v>
      </c>
    </row>
    <row r="20" spans="1:10" x14ac:dyDescent="0.2">
      <c r="A20" s="107" t="s">
        <v>39</v>
      </c>
      <c r="B20" s="73">
        <f>IF($B$10="kWh",$B$4,$B$5)</f>
        <v>135</v>
      </c>
      <c r="C20" s="78">
        <f>VLOOKUP($B$3,'Data for Bill Impacts'!$A$6:$Y$18,10,0)</f>
        <v>9.6226000000000003</v>
      </c>
      <c r="D20" s="22">
        <f>B20*C20</f>
        <v>1299.0509999999999</v>
      </c>
      <c r="E20" s="73">
        <f t="shared" si="4"/>
        <v>135</v>
      </c>
      <c r="F20" s="125">
        <f>VLOOKUP($B$3,'Data for Bill Impacts'!$A$6:$Y$18,19,0)</f>
        <v>9.9799000000000007</v>
      </c>
      <c r="G20" s="22">
        <f>E20*F20</f>
        <v>1347.2865000000002</v>
      </c>
      <c r="H20" s="22">
        <f t="shared" si="3"/>
        <v>48.235500000000229</v>
      </c>
      <c r="I20" s="23">
        <f t="shared" ref="I20" si="7">IF(ISERROR(H20/D20),0,(H20/D20))</f>
        <v>3.7131336644981784E-2</v>
      </c>
      <c r="J20" s="124">
        <f t="shared" si="1"/>
        <v>0.15967792865914179</v>
      </c>
    </row>
    <row r="21" spans="1:10" s="1" customFormat="1" x14ac:dyDescent="0.2">
      <c r="A21" s="107" t="s">
        <v>122</v>
      </c>
      <c r="B21" s="73">
        <f>IF($B$10="kWh",$B$4,$B$5)</f>
        <v>135</v>
      </c>
      <c r="C21" s="125">
        <f>VLOOKUP($B$3,'Data for Bill Impacts'!$A$6:$Y$18,14,0)</f>
        <v>1.1179999999999999E-2</v>
      </c>
      <c r="D21" s="22">
        <f>B21*C21</f>
        <v>1.5092999999999999</v>
      </c>
      <c r="E21" s="73">
        <f t="shared" si="4"/>
        <v>135</v>
      </c>
      <c r="F21" s="125">
        <f>VLOOKUP($B$3,'Data for Bill Impacts'!$A$6:$Y$18,23,0)</f>
        <v>1.1179999999999999E-2</v>
      </c>
      <c r="G21" s="22">
        <f>E21*F21</f>
        <v>1.5092999999999999</v>
      </c>
      <c r="H21" s="22">
        <f t="shared" si="3"/>
        <v>0</v>
      </c>
      <c r="I21" s="23">
        <f>IF(ISERROR(H21/D21),0,(H21/D21))</f>
        <v>0</v>
      </c>
      <c r="J21" s="124">
        <f t="shared" si="1"/>
        <v>1.7887947197959948E-4</v>
      </c>
    </row>
    <row r="22" spans="1:10" s="1" customFormat="1" x14ac:dyDescent="0.2">
      <c r="A22" s="107" t="s">
        <v>108</v>
      </c>
      <c r="B22" s="73">
        <f>B9</f>
        <v>53051.25</v>
      </c>
      <c r="C22" s="125">
        <f>VLOOKUP($B$3,'Data for Bill Impacts'!$A$6:$Y$18,20,0)</f>
        <v>0</v>
      </c>
      <c r="D22" s="22">
        <f>B22*C22</f>
        <v>0</v>
      </c>
      <c r="E22" s="73">
        <f>B22</f>
        <v>53051.25</v>
      </c>
      <c r="F22" s="125">
        <f>VLOOKUP($B$3,'Data for Bill Impacts'!$A$6:$Y$18,21,0)</f>
        <v>0</v>
      </c>
      <c r="G22" s="22">
        <f>E22*F22</f>
        <v>0</v>
      </c>
      <c r="H22" s="22">
        <f t="shared" ref="H22" si="8">G22-D22</f>
        <v>0</v>
      </c>
      <c r="I22" s="23" t="str">
        <f t="shared" ref="I22:I38" si="9">IF(ISERROR(H22/ABS(D22)),"N/A",(H22/ABS(D22)))</f>
        <v>N/A</v>
      </c>
      <c r="J22" s="124">
        <f t="shared" ref="J22" si="10">G22/$G$38</f>
        <v>0</v>
      </c>
    </row>
    <row r="23" spans="1:10" x14ac:dyDescent="0.2">
      <c r="A23" s="110" t="s">
        <v>93</v>
      </c>
      <c r="B23" s="74"/>
      <c r="C23" s="35"/>
      <c r="D23" s="35">
        <f>SUM(D16:D22)</f>
        <v>1401.2982999999999</v>
      </c>
      <c r="E23" s="73"/>
      <c r="F23" s="35"/>
      <c r="G23" s="35">
        <f>SUM(G16:G22)</f>
        <v>1451.5338000000002</v>
      </c>
      <c r="H23" s="35">
        <f t="shared" si="3"/>
        <v>50.235500000000229</v>
      </c>
      <c r="I23" s="36">
        <f t="shared" si="9"/>
        <v>3.5849254937367889E-2</v>
      </c>
      <c r="J23" s="111">
        <f t="shared" ref="J23:J29" si="11">G23/$G$38</f>
        <v>0.17203312774434612</v>
      </c>
    </row>
    <row r="24" spans="1:10" x14ac:dyDescent="0.2">
      <c r="A24" s="107" t="s">
        <v>40</v>
      </c>
      <c r="B24" s="73">
        <f>B5</f>
        <v>135</v>
      </c>
      <c r="C24" s="78">
        <f>VLOOKUP($B$3,'Data for Bill Impacts'!$A$6:$Y$18,15,0)</f>
        <v>2.2310400000000001</v>
      </c>
      <c r="D24" s="22">
        <f>B24*C24</f>
        <v>301.19040000000001</v>
      </c>
      <c r="E24" s="73">
        <f t="shared" si="4"/>
        <v>135</v>
      </c>
      <c r="F24" s="125">
        <f>VLOOKUP($B$3,'Data for Bill Impacts'!$A$6:$Y$18,24,0)</f>
        <v>2.2310400000000001</v>
      </c>
      <c r="G24" s="22">
        <f>E24*F24</f>
        <v>301.19040000000001</v>
      </c>
      <c r="H24" s="22">
        <f t="shared" si="3"/>
        <v>0</v>
      </c>
      <c r="I24" s="23">
        <f t="shared" si="9"/>
        <v>0</v>
      </c>
      <c r="J24" s="124">
        <f t="shared" si="11"/>
        <v>3.5696534630175823E-2</v>
      </c>
    </row>
    <row r="25" spans="1:10" s="1" customFormat="1" x14ac:dyDescent="0.2">
      <c r="A25" s="107" t="s">
        <v>41</v>
      </c>
      <c r="B25" s="73">
        <f>B5</f>
        <v>135</v>
      </c>
      <c r="C25" s="78">
        <f>VLOOKUP($B$3,'Data for Bill Impacts'!$A$6:$Y$18,16,0)</f>
        <v>1.7046749999999999</v>
      </c>
      <c r="D25" s="22">
        <f>B25*C25</f>
        <v>230.131125</v>
      </c>
      <c r="E25" s="73">
        <f t="shared" si="4"/>
        <v>135</v>
      </c>
      <c r="F25" s="125">
        <f>VLOOKUP($B$3,'Data for Bill Impacts'!$A$6:$Y$18,25,0)</f>
        <v>1.7046749999999999</v>
      </c>
      <c r="G25" s="22">
        <f>E25*F25</f>
        <v>230.131125</v>
      </c>
      <c r="H25" s="22">
        <f t="shared" si="3"/>
        <v>0</v>
      </c>
      <c r="I25" s="23">
        <f t="shared" si="9"/>
        <v>0</v>
      </c>
      <c r="J25" s="124">
        <f t="shared" si="11"/>
        <v>2.7274719489876902E-2</v>
      </c>
    </row>
    <row r="26" spans="1:10" x14ac:dyDescent="0.2">
      <c r="A26" s="110" t="s">
        <v>76</v>
      </c>
      <c r="B26" s="74"/>
      <c r="C26" s="35"/>
      <c r="D26" s="35">
        <f>SUM(D24:D25)</f>
        <v>531.32152500000007</v>
      </c>
      <c r="E26" s="73"/>
      <c r="F26" s="35"/>
      <c r="G26" s="35">
        <f>SUM(G24:G25)</f>
        <v>531.32152500000007</v>
      </c>
      <c r="H26" s="35">
        <f t="shared" si="3"/>
        <v>0</v>
      </c>
      <c r="I26" s="36">
        <f t="shared" si="9"/>
        <v>0</v>
      </c>
      <c r="J26" s="111">
        <f t="shared" si="11"/>
        <v>6.2971254120052736E-2</v>
      </c>
    </row>
    <row r="27" spans="1:10" s="1" customFormat="1" x14ac:dyDescent="0.2">
      <c r="A27" s="110" t="s">
        <v>80</v>
      </c>
      <c r="B27" s="74"/>
      <c r="C27" s="35"/>
      <c r="D27" s="35">
        <f>D23+D26</f>
        <v>1932.619825</v>
      </c>
      <c r="E27" s="73"/>
      <c r="F27" s="35"/>
      <c r="G27" s="35">
        <f>G23+G26</f>
        <v>1982.8553250000002</v>
      </c>
      <c r="H27" s="35">
        <f t="shared" si="3"/>
        <v>50.235500000000229</v>
      </c>
      <c r="I27" s="36">
        <f t="shared" si="9"/>
        <v>2.5993472358175892E-2</v>
      </c>
      <c r="J27" s="111">
        <f t="shared" si="11"/>
        <v>0.23500438186439887</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3"/>
        <v>0</v>
      </c>
      <c r="I28" s="23">
        <f t="shared" si="9"/>
        <v>0</v>
      </c>
      <c r="J28" s="124">
        <f t="shared" si="11"/>
        <v>2.2635133185110859E-2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9"/>
        <v>0</v>
      </c>
      <c r="J29" s="124">
        <f t="shared" si="11"/>
        <v>1.3203827691314668E-2</v>
      </c>
    </row>
    <row r="30" spans="1:10" x14ac:dyDescent="0.2">
      <c r="A30" s="107" t="s">
        <v>96</v>
      </c>
      <c r="B30" s="73">
        <f>B9</f>
        <v>53051.25</v>
      </c>
      <c r="C30" s="34">
        <v>0</v>
      </c>
      <c r="D30" s="22">
        <f>B30*C30</f>
        <v>0</v>
      </c>
      <c r="E30" s="73">
        <f t="shared" si="4"/>
        <v>53051.25</v>
      </c>
      <c r="F30" s="34">
        <v>0</v>
      </c>
      <c r="G30" s="22">
        <f>E30*F30</f>
        <v>0</v>
      </c>
      <c r="H30" s="22">
        <f>G30-D30</f>
        <v>0</v>
      </c>
      <c r="I30" s="23" t="str">
        <f t="shared" si="9"/>
        <v>N/A</v>
      </c>
      <c r="J30" s="124">
        <f t="shared" ref="J30" si="12">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3">G31/$G$38</f>
        <v>2.9629542168488619E-5</v>
      </c>
    </row>
    <row r="32" spans="1:10" x14ac:dyDescent="0.2">
      <c r="A32" s="110" t="s">
        <v>45</v>
      </c>
      <c r="B32" s="74"/>
      <c r="C32" s="35"/>
      <c r="D32" s="35">
        <f>SUM(D28:D31)</f>
        <v>302.64212499999996</v>
      </c>
      <c r="E32" s="73"/>
      <c r="F32" s="35"/>
      <c r="G32" s="35">
        <f>SUM(G28:G31)</f>
        <v>302.64212499999996</v>
      </c>
      <c r="H32" s="35">
        <f t="shared" si="3"/>
        <v>0</v>
      </c>
      <c r="I32" s="36">
        <f t="shared" si="9"/>
        <v>0</v>
      </c>
      <c r="J32" s="111">
        <f t="shared" si="13"/>
        <v>3.5868590418594012E-2</v>
      </c>
    </row>
    <row r="33" spans="1:10" ht="13.5" thickBot="1" x14ac:dyDescent="0.25">
      <c r="A33" s="112" t="s">
        <v>46</v>
      </c>
      <c r="B33" s="113">
        <f>B4</f>
        <v>50525</v>
      </c>
      <c r="C33" s="114">
        <v>7.0000000000000001E-3</v>
      </c>
      <c r="D33" s="115">
        <f>B33*C33</f>
        <v>353.67500000000001</v>
      </c>
      <c r="E33" s="116">
        <f t="shared" si="4"/>
        <v>50525</v>
      </c>
      <c r="F33" s="114">
        <f>C33</f>
        <v>7.0000000000000001E-3</v>
      </c>
      <c r="G33" s="115">
        <f>E33*F33</f>
        <v>353.67500000000001</v>
      </c>
      <c r="H33" s="115">
        <f t="shared" si="3"/>
        <v>0</v>
      </c>
      <c r="I33" s="117">
        <f t="shared" si="9"/>
        <v>0</v>
      </c>
      <c r="J33" s="118">
        <f t="shared" si="13"/>
        <v>4.1916913305760854E-2</v>
      </c>
    </row>
    <row r="34" spans="1:10" x14ac:dyDescent="0.2">
      <c r="A34" s="37" t="s">
        <v>111</v>
      </c>
      <c r="B34" s="38"/>
      <c r="C34" s="39"/>
      <c r="D34" s="39">
        <f>SUM(D15,D23,D26,D32,D33)</f>
        <v>7416.6007000000009</v>
      </c>
      <c r="E34" s="38"/>
      <c r="F34" s="39"/>
      <c r="G34" s="39">
        <f>SUM(G15,G23,G26,G32,G33)</f>
        <v>7466.8362000000006</v>
      </c>
      <c r="H34" s="39">
        <f t="shared" si="3"/>
        <v>50.235499999999774</v>
      </c>
      <c r="I34" s="40">
        <f t="shared" si="9"/>
        <v>6.7733860877800482E-3</v>
      </c>
      <c r="J34" s="41">
        <f t="shared" si="13"/>
        <v>0.88495575221238942</v>
      </c>
    </row>
    <row r="35" spans="1:10" x14ac:dyDescent="0.2">
      <c r="A35" s="46" t="s">
        <v>102</v>
      </c>
      <c r="B35" s="43"/>
      <c r="C35" s="26">
        <v>0.13</v>
      </c>
      <c r="D35" s="26">
        <f>D34*C35</f>
        <v>964.15809100000013</v>
      </c>
      <c r="E35" s="26"/>
      <c r="F35" s="26">
        <f>C35</f>
        <v>0.13</v>
      </c>
      <c r="G35" s="26">
        <f>G34*F35</f>
        <v>970.68870600000014</v>
      </c>
      <c r="H35" s="26">
        <f t="shared" si="3"/>
        <v>6.5306150000000116</v>
      </c>
      <c r="I35" s="44">
        <f t="shared" si="9"/>
        <v>6.7733860877800907E-3</v>
      </c>
      <c r="J35" s="45">
        <f t="shared" si="13"/>
        <v>0.11504424778761063</v>
      </c>
    </row>
    <row r="36" spans="1:10" x14ac:dyDescent="0.2">
      <c r="A36" s="46" t="s">
        <v>103</v>
      </c>
      <c r="B36" s="24"/>
      <c r="C36" s="25"/>
      <c r="D36" s="25">
        <f>SUM(D34:D35)</f>
        <v>8380.7587910000002</v>
      </c>
      <c r="E36" s="25"/>
      <c r="F36" s="25"/>
      <c r="G36" s="25">
        <f>SUM(G34:G35)</f>
        <v>8437.5249060000006</v>
      </c>
      <c r="H36" s="25">
        <f t="shared" si="3"/>
        <v>56.766115000000354</v>
      </c>
      <c r="I36" s="27">
        <f t="shared" si="9"/>
        <v>6.7733860877801219E-3</v>
      </c>
      <c r="J36" s="47">
        <f t="shared" si="13"/>
        <v>1</v>
      </c>
    </row>
    <row r="37" spans="1:10" x14ac:dyDescent="0.2">
      <c r="A37" s="46" t="s">
        <v>104</v>
      </c>
      <c r="B37" s="43"/>
      <c r="C37" s="26">
        <v>0</v>
      </c>
      <c r="D37" s="26">
        <f>D34*C37</f>
        <v>0</v>
      </c>
      <c r="E37" s="26"/>
      <c r="F37" s="26">
        <f>C37</f>
        <v>0</v>
      </c>
      <c r="G37" s="26">
        <f>G34*F37</f>
        <v>0</v>
      </c>
      <c r="H37" s="26">
        <f t="shared" si="3"/>
        <v>0</v>
      </c>
      <c r="I37" s="44" t="str">
        <f t="shared" si="9"/>
        <v>N/A</v>
      </c>
      <c r="J37" s="45">
        <f t="shared" si="13"/>
        <v>0</v>
      </c>
    </row>
    <row r="38" spans="1:10" ht="13.5" thickBot="1" x14ac:dyDescent="0.25">
      <c r="A38" s="46" t="s">
        <v>105</v>
      </c>
      <c r="B38" s="49"/>
      <c r="C38" s="50"/>
      <c r="D38" s="50">
        <f>SUM(D36:D37)</f>
        <v>8380.7587910000002</v>
      </c>
      <c r="E38" s="50"/>
      <c r="F38" s="50"/>
      <c r="G38" s="50">
        <f>SUM(G36:G37)</f>
        <v>8437.5249060000006</v>
      </c>
      <c r="H38" s="50">
        <f t="shared" si="3"/>
        <v>56.766115000000354</v>
      </c>
      <c r="I38" s="51">
        <f t="shared" si="9"/>
        <v>6.7733860877801219E-3</v>
      </c>
      <c r="J38" s="52">
        <f t="shared" si="13"/>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121</v>
      </c>
      <c r="B1" s="186"/>
      <c r="C1" s="186"/>
      <c r="D1" s="186"/>
      <c r="E1" s="186"/>
      <c r="F1" s="186"/>
      <c r="G1" s="186"/>
      <c r="H1" s="186"/>
      <c r="I1" s="186"/>
      <c r="J1" s="187"/>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Impacts'!$A$6:$Y$18,2,0)</f>
        <v>1.05</v>
      </c>
    </row>
    <row r="7" spans="1:10" x14ac:dyDescent="0.2">
      <c r="A7" s="81" t="s">
        <v>48</v>
      </c>
      <c r="B7" s="82">
        <f>B4/(B5*730)</f>
        <v>0.47945205479452052</v>
      </c>
    </row>
    <row r="8" spans="1:10" x14ac:dyDescent="0.2">
      <c r="A8" s="15" t="s">
        <v>15</v>
      </c>
      <c r="B8" s="79">
        <f>VLOOKUP($B$3,'Data for Bill Impacts'!$A$6:$Y$18,4,0)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183750</v>
      </c>
      <c r="C13" s="103">
        <v>9.0999999999999998E-2</v>
      </c>
      <c r="D13" s="104">
        <f>B13*C13</f>
        <v>16721.25</v>
      </c>
      <c r="E13" s="102">
        <f>B13</f>
        <v>183750</v>
      </c>
      <c r="F13" s="103">
        <f>C13</f>
        <v>9.0999999999999998E-2</v>
      </c>
      <c r="G13" s="104">
        <f>E13*F13</f>
        <v>16721.25</v>
      </c>
      <c r="H13" s="104">
        <f>G13-D13</f>
        <v>0</v>
      </c>
      <c r="I13" s="105">
        <f t="shared" ref="I13:I18" si="0">IF(ISERROR(H13/ABS(D13)),"N/A",(H13/ABS(D13)))</f>
        <v>0</v>
      </c>
      <c r="J13" s="123">
        <f t="shared" ref="J13:J29" si="1">G13/$G$38</f>
        <v>0.56782656981974022</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16721.25</v>
      </c>
      <c r="E15" s="76"/>
      <c r="F15" s="25"/>
      <c r="G15" s="25">
        <f>SUM(G13:G14)</f>
        <v>16721.25</v>
      </c>
      <c r="H15" s="25">
        <f t="shared" si="3"/>
        <v>0</v>
      </c>
      <c r="I15" s="27">
        <f t="shared" si="0"/>
        <v>0</v>
      </c>
      <c r="J15" s="47">
        <f t="shared" si="1"/>
        <v>0.56782656981974022</v>
      </c>
    </row>
    <row r="16" spans="1:10" s="1" customFormat="1" x14ac:dyDescent="0.2">
      <c r="A16" s="107" t="s">
        <v>38</v>
      </c>
      <c r="B16" s="73">
        <v>1</v>
      </c>
      <c r="C16" s="78">
        <f>VLOOKUP($B$3,'Data for Bill Impacts'!$A$6:$Y$18,7,0)</f>
        <v>100.72</v>
      </c>
      <c r="D16" s="22">
        <f>B16*C16</f>
        <v>100.72</v>
      </c>
      <c r="E16" s="73">
        <f t="shared" ref="E16:E33" si="4">B16</f>
        <v>1</v>
      </c>
      <c r="F16" s="78">
        <f>VLOOKUP($B$3,'Data for Bill Impacts'!$A$6:$Y$18,17,0)</f>
        <v>102.72</v>
      </c>
      <c r="G16" s="22">
        <f>E16*F16</f>
        <v>102.72</v>
      </c>
      <c r="H16" s="22">
        <f t="shared" si="3"/>
        <v>2</v>
      </c>
      <c r="I16" s="23">
        <f t="shared" si="0"/>
        <v>1.9857029388403495E-2</v>
      </c>
      <c r="J16" s="124">
        <f t="shared" si="1"/>
        <v>3.4882048442481106E-3</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121">
        <f>VLOOKUP($B$3,'Data for Bill Impacts'!$A$6:$Y$18,13,0)</f>
        <v>1.7999999999999999E-2</v>
      </c>
      <c r="D19" s="22">
        <f t="shared" si="6"/>
        <v>1.7999999999999999E-2</v>
      </c>
      <c r="E19" s="73">
        <f t="shared" si="4"/>
        <v>1</v>
      </c>
      <c r="F19" s="121">
        <f>VLOOKUP($B$3,'Data for Bill Impacts'!$A$6:$Y$18,22,0)</f>
        <v>1.7999999999999999E-2</v>
      </c>
      <c r="G19" s="22">
        <f t="shared" si="5"/>
        <v>1.7999999999999999E-2</v>
      </c>
      <c r="H19" s="22">
        <f t="shared" si="3"/>
        <v>0</v>
      </c>
      <c r="I19" s="23">
        <f>IF(ISERROR(H19/ABS(D19)),"N/A",(H19/ABS(D19)))</f>
        <v>0</v>
      </c>
      <c r="J19" s="124">
        <f t="shared" si="1"/>
        <v>6.1125084887525299E-7</v>
      </c>
    </row>
    <row r="20" spans="1:10" x14ac:dyDescent="0.2">
      <c r="A20" s="107" t="s">
        <v>39</v>
      </c>
      <c r="B20" s="73">
        <f>IF($B$10="kWh",$B$4,$B$5)</f>
        <v>500</v>
      </c>
      <c r="C20" s="78">
        <f>VLOOKUP($B$3,'Data for Bill Impacts'!$A$6:$Y$18,10,0)</f>
        <v>9.6226000000000003</v>
      </c>
      <c r="D20" s="22">
        <f>B20*C20</f>
        <v>4811.3</v>
      </c>
      <c r="E20" s="73">
        <f t="shared" si="4"/>
        <v>500</v>
      </c>
      <c r="F20" s="125">
        <f>VLOOKUP($B$3,'Data for Bill Impacts'!$A$6:$Y$18,19,0)</f>
        <v>9.9799000000000007</v>
      </c>
      <c r="G20" s="22">
        <f>E20*F20</f>
        <v>4989.9500000000007</v>
      </c>
      <c r="H20" s="22">
        <f t="shared" si="3"/>
        <v>178.65000000000055</v>
      </c>
      <c r="I20" s="23">
        <f t="shared" ref="I20" si="7">IF(ISERROR(H20/D20),0,(H20/D20))</f>
        <v>3.7131336644981715E-2</v>
      </c>
      <c r="J20" s="124">
        <f t="shared" si="1"/>
        <v>0.16945062074139275</v>
      </c>
    </row>
    <row r="21" spans="1:10" s="1" customFormat="1" x14ac:dyDescent="0.2">
      <c r="A21" s="107" t="s">
        <v>122</v>
      </c>
      <c r="B21" s="73">
        <f>IF($B$10="kWh",$B$4,$B$5)</f>
        <v>500</v>
      </c>
      <c r="C21" s="125">
        <f>VLOOKUP($B$3,'Data for Bill Impacts'!$A$6:$Y$18,14,0)</f>
        <v>1.1179999999999999E-2</v>
      </c>
      <c r="D21" s="22">
        <f>B21*C21</f>
        <v>5.59</v>
      </c>
      <c r="E21" s="73">
        <f t="shared" si="4"/>
        <v>500</v>
      </c>
      <c r="F21" s="125">
        <f>VLOOKUP($B$3,'Data for Bill Impacts'!$A$6:$Y$18,23,0)</f>
        <v>1.1179999999999999E-2</v>
      </c>
      <c r="G21" s="22">
        <f>E21*F21</f>
        <v>5.59</v>
      </c>
      <c r="H21" s="22">
        <f t="shared" si="3"/>
        <v>0</v>
      </c>
      <c r="I21" s="23">
        <f>IF(ISERROR(H21/D21),0,(H21/D21))</f>
        <v>0</v>
      </c>
      <c r="J21" s="124">
        <f t="shared" si="1"/>
        <v>1.8982734695625913E-4</v>
      </c>
    </row>
    <row r="22" spans="1:10" s="1" customFormat="1" x14ac:dyDescent="0.2">
      <c r="A22" s="107" t="s">
        <v>108</v>
      </c>
      <c r="B22" s="73">
        <f>B9</f>
        <v>183750</v>
      </c>
      <c r="C22" s="125">
        <f>VLOOKUP($B$3,'Data for Bill Impacts'!$A$6:$Y$18,20,0)</f>
        <v>0</v>
      </c>
      <c r="D22" s="22">
        <f>B22*C22</f>
        <v>0</v>
      </c>
      <c r="E22" s="73">
        <f>B22</f>
        <v>183750</v>
      </c>
      <c r="F22" s="125">
        <f>VLOOKUP($B$3,'Data for Bill Impacts'!$A$6:$Y$18,21,0)</f>
        <v>0</v>
      </c>
      <c r="G22" s="22">
        <f>E22*F22</f>
        <v>0</v>
      </c>
      <c r="H22" s="22">
        <f t="shared" ref="H22" si="8">G22-D22</f>
        <v>0</v>
      </c>
      <c r="I22" s="23" t="str">
        <f t="shared" ref="I22:I38" si="9">IF(ISERROR(H22/ABS(D22)),"N/A",(H22/ABS(D22)))</f>
        <v>N/A</v>
      </c>
      <c r="J22" s="124">
        <f t="shared" si="1"/>
        <v>0</v>
      </c>
    </row>
    <row r="23" spans="1:10" x14ac:dyDescent="0.2">
      <c r="A23" s="110" t="s">
        <v>93</v>
      </c>
      <c r="B23" s="74"/>
      <c r="C23" s="35"/>
      <c r="D23" s="35">
        <f>SUM(D16:D22)</f>
        <v>4917.6280000000006</v>
      </c>
      <c r="E23" s="73"/>
      <c r="F23" s="35"/>
      <c r="G23" s="35">
        <f>SUM(G16:G22)</f>
        <v>5098.2780000000012</v>
      </c>
      <c r="H23" s="35">
        <f t="shared" si="3"/>
        <v>180.65000000000055</v>
      </c>
      <c r="I23" s="36">
        <f t="shared" si="9"/>
        <v>3.6735190217722959E-2</v>
      </c>
      <c r="J23" s="111">
        <f t="shared" si="1"/>
        <v>0.17312926418344599</v>
      </c>
    </row>
    <row r="24" spans="1:10" x14ac:dyDescent="0.2">
      <c r="A24" s="107" t="s">
        <v>40</v>
      </c>
      <c r="B24" s="73">
        <f>B5</f>
        <v>500</v>
      </c>
      <c r="C24" s="78">
        <f>VLOOKUP($B$3,'Data for Bill Impacts'!$A$6:$Y$18,15,0)</f>
        <v>2.2310400000000001</v>
      </c>
      <c r="D24" s="22">
        <f>B24*C24</f>
        <v>1115.52</v>
      </c>
      <c r="E24" s="73">
        <f t="shared" si="4"/>
        <v>500</v>
      </c>
      <c r="F24" s="125">
        <f>VLOOKUP($B$3,'Data for Bill Impacts'!$A$6:$Y$18,24,0)</f>
        <v>2.2310400000000001</v>
      </c>
      <c r="G24" s="22">
        <f>E24*F24</f>
        <v>1115.52</v>
      </c>
      <c r="H24" s="22">
        <f t="shared" si="3"/>
        <v>0</v>
      </c>
      <c r="I24" s="23">
        <f t="shared" si="9"/>
        <v>0</v>
      </c>
      <c r="J24" s="124">
        <f t="shared" si="1"/>
        <v>3.7881252607629014E-2</v>
      </c>
    </row>
    <row r="25" spans="1:10" s="1" customFormat="1" x14ac:dyDescent="0.2">
      <c r="A25" s="107" t="s">
        <v>41</v>
      </c>
      <c r="B25" s="73">
        <f>B5</f>
        <v>500</v>
      </c>
      <c r="C25" s="78">
        <f>VLOOKUP($B$3,'Data for Bill Impacts'!$A$6:$Y$18,16,0)</f>
        <v>1.7046749999999999</v>
      </c>
      <c r="D25" s="22">
        <f>B25*C25</f>
        <v>852.33749999999998</v>
      </c>
      <c r="E25" s="73">
        <f t="shared" si="4"/>
        <v>500</v>
      </c>
      <c r="F25" s="125">
        <f>VLOOKUP($B$3,'Data for Bill Impacts'!$A$6:$Y$18,25,0)</f>
        <v>1.7046749999999999</v>
      </c>
      <c r="G25" s="22">
        <f>E25*F25</f>
        <v>852.33749999999998</v>
      </c>
      <c r="H25" s="22">
        <f t="shared" si="3"/>
        <v>0</v>
      </c>
      <c r="I25" s="23">
        <f t="shared" si="9"/>
        <v>0</v>
      </c>
      <c r="J25" s="124">
        <f t="shared" si="1"/>
        <v>2.8944001133511719E-2</v>
      </c>
    </row>
    <row r="26" spans="1:10" x14ac:dyDescent="0.2">
      <c r="A26" s="110" t="s">
        <v>76</v>
      </c>
      <c r="B26" s="74"/>
      <c r="C26" s="35"/>
      <c r="D26" s="35">
        <f>SUM(D24:D25)</f>
        <v>1967.8575000000001</v>
      </c>
      <c r="E26" s="73"/>
      <c r="F26" s="35"/>
      <c r="G26" s="35">
        <f>SUM(G24:G25)</f>
        <v>1967.8575000000001</v>
      </c>
      <c r="H26" s="35">
        <f t="shared" si="3"/>
        <v>0</v>
      </c>
      <c r="I26" s="36">
        <f t="shared" si="9"/>
        <v>0</v>
      </c>
      <c r="J26" s="111">
        <f t="shared" si="1"/>
        <v>6.6825253741140733E-2</v>
      </c>
    </row>
    <row r="27" spans="1:10" s="1" customFormat="1" x14ac:dyDescent="0.2">
      <c r="A27" s="110" t="s">
        <v>80</v>
      </c>
      <c r="B27" s="74"/>
      <c r="C27" s="35"/>
      <c r="D27" s="35">
        <f>D23+D26</f>
        <v>6885.4855000000007</v>
      </c>
      <c r="E27" s="73"/>
      <c r="F27" s="35"/>
      <c r="G27" s="35">
        <f>G23+G26</f>
        <v>7066.1355000000012</v>
      </c>
      <c r="H27" s="35">
        <f t="shared" si="3"/>
        <v>180.65000000000055</v>
      </c>
      <c r="I27" s="36">
        <f t="shared" si="9"/>
        <v>2.6236348911053625E-2</v>
      </c>
      <c r="J27" s="111">
        <f t="shared" si="1"/>
        <v>0.23995451792458675</v>
      </c>
    </row>
    <row r="28" spans="1:10" x14ac:dyDescent="0.2">
      <c r="A28" s="107" t="s">
        <v>42</v>
      </c>
      <c r="B28" s="73">
        <f>B9</f>
        <v>183750</v>
      </c>
      <c r="C28" s="34">
        <v>3.5999999999999999E-3</v>
      </c>
      <c r="D28" s="22">
        <f>B28*C28</f>
        <v>661.5</v>
      </c>
      <c r="E28" s="73">
        <f t="shared" si="4"/>
        <v>183750</v>
      </c>
      <c r="F28" s="34">
        <v>3.5999999999999999E-3</v>
      </c>
      <c r="G28" s="22">
        <f>E28*F28</f>
        <v>661.5</v>
      </c>
      <c r="H28" s="22">
        <f t="shared" si="3"/>
        <v>0</v>
      </c>
      <c r="I28" s="23">
        <f t="shared" si="9"/>
        <v>0</v>
      </c>
      <c r="J28" s="124">
        <f t="shared" si="1"/>
        <v>2.2463468696165549E-2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9"/>
        <v>0</v>
      </c>
      <c r="J29" s="124">
        <f t="shared" si="1"/>
        <v>1.3103690072763238E-2</v>
      </c>
    </row>
    <row r="30" spans="1:10" x14ac:dyDescent="0.2">
      <c r="A30" s="107" t="s">
        <v>96</v>
      </c>
      <c r="B30" s="73">
        <f>B9</f>
        <v>183750</v>
      </c>
      <c r="C30" s="34">
        <v>0</v>
      </c>
      <c r="D30" s="22">
        <f>B30*C30</f>
        <v>0</v>
      </c>
      <c r="E30" s="73">
        <f t="shared" si="4"/>
        <v>183750</v>
      </c>
      <c r="F30" s="34">
        <v>0</v>
      </c>
      <c r="G30" s="22">
        <f>E30*F30</f>
        <v>0</v>
      </c>
      <c r="H30" s="22">
        <f>G30-D30</f>
        <v>0</v>
      </c>
      <c r="I30" s="23" t="str">
        <f t="shared" si="9"/>
        <v>N/A</v>
      </c>
      <c r="J30" s="124">
        <f t="shared" ref="J30" si="10">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1">G31/$G$38</f>
        <v>8.4895951232674026E-6</v>
      </c>
    </row>
    <row r="32" spans="1:10" x14ac:dyDescent="0.2">
      <c r="A32" s="110" t="s">
        <v>45</v>
      </c>
      <c r="B32" s="74"/>
      <c r="C32" s="35"/>
      <c r="D32" s="35">
        <f>SUM(D28:D31)</f>
        <v>1047.625</v>
      </c>
      <c r="E32" s="73"/>
      <c r="F32" s="35"/>
      <c r="G32" s="35">
        <f>SUM(G28:G31)</f>
        <v>1047.625</v>
      </c>
      <c r="H32" s="35">
        <f t="shared" si="3"/>
        <v>0</v>
      </c>
      <c r="I32" s="36">
        <f t="shared" si="9"/>
        <v>0</v>
      </c>
      <c r="J32" s="111">
        <f t="shared" si="11"/>
        <v>3.5575648364052054E-2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3"/>
        <v>0</v>
      </c>
      <c r="I33" s="117">
        <f t="shared" si="9"/>
        <v>0</v>
      </c>
      <c r="J33" s="118">
        <f t="shared" si="11"/>
        <v>4.1599016104010275E-2</v>
      </c>
    </row>
    <row r="34" spans="1:10" x14ac:dyDescent="0.2">
      <c r="A34" s="37" t="s">
        <v>111</v>
      </c>
      <c r="B34" s="38"/>
      <c r="C34" s="39"/>
      <c r="D34" s="39">
        <f>SUM(D15,D23,D26,D32,D33)</f>
        <v>25879.360500000003</v>
      </c>
      <c r="E34" s="38"/>
      <c r="F34" s="39"/>
      <c r="G34" s="39">
        <f>SUM(G15,G23,G26,G32,G33)</f>
        <v>26060.010500000004</v>
      </c>
      <c r="H34" s="39">
        <f t="shared" si="3"/>
        <v>180.65000000000146</v>
      </c>
      <c r="I34" s="40">
        <f t="shared" si="9"/>
        <v>6.9804661517815112E-3</v>
      </c>
      <c r="J34" s="41">
        <f t="shared" si="11"/>
        <v>0.88495575221238942</v>
      </c>
    </row>
    <row r="35" spans="1:10" x14ac:dyDescent="0.2">
      <c r="A35" s="46" t="s">
        <v>102</v>
      </c>
      <c r="B35" s="43"/>
      <c r="C35" s="26">
        <v>0.13</v>
      </c>
      <c r="D35" s="26">
        <f>D34*C35</f>
        <v>3364.3168650000002</v>
      </c>
      <c r="E35" s="26"/>
      <c r="F35" s="26">
        <f>C35</f>
        <v>0.13</v>
      </c>
      <c r="G35" s="26">
        <f>G34*F35</f>
        <v>3387.8013650000007</v>
      </c>
      <c r="H35" s="26">
        <f t="shared" si="3"/>
        <v>23.48450000000048</v>
      </c>
      <c r="I35" s="44">
        <f t="shared" si="9"/>
        <v>6.980466151781598E-3</v>
      </c>
      <c r="J35" s="45">
        <f t="shared" si="11"/>
        <v>0.11504424778761063</v>
      </c>
    </row>
    <row r="36" spans="1:10" x14ac:dyDescent="0.2">
      <c r="A36" s="46" t="s">
        <v>103</v>
      </c>
      <c r="B36" s="24"/>
      <c r="C36" s="25"/>
      <c r="D36" s="25">
        <f>SUM(D34:D35)</f>
        <v>29243.677365000003</v>
      </c>
      <c r="E36" s="25"/>
      <c r="F36" s="25"/>
      <c r="G36" s="25">
        <f>SUM(G34:G35)</f>
        <v>29447.811865000003</v>
      </c>
      <c r="H36" s="25">
        <f t="shared" si="3"/>
        <v>204.13450000000012</v>
      </c>
      <c r="I36" s="27">
        <f t="shared" si="9"/>
        <v>6.9804661517814583E-3</v>
      </c>
      <c r="J36" s="47">
        <f t="shared" si="11"/>
        <v>1</v>
      </c>
    </row>
    <row r="37" spans="1:10" x14ac:dyDescent="0.2">
      <c r="A37" s="46" t="s">
        <v>104</v>
      </c>
      <c r="B37" s="43"/>
      <c r="C37" s="26">
        <v>0</v>
      </c>
      <c r="D37" s="26">
        <f>D34*C37</f>
        <v>0</v>
      </c>
      <c r="E37" s="26"/>
      <c r="F37" s="26">
        <f>C37</f>
        <v>0</v>
      </c>
      <c r="G37" s="26">
        <f>G34*F37</f>
        <v>0</v>
      </c>
      <c r="H37" s="26">
        <f t="shared" si="3"/>
        <v>0</v>
      </c>
      <c r="I37" s="44" t="str">
        <f t="shared" si="9"/>
        <v>N/A</v>
      </c>
      <c r="J37" s="45">
        <f t="shared" si="11"/>
        <v>0</v>
      </c>
    </row>
    <row r="38" spans="1:10" ht="13.5" thickBot="1" x14ac:dyDescent="0.25">
      <c r="A38" s="46" t="s">
        <v>105</v>
      </c>
      <c r="B38" s="49"/>
      <c r="C38" s="50"/>
      <c r="D38" s="50">
        <f>SUM(D36:D37)</f>
        <v>29243.677365000003</v>
      </c>
      <c r="E38" s="50"/>
      <c r="F38" s="50"/>
      <c r="G38" s="50">
        <f>SUM(G36:G37)</f>
        <v>29447.811865000003</v>
      </c>
      <c r="H38" s="50">
        <f t="shared" si="3"/>
        <v>204.13450000000012</v>
      </c>
      <c r="I38" s="51">
        <f t="shared" si="9"/>
        <v>6.9804661517814583E-3</v>
      </c>
      <c r="J38" s="52">
        <f t="shared" si="11"/>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118</v>
      </c>
      <c r="B1" s="186"/>
      <c r="C1" s="186"/>
      <c r="D1" s="186"/>
      <c r="E1" s="186"/>
      <c r="F1" s="186"/>
      <c r="G1" s="186"/>
      <c r="H1" s="186"/>
      <c r="I1" s="186"/>
      <c r="J1" s="187"/>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Impacts'!$A$6:$Y$18,2,0)</f>
        <v>1.0609999999999999</v>
      </c>
    </row>
    <row r="7" spans="1:10" x14ac:dyDescent="0.2">
      <c r="A7" s="81" t="s">
        <v>48</v>
      </c>
      <c r="B7" s="82">
        <f>B4/(B5*730)</f>
        <v>0.34246575342465752</v>
      </c>
    </row>
    <row r="8" spans="1:10" x14ac:dyDescent="0.2">
      <c r="A8" s="15" t="s">
        <v>15</v>
      </c>
      <c r="B8" s="79">
        <f>VLOOKUP($B$3,'Data for Bill Impacts'!$A$6:$Y$18,4,0)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15915</v>
      </c>
      <c r="C13" s="103">
        <v>9.0999999999999998E-2</v>
      </c>
      <c r="D13" s="104">
        <f>B13*C13</f>
        <v>1448.2649999999999</v>
      </c>
      <c r="E13" s="102">
        <f>B13</f>
        <v>15915</v>
      </c>
      <c r="F13" s="103">
        <f>C13</f>
        <v>9.0999999999999998E-2</v>
      </c>
      <c r="G13" s="104">
        <f>E13*F13</f>
        <v>1448.2649999999999</v>
      </c>
      <c r="H13" s="104">
        <f>G13-D13</f>
        <v>0</v>
      </c>
      <c r="I13" s="105">
        <f t="shared" ref="I13:I18" si="0">IF(ISERROR(H13/ABS(D13)),"N/A",(H13/ABS(D13)))</f>
        <v>0</v>
      </c>
      <c r="J13" s="123">
        <f t="shared" ref="J13:J21" si="1">G13/$G$38</f>
        <v>0.43169711474431993</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1448.2649999999999</v>
      </c>
      <c r="E15" s="76"/>
      <c r="F15" s="25"/>
      <c r="G15" s="25">
        <f>SUM(G13:G14)</f>
        <v>1448.2649999999999</v>
      </c>
      <c r="H15" s="25">
        <f t="shared" si="3"/>
        <v>0</v>
      </c>
      <c r="I15" s="27">
        <f t="shared" si="0"/>
        <v>0</v>
      </c>
      <c r="J15" s="47">
        <f t="shared" si="1"/>
        <v>0.43169711474431993</v>
      </c>
    </row>
    <row r="16" spans="1:10" s="1" customFormat="1" x14ac:dyDescent="0.2">
      <c r="A16" s="107" t="s">
        <v>38</v>
      </c>
      <c r="B16" s="73">
        <v>1</v>
      </c>
      <c r="C16" s="78">
        <f>VLOOKUP($B$3,'Data for Bill Impacts'!$A$6:$Y$18,7,0)</f>
        <v>102.52</v>
      </c>
      <c r="D16" s="22">
        <f>B16*C16</f>
        <v>102.52</v>
      </c>
      <c r="E16" s="73">
        <f t="shared" ref="E16:E33" si="4">B16</f>
        <v>1</v>
      </c>
      <c r="F16" s="78">
        <f>VLOOKUP($B$3,'Data for Bill Impacts'!$A$6:$Y$18,17,0)</f>
        <v>104.19</v>
      </c>
      <c r="G16" s="22">
        <f>E16*F16</f>
        <v>104.19</v>
      </c>
      <c r="H16" s="22">
        <f t="shared" si="3"/>
        <v>1.6700000000000017</v>
      </c>
      <c r="I16" s="23">
        <f t="shared" si="0"/>
        <v>1.6289504486929396E-2</v>
      </c>
      <c r="J16" s="124">
        <f t="shared" si="1"/>
        <v>3.1056831716026207E-2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ref="H18" si="7">G18-D18</f>
        <v>0</v>
      </c>
      <c r="I18" s="23" t="str">
        <f t="shared" si="0"/>
        <v>N/A</v>
      </c>
      <c r="J18" s="124">
        <f t="shared" si="1"/>
        <v>0</v>
      </c>
    </row>
    <row r="19" spans="1:10" x14ac:dyDescent="0.2">
      <c r="A19" s="107" t="s">
        <v>85</v>
      </c>
      <c r="B19" s="73">
        <v>1</v>
      </c>
      <c r="C19" s="121">
        <f>VLOOKUP($B$3,'Data for Bill Impacts'!$A$6:$Y$18,13,0)</f>
        <v>-8.9999999999999993E-3</v>
      </c>
      <c r="D19" s="22">
        <f t="shared" si="6"/>
        <v>-8.9999999999999993E-3</v>
      </c>
      <c r="E19" s="73">
        <f t="shared" si="4"/>
        <v>1</v>
      </c>
      <c r="F19" s="121">
        <f>VLOOKUP($B$3,'Data for Bill Impacts'!$A$6:$Y$18,22,0)</f>
        <v>-8.9999999999999993E-3</v>
      </c>
      <c r="G19" s="22">
        <f t="shared" si="5"/>
        <v>-8.9999999999999993E-3</v>
      </c>
      <c r="H19" s="22">
        <f t="shared" ref="H19" si="8">G19-D19</f>
        <v>0</v>
      </c>
      <c r="I19" s="23">
        <f>IF(ISERROR(H19/ABS(D19)),"N/A",(H19/ABS(D19)))</f>
        <v>0</v>
      </c>
      <c r="J19" s="124">
        <f t="shared" si="1"/>
        <v>-2.6827093333739884E-6</v>
      </c>
    </row>
    <row r="20" spans="1:10" x14ac:dyDescent="0.2">
      <c r="A20" s="107" t="s">
        <v>39</v>
      </c>
      <c r="B20" s="73">
        <f>IF($B$10="kWh",$B$4,$B$5)</f>
        <v>60</v>
      </c>
      <c r="C20" s="78">
        <f>VLOOKUP($B$3,'Data for Bill Impacts'!$A$6:$Y$18,10,0)</f>
        <v>16.768900000000002</v>
      </c>
      <c r="D20" s="22">
        <f>B20*C20</f>
        <v>1006.1340000000001</v>
      </c>
      <c r="E20" s="73">
        <f t="shared" si="4"/>
        <v>60</v>
      </c>
      <c r="F20" s="125">
        <f>VLOOKUP($B$3,'Data for Bill Impacts'!$A$6:$Y$18,19,0)</f>
        <v>17.387</v>
      </c>
      <c r="G20" s="22">
        <f>E20*F20</f>
        <v>1043.22</v>
      </c>
      <c r="H20" s="22">
        <f t="shared" si="3"/>
        <v>37.085999999999899</v>
      </c>
      <c r="I20" s="23">
        <f t="shared" ref="I20" si="9">IF(ISERROR(H20/D20),0,(H20/D20))</f>
        <v>3.6859901365026822E-2</v>
      </c>
      <c r="J20" s="124">
        <f t="shared" si="1"/>
        <v>0.31096178119582363</v>
      </c>
    </row>
    <row r="21" spans="1:10" s="1" customFormat="1" x14ac:dyDescent="0.2">
      <c r="A21" s="107" t="s">
        <v>122</v>
      </c>
      <c r="B21" s="73">
        <f>IF($B$10="kWh",$B$4,$B$5)</f>
        <v>60</v>
      </c>
      <c r="C21" s="125">
        <f>VLOOKUP($B$3,'Data for Bill Impacts'!$A$6:$Y$18,14,0)</f>
        <v>5.1599999999999997E-3</v>
      </c>
      <c r="D21" s="22">
        <f>B21*C21</f>
        <v>0.30959999999999999</v>
      </c>
      <c r="E21" s="73">
        <f t="shared" si="4"/>
        <v>60</v>
      </c>
      <c r="F21" s="125">
        <f>VLOOKUP($B$3,'Data for Bill Impacts'!$A$6:$Y$18,23,0)</f>
        <v>5.1599999999999997E-3</v>
      </c>
      <c r="G21" s="22">
        <f>E21*F21</f>
        <v>0.30959999999999999</v>
      </c>
      <c r="H21" s="22">
        <f t="shared" si="3"/>
        <v>0</v>
      </c>
      <c r="I21" s="23">
        <f>IF(ISERROR(H21/D21),0,(H21/D21))</f>
        <v>0</v>
      </c>
      <c r="J21" s="124">
        <f t="shared" si="1"/>
        <v>9.2285201068065208E-5</v>
      </c>
    </row>
    <row r="22" spans="1:10" s="1" customFormat="1" x14ac:dyDescent="0.2">
      <c r="A22" s="107" t="s">
        <v>108</v>
      </c>
      <c r="B22" s="73">
        <f>B9</f>
        <v>15915</v>
      </c>
      <c r="C22" s="125">
        <f>VLOOKUP($B$3,'Data for Bill Impacts'!$A$6:$Y$18,20,0)</f>
        <v>0</v>
      </c>
      <c r="D22" s="22">
        <f>B22*C22</f>
        <v>0</v>
      </c>
      <c r="E22" s="73">
        <f>B22</f>
        <v>15915</v>
      </c>
      <c r="F22" s="125">
        <f>VLOOKUP($B$3,'Data for Bill Impacts'!$A$6:$Y$18,21,0)</f>
        <v>0</v>
      </c>
      <c r="G22" s="22">
        <f>E22*F22</f>
        <v>0</v>
      </c>
      <c r="H22" s="22">
        <f t="shared" ref="H22" si="10">G22-D22</f>
        <v>0</v>
      </c>
      <c r="I22" s="23" t="str">
        <f t="shared" ref="I22:I38" si="11">IF(ISERROR(H22/ABS(D22)),"N/A",(H22/ABS(D22)))</f>
        <v>N/A</v>
      </c>
      <c r="J22" s="124">
        <f t="shared" ref="J22" si="12">G22/$G$38</f>
        <v>0</v>
      </c>
    </row>
    <row r="23" spans="1:10" x14ac:dyDescent="0.2">
      <c r="A23" s="110" t="s">
        <v>79</v>
      </c>
      <c r="B23" s="74"/>
      <c r="C23" s="35"/>
      <c r="D23" s="35">
        <f>SUM(D16:D22)</f>
        <v>1108.9546000000003</v>
      </c>
      <c r="E23" s="73"/>
      <c r="F23" s="35"/>
      <c r="G23" s="35">
        <f>SUM(G16:G22)</f>
        <v>1147.7106000000001</v>
      </c>
      <c r="H23" s="35">
        <f t="shared" si="3"/>
        <v>38.755999999999858</v>
      </c>
      <c r="I23" s="36">
        <f t="shared" si="11"/>
        <v>3.4948229620941969E-2</v>
      </c>
      <c r="J23" s="111">
        <f t="shared" ref="J23:J29" si="13">G23/$G$38</f>
        <v>0.34210821540358455</v>
      </c>
    </row>
    <row r="24" spans="1:10" x14ac:dyDescent="0.2">
      <c r="A24" s="107" t="s">
        <v>40</v>
      </c>
      <c r="B24" s="73">
        <f>B5</f>
        <v>60</v>
      </c>
      <c r="C24" s="78">
        <f>VLOOKUP($B$3,'Data for Bill Impacts'!$A$6:$Y$18,15,0)</f>
        <v>1.6718177000000001</v>
      </c>
      <c r="D24" s="22">
        <f>B24*C24</f>
        <v>100.30906200000001</v>
      </c>
      <c r="E24" s="73">
        <f t="shared" si="4"/>
        <v>60</v>
      </c>
      <c r="F24" s="125">
        <f>VLOOKUP($B$3,'Data for Bill Impacts'!$A$6:$Y$18,24,0)</f>
        <v>1.6718177000000001</v>
      </c>
      <c r="G24" s="22">
        <f>E24*F24</f>
        <v>100.30906200000001</v>
      </c>
      <c r="H24" s="22">
        <f t="shared" si="3"/>
        <v>0</v>
      </c>
      <c r="I24" s="23">
        <f t="shared" si="11"/>
        <v>0</v>
      </c>
      <c r="J24" s="124">
        <f t="shared" si="13"/>
        <v>2.9900006316598903E-2</v>
      </c>
    </row>
    <row r="25" spans="1:10" s="1" customFormat="1" x14ac:dyDescent="0.2">
      <c r="A25" s="107" t="s">
        <v>41</v>
      </c>
      <c r="B25" s="73">
        <f>B5</f>
        <v>60</v>
      </c>
      <c r="C25" s="78">
        <f>VLOOKUP($B$3,'Data for Bill Impacts'!$A$6:$Y$18,16,0)</f>
        <v>1.2769135</v>
      </c>
      <c r="D25" s="22">
        <f>B25*C25</f>
        <v>76.614810000000006</v>
      </c>
      <c r="E25" s="73">
        <f t="shared" si="4"/>
        <v>60</v>
      </c>
      <c r="F25" s="125">
        <f>VLOOKUP($B$3,'Data for Bill Impacts'!$A$6:$Y$18,25,0)</f>
        <v>1.2769135</v>
      </c>
      <c r="G25" s="22">
        <f>E25*F25</f>
        <v>76.614810000000006</v>
      </c>
      <c r="H25" s="22">
        <f t="shared" si="3"/>
        <v>0</v>
      </c>
      <c r="I25" s="23">
        <f t="shared" si="11"/>
        <v>0</v>
      </c>
      <c r="J25" s="124">
        <f t="shared" si="13"/>
        <v>2.2837251762408313E-2</v>
      </c>
    </row>
    <row r="26" spans="1:10" x14ac:dyDescent="0.2">
      <c r="A26" s="110" t="s">
        <v>76</v>
      </c>
      <c r="B26" s="74"/>
      <c r="C26" s="35"/>
      <c r="D26" s="35">
        <f>SUM(D24:D25)</f>
        <v>176.92387200000002</v>
      </c>
      <c r="E26" s="73"/>
      <c r="F26" s="35"/>
      <c r="G26" s="35">
        <f>SUM(G24:G25)</f>
        <v>176.92387200000002</v>
      </c>
      <c r="H26" s="35">
        <f t="shared" si="3"/>
        <v>0</v>
      </c>
      <c r="I26" s="36">
        <f t="shared" si="11"/>
        <v>0</v>
      </c>
      <c r="J26" s="111">
        <f t="shared" si="13"/>
        <v>5.273725807900722E-2</v>
      </c>
    </row>
    <row r="27" spans="1:10" s="1" customFormat="1" x14ac:dyDescent="0.2">
      <c r="A27" s="110" t="s">
        <v>80</v>
      </c>
      <c r="B27" s="74"/>
      <c r="C27" s="35"/>
      <c r="D27" s="35">
        <f>D23+D26</f>
        <v>1285.8784720000003</v>
      </c>
      <c r="E27" s="73"/>
      <c r="F27" s="35"/>
      <c r="G27" s="35">
        <f>G23+G26</f>
        <v>1324.6344720000002</v>
      </c>
      <c r="H27" s="35">
        <f t="shared" si="3"/>
        <v>38.755999999999858</v>
      </c>
      <c r="I27" s="36">
        <f t="shared" si="11"/>
        <v>3.0139706701614217E-2</v>
      </c>
      <c r="J27" s="111">
        <f t="shared" si="13"/>
        <v>0.3948454734825918</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3"/>
        <v>0</v>
      </c>
      <c r="I28" s="23">
        <f t="shared" si="11"/>
        <v>0</v>
      </c>
      <c r="J28" s="124">
        <f t="shared" si="13"/>
        <v>1.707812761625881E-2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11"/>
        <v>0</v>
      </c>
      <c r="J29" s="124">
        <f t="shared" si="13"/>
        <v>9.9622411094843055E-3</v>
      </c>
    </row>
    <row r="30" spans="1:10" x14ac:dyDescent="0.2">
      <c r="A30" s="107" t="s">
        <v>96</v>
      </c>
      <c r="B30" s="73">
        <f>B9</f>
        <v>15915</v>
      </c>
      <c r="C30" s="34">
        <v>0</v>
      </c>
      <c r="D30" s="22">
        <f>B30*C30</f>
        <v>0</v>
      </c>
      <c r="E30" s="73">
        <f t="shared" si="4"/>
        <v>15915</v>
      </c>
      <c r="F30" s="34">
        <v>0</v>
      </c>
      <c r="G30" s="22">
        <f>E30*F30</f>
        <v>0</v>
      </c>
      <c r="H30" s="22">
        <f>G30-D30</f>
        <v>0</v>
      </c>
      <c r="I30" s="23" t="str">
        <f t="shared" si="11"/>
        <v>N/A</v>
      </c>
      <c r="J30" s="124">
        <f t="shared" ref="J30" si="14">G30/$G$38</f>
        <v>0</v>
      </c>
    </row>
    <row r="31" spans="1:10" x14ac:dyDescent="0.2">
      <c r="A31" s="107" t="s">
        <v>44</v>
      </c>
      <c r="B31" s="73">
        <v>1</v>
      </c>
      <c r="C31" s="22">
        <v>0.25</v>
      </c>
      <c r="D31" s="22">
        <f>B31*C31</f>
        <v>0.25</v>
      </c>
      <c r="E31" s="73">
        <f t="shared" si="4"/>
        <v>1</v>
      </c>
      <c r="F31" s="22">
        <f>C31</f>
        <v>0.25</v>
      </c>
      <c r="G31" s="22">
        <f>E31*F31</f>
        <v>0.25</v>
      </c>
      <c r="H31" s="22">
        <f t="shared" si="3"/>
        <v>0</v>
      </c>
      <c r="I31" s="23">
        <f t="shared" si="11"/>
        <v>0</v>
      </c>
      <c r="J31" s="124">
        <f t="shared" ref="J31:J38" si="15">G31/$G$38</f>
        <v>7.4519703704833021E-5</v>
      </c>
    </row>
    <row r="32" spans="1:10" x14ac:dyDescent="0.2">
      <c r="A32" s="110" t="s">
        <v>45</v>
      </c>
      <c r="B32" s="74"/>
      <c r="C32" s="35"/>
      <c r="D32" s="35">
        <f>SUM(D28:D31)</f>
        <v>90.965499999999992</v>
      </c>
      <c r="E32" s="73"/>
      <c r="F32" s="35"/>
      <c r="G32" s="35">
        <f>SUM(G28:G31)</f>
        <v>90.965499999999992</v>
      </c>
      <c r="H32" s="35">
        <f t="shared" si="3"/>
        <v>0</v>
      </c>
      <c r="I32" s="36">
        <f t="shared" si="11"/>
        <v>0</v>
      </c>
      <c r="J32" s="111">
        <f t="shared" si="15"/>
        <v>2.711488842944795E-2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3"/>
        <v>0</v>
      </c>
      <c r="I33" s="117">
        <f t="shared" si="11"/>
        <v>0</v>
      </c>
      <c r="J33" s="118">
        <f t="shared" si="15"/>
        <v>3.1298275556029868E-2</v>
      </c>
    </row>
    <row r="34" spans="1:10" x14ac:dyDescent="0.2">
      <c r="A34" s="37" t="s">
        <v>111</v>
      </c>
      <c r="B34" s="38"/>
      <c r="C34" s="39"/>
      <c r="D34" s="39">
        <f>SUM(D15,D23,D26,D32,D33)</f>
        <v>2930.108972</v>
      </c>
      <c r="E34" s="38"/>
      <c r="F34" s="39"/>
      <c r="G34" s="39">
        <f>SUM(G15,G23,G26,G32,G33)</f>
        <v>2968.8649719999994</v>
      </c>
      <c r="H34" s="39">
        <f t="shared" si="3"/>
        <v>38.755999999999403</v>
      </c>
      <c r="I34" s="40">
        <f t="shared" si="11"/>
        <v>1.3226811825208596E-2</v>
      </c>
      <c r="J34" s="41">
        <f t="shared" si="15"/>
        <v>0.88495575221238931</v>
      </c>
    </row>
    <row r="35" spans="1:10" x14ac:dyDescent="0.2">
      <c r="A35" s="46" t="s">
        <v>102</v>
      </c>
      <c r="B35" s="43"/>
      <c r="C35" s="26">
        <v>0.13</v>
      </c>
      <c r="D35" s="26">
        <f>D34*C35</f>
        <v>380.91416636000002</v>
      </c>
      <c r="E35" s="26"/>
      <c r="F35" s="26">
        <f>C35</f>
        <v>0.13</v>
      </c>
      <c r="G35" s="26">
        <f>G34*F35</f>
        <v>385.95244635999995</v>
      </c>
      <c r="H35" s="26">
        <f t="shared" si="3"/>
        <v>5.0382799999999293</v>
      </c>
      <c r="I35" s="44">
        <f t="shared" si="11"/>
        <v>1.3226811825208613E-2</v>
      </c>
      <c r="J35" s="45">
        <f t="shared" si="15"/>
        <v>0.11504424778761062</v>
      </c>
    </row>
    <row r="36" spans="1:10" x14ac:dyDescent="0.2">
      <c r="A36" s="46" t="s">
        <v>103</v>
      </c>
      <c r="B36" s="24"/>
      <c r="C36" s="25"/>
      <c r="D36" s="25">
        <f>SUM(D34:D35)</f>
        <v>3311.0231383599998</v>
      </c>
      <c r="E36" s="25"/>
      <c r="F36" s="25"/>
      <c r="G36" s="25">
        <f>SUM(G34:G35)</f>
        <v>3354.8174183599995</v>
      </c>
      <c r="H36" s="25">
        <f t="shared" si="3"/>
        <v>43.794279999999617</v>
      </c>
      <c r="I36" s="27">
        <f t="shared" si="11"/>
        <v>1.3226811825208684E-2</v>
      </c>
      <c r="J36" s="47">
        <f t="shared" si="15"/>
        <v>1</v>
      </c>
    </row>
    <row r="37" spans="1:10" x14ac:dyDescent="0.2">
      <c r="A37" s="46" t="s">
        <v>104</v>
      </c>
      <c r="B37" s="43"/>
      <c r="C37" s="26">
        <v>0</v>
      </c>
      <c r="D37" s="26">
        <f>D34*C37</f>
        <v>0</v>
      </c>
      <c r="E37" s="26"/>
      <c r="F37" s="26">
        <f>C37</f>
        <v>0</v>
      </c>
      <c r="G37" s="26">
        <f>G34*F37</f>
        <v>0</v>
      </c>
      <c r="H37" s="26">
        <f t="shared" si="3"/>
        <v>0</v>
      </c>
      <c r="I37" s="44" t="str">
        <f t="shared" si="11"/>
        <v>N/A</v>
      </c>
      <c r="J37" s="45">
        <f t="shared" si="15"/>
        <v>0</v>
      </c>
    </row>
    <row r="38" spans="1:10" ht="13.5" thickBot="1" x14ac:dyDescent="0.25">
      <c r="A38" s="46" t="s">
        <v>105</v>
      </c>
      <c r="B38" s="49"/>
      <c r="C38" s="50"/>
      <c r="D38" s="50">
        <f>SUM(D36:D37)</f>
        <v>3311.0231383599998</v>
      </c>
      <c r="E38" s="50"/>
      <c r="F38" s="50"/>
      <c r="G38" s="50">
        <f>SUM(G36:G37)</f>
        <v>3354.8174183599995</v>
      </c>
      <c r="H38" s="50">
        <f t="shared" si="3"/>
        <v>43.794279999999617</v>
      </c>
      <c r="I38" s="51">
        <f t="shared" si="11"/>
        <v>1.3226811825208684E-2</v>
      </c>
      <c r="J38" s="52">
        <f t="shared" si="15"/>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118</v>
      </c>
      <c r="B1" s="186"/>
      <c r="C1" s="186"/>
      <c r="D1" s="186"/>
      <c r="E1" s="186"/>
      <c r="F1" s="186"/>
      <c r="G1" s="186"/>
      <c r="H1" s="186"/>
      <c r="I1" s="186"/>
      <c r="J1" s="186"/>
      <c r="K1" s="187"/>
    </row>
    <row r="3" spans="1:11" x14ac:dyDescent="0.2">
      <c r="A3" s="13" t="s">
        <v>13</v>
      </c>
      <c r="B3" s="13" t="s">
        <v>0</v>
      </c>
    </row>
    <row r="4" spans="1:11" x14ac:dyDescent="0.2">
      <c r="A4" s="15" t="s">
        <v>62</v>
      </c>
      <c r="B4" s="15">
        <v>350</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67">
        <f>B4*B6</f>
        <v>369.95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9.0999999999999998E-2</v>
      </c>
      <c r="D12" s="104">
        <f>B12*C12</f>
        <v>31.849999999999998</v>
      </c>
      <c r="E12" s="102">
        <f>B12</f>
        <v>350</v>
      </c>
      <c r="F12" s="103">
        <f>C12</f>
        <v>9.0999999999999998E-2</v>
      </c>
      <c r="G12" s="104">
        <f>E12*F12</f>
        <v>31.849999999999998</v>
      </c>
      <c r="H12" s="104">
        <f>G12-D12</f>
        <v>0</v>
      </c>
      <c r="I12" s="105">
        <f t="shared" ref="I12:I18" si="0">IF(ISERROR(H12/ABS(D12)),"N/A",(H12/ABS(D12)))</f>
        <v>0</v>
      </c>
      <c r="J12" s="105">
        <f>G12/$G$46</f>
        <v>0.40452873906434722</v>
      </c>
      <c r="K12" s="106"/>
    </row>
    <row r="13" spans="1:11" x14ac:dyDescent="0.2">
      <c r="A13" s="107" t="s">
        <v>32</v>
      </c>
      <c r="B13" s="73">
        <f>IF(B4&gt;B7,(B4)-B7,0)</f>
        <v>0</v>
      </c>
      <c r="C13" s="21">
        <v>0.106</v>
      </c>
      <c r="D13" s="22">
        <f>B13*C13</f>
        <v>0</v>
      </c>
      <c r="E13" s="73">
        <f t="shared" ref="E13:E41"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31.849999999999998</v>
      </c>
      <c r="E14" s="76"/>
      <c r="F14" s="25"/>
      <c r="G14" s="25">
        <f>SUM(G12:G13)</f>
        <v>31.849999999999998</v>
      </c>
      <c r="H14" s="25">
        <f t="shared" si="2"/>
        <v>0</v>
      </c>
      <c r="I14" s="27">
        <f t="shared" si="0"/>
        <v>0</v>
      </c>
      <c r="J14" s="27">
        <f>G14/$G$46</f>
        <v>0.40452873906434722</v>
      </c>
      <c r="K14" s="108"/>
    </row>
    <row r="15" spans="1:11" s="1" customFormat="1" x14ac:dyDescent="0.2">
      <c r="A15" s="109" t="s">
        <v>34</v>
      </c>
      <c r="B15" s="75">
        <f>B4*0.65</f>
        <v>227.5</v>
      </c>
      <c r="C15" s="28">
        <v>7.6999999999999999E-2</v>
      </c>
      <c r="D15" s="22">
        <f>B15*C15</f>
        <v>17.517499999999998</v>
      </c>
      <c r="E15" s="73">
        <f t="shared" ref="E15:F17" si="3">B15</f>
        <v>227.5</v>
      </c>
      <c r="F15" s="28">
        <f t="shared" si="3"/>
        <v>7.6999999999999999E-2</v>
      </c>
      <c r="G15" s="22">
        <f>E15*F15</f>
        <v>17.517499999999998</v>
      </c>
      <c r="H15" s="22">
        <f t="shared" si="2"/>
        <v>0</v>
      </c>
      <c r="I15" s="23">
        <f t="shared" si="0"/>
        <v>0</v>
      </c>
      <c r="J15" s="23"/>
      <c r="K15" s="108">
        <f t="shared" ref="K15:K26" si="4">G15/$G$51</f>
        <v>0.21555684091748067</v>
      </c>
    </row>
    <row r="16" spans="1:11" s="1" customFormat="1" x14ac:dyDescent="0.2">
      <c r="A16" s="109" t="s">
        <v>35</v>
      </c>
      <c r="B16" s="75">
        <f>B4*0.17</f>
        <v>59.500000000000007</v>
      </c>
      <c r="C16" s="28">
        <v>0.113</v>
      </c>
      <c r="D16" s="22">
        <f>B16*C16</f>
        <v>6.7235000000000014</v>
      </c>
      <c r="E16" s="73">
        <f t="shared" si="3"/>
        <v>59.500000000000007</v>
      </c>
      <c r="F16" s="28">
        <f t="shared" si="3"/>
        <v>0.113</v>
      </c>
      <c r="G16" s="22">
        <f>E16*F16</f>
        <v>6.7235000000000014</v>
      </c>
      <c r="H16" s="22">
        <f t="shared" si="2"/>
        <v>0</v>
      </c>
      <c r="I16" s="23">
        <f t="shared" si="0"/>
        <v>0</v>
      </c>
      <c r="J16" s="23"/>
      <c r="K16" s="108">
        <f t="shared" si="4"/>
        <v>8.2734204076419682E-2</v>
      </c>
    </row>
    <row r="17" spans="1:11" s="1" customFormat="1" x14ac:dyDescent="0.2">
      <c r="A17" s="109" t="s">
        <v>36</v>
      </c>
      <c r="B17" s="75">
        <f>B4*0.18</f>
        <v>63</v>
      </c>
      <c r="C17" s="28">
        <v>0.157</v>
      </c>
      <c r="D17" s="22">
        <f>B17*C17</f>
        <v>9.891</v>
      </c>
      <c r="E17" s="73">
        <f t="shared" si="3"/>
        <v>63</v>
      </c>
      <c r="F17" s="28">
        <f t="shared" si="3"/>
        <v>0.157</v>
      </c>
      <c r="G17" s="22">
        <f>E17*F17</f>
        <v>9.891</v>
      </c>
      <c r="H17" s="22">
        <f t="shared" si="2"/>
        <v>0</v>
      </c>
      <c r="I17" s="23">
        <f t="shared" si="0"/>
        <v>0</v>
      </c>
      <c r="J17" s="23"/>
      <c r="K17" s="108">
        <f t="shared" si="4"/>
        <v>0.12171101547108901</v>
      </c>
    </row>
    <row r="18" spans="1:11" s="1" customFormat="1" x14ac:dyDescent="0.2">
      <c r="A18" s="61" t="s">
        <v>37</v>
      </c>
      <c r="B18" s="29"/>
      <c r="C18" s="30"/>
      <c r="D18" s="30">
        <f>SUM(D15:D17)</f>
        <v>34.131999999999998</v>
      </c>
      <c r="E18" s="77"/>
      <c r="F18" s="30"/>
      <c r="G18" s="30">
        <f>SUM(G15:G17)</f>
        <v>34.131999999999998</v>
      </c>
      <c r="H18" s="31">
        <f t="shared" si="2"/>
        <v>0</v>
      </c>
      <c r="I18" s="32">
        <f t="shared" si="0"/>
        <v>0</v>
      </c>
      <c r="J18" s="33">
        <f t="shared" ref="J18:J26" si="5">G18/$G$46</f>
        <v>0.43351255641269387</v>
      </c>
      <c r="K18" s="62">
        <f t="shared" si="4"/>
        <v>0.42000206046498934</v>
      </c>
    </row>
    <row r="19" spans="1:11" x14ac:dyDescent="0.2">
      <c r="A19" s="107" t="s">
        <v>38</v>
      </c>
      <c r="B19" s="73">
        <v>1</v>
      </c>
      <c r="C19" s="121">
        <f>VLOOKUP($B$3,'Data for Bill Impacts'!$A$6:$Y$18,7,0)</f>
        <v>27.71</v>
      </c>
      <c r="D19" s="22">
        <f>B19*C19</f>
        <v>27.71</v>
      </c>
      <c r="E19" s="73">
        <f t="shared" si="1"/>
        <v>1</v>
      </c>
      <c r="F19" s="121">
        <f>VLOOKUP($B$3,'Data for Bill Impacts'!$A$6:$Y$18,17,0)</f>
        <v>31.23</v>
      </c>
      <c r="G19" s="22">
        <f>E19*F19</f>
        <v>31.23</v>
      </c>
      <c r="H19" s="22">
        <f t="shared" si="2"/>
        <v>3.5199999999999996</v>
      </c>
      <c r="I19" s="23">
        <f>IF(ISERROR(H19/ABS(D19)),"N/A",(H19/ABS(D19)))</f>
        <v>0.12702995308552867</v>
      </c>
      <c r="J19" s="23">
        <f t="shared" si="5"/>
        <v>0.39665408229135213</v>
      </c>
      <c r="K19" s="108">
        <f t="shared" si="4"/>
        <v>0.38429228724720549</v>
      </c>
    </row>
    <row r="20" spans="1:11" hidden="1" x14ac:dyDescent="0.2">
      <c r="A20" s="107" t="s">
        <v>83</v>
      </c>
      <c r="B20" s="73">
        <v>1</v>
      </c>
      <c r="C20" s="78">
        <f>VLOOKUP($B$3,'Data for Bill Impacts'!$A$6:$Y$18,8,0)</f>
        <v>0</v>
      </c>
      <c r="D20" s="22">
        <f>B20*C20</f>
        <v>0</v>
      </c>
      <c r="E20" s="73">
        <f t="shared" si="1"/>
        <v>1</v>
      </c>
      <c r="F20" s="78">
        <v>0</v>
      </c>
      <c r="G20" s="22">
        <f t="shared" ref="G20:G22" si="6">E20*F20</f>
        <v>0</v>
      </c>
      <c r="H20" s="22">
        <f t="shared" si="2"/>
        <v>0</v>
      </c>
      <c r="I20" s="23" t="str">
        <f t="shared" ref="I20:I51" si="7">IF(ISERROR(H20/ABS(D20)),"N/A",(H20/ABS(D20)))</f>
        <v>N/A</v>
      </c>
      <c r="J20" s="23">
        <f t="shared" si="5"/>
        <v>0</v>
      </c>
      <c r="K20" s="108">
        <f t="shared" si="4"/>
        <v>0</v>
      </c>
    </row>
    <row r="21" spans="1:11" hidden="1" x14ac:dyDescent="0.2">
      <c r="A21" s="107" t="s">
        <v>109</v>
      </c>
      <c r="B21" s="73">
        <v>1</v>
      </c>
      <c r="C21" s="78">
        <f>VLOOKUP($B$3,'Data for Bill Impacts'!$A$6:$Y$18,11,0)</f>
        <v>0</v>
      </c>
      <c r="D21" s="22">
        <f t="shared" ref="D21:D22" si="8">B21*C21</f>
        <v>0</v>
      </c>
      <c r="E21" s="73">
        <f t="shared" si="1"/>
        <v>1</v>
      </c>
      <c r="F21" s="121">
        <f>VLOOKUP($B$3,'Data for Bill Impacts'!$A$6:$Y$18,12,0)</f>
        <v>0</v>
      </c>
      <c r="G21" s="22">
        <f t="shared" si="6"/>
        <v>0</v>
      </c>
      <c r="H21" s="22">
        <f t="shared" ref="H21:H22" si="9">G21-D21</f>
        <v>0</v>
      </c>
      <c r="I21" s="23" t="str">
        <f t="shared" si="7"/>
        <v>N/A</v>
      </c>
      <c r="J21" s="23">
        <f t="shared" si="5"/>
        <v>0</v>
      </c>
      <c r="K21" s="108">
        <f t="shared" si="4"/>
        <v>0</v>
      </c>
    </row>
    <row r="22" spans="1:11" x14ac:dyDescent="0.2">
      <c r="A22" s="107" t="s">
        <v>85</v>
      </c>
      <c r="B22" s="73">
        <v>1</v>
      </c>
      <c r="C22" s="121">
        <f>VLOOKUP($B$3,'Data for Bill Impacts'!$A$6:$Y$18,13,0)</f>
        <v>7.0000000000000001E-3</v>
      </c>
      <c r="D22" s="22">
        <f t="shared" si="8"/>
        <v>7.0000000000000001E-3</v>
      </c>
      <c r="E22" s="73">
        <f t="shared" si="1"/>
        <v>1</v>
      </c>
      <c r="F22" s="121">
        <f>VLOOKUP($B$3,'Data for Bill Impacts'!$A$6:$Y$18,22,0)</f>
        <v>7.0000000000000001E-3</v>
      </c>
      <c r="G22" s="22">
        <f t="shared" si="6"/>
        <v>7.0000000000000001E-3</v>
      </c>
      <c r="H22" s="22">
        <f t="shared" si="9"/>
        <v>0</v>
      </c>
      <c r="I22" s="23">
        <f t="shared" si="7"/>
        <v>0</v>
      </c>
      <c r="J22" s="23">
        <f>G22/$G$46</f>
        <v>8.8907415178977428E-5</v>
      </c>
      <c r="K22" s="108">
        <f t="shared" si="4"/>
        <v>8.6136599767225064E-5</v>
      </c>
    </row>
    <row r="23" spans="1:11" x14ac:dyDescent="0.2">
      <c r="A23" s="107" t="s">
        <v>39</v>
      </c>
      <c r="B23" s="73">
        <f>IF($B$9="kWh",$B$4,$B$5)</f>
        <v>350</v>
      </c>
      <c r="C23" s="78">
        <f>VLOOKUP($B$3,'Data for Bill Impacts'!$A$6:$Y$18,10,0)</f>
        <v>7.7999999999999996E-3</v>
      </c>
      <c r="D23" s="22">
        <f>B23*C23</f>
        <v>2.73</v>
      </c>
      <c r="E23" s="73">
        <f t="shared" si="1"/>
        <v>350</v>
      </c>
      <c r="F23" s="125">
        <f>VLOOKUP($B$3,'Data for Bill Impacts'!$A$6:$Y$18,19,0)</f>
        <v>4.7000000000000002E-3</v>
      </c>
      <c r="G23" s="22">
        <f>E23*F23</f>
        <v>1.645</v>
      </c>
      <c r="H23" s="22">
        <f t="shared" si="2"/>
        <v>-1.085</v>
      </c>
      <c r="I23" s="23">
        <f t="shared" si="7"/>
        <v>-0.39743589743589741</v>
      </c>
      <c r="J23" s="23">
        <f t="shared" si="5"/>
        <v>2.0893242567059694E-2</v>
      </c>
      <c r="K23" s="108">
        <f t="shared" si="4"/>
        <v>2.0242100945297888E-2</v>
      </c>
    </row>
    <row r="24" spans="1:11" x14ac:dyDescent="0.2">
      <c r="A24" s="107" t="s">
        <v>122</v>
      </c>
      <c r="B24" s="73">
        <f>IF($B$9="kWh",$B$4,$B$5)</f>
        <v>350</v>
      </c>
      <c r="C24" s="125">
        <f>VLOOKUP($B$3,'Data for Bill Impacts'!$A$6:$Y$18,14,0)</f>
        <v>3.0000000000000004E-5</v>
      </c>
      <c r="D24" s="22">
        <f>B24*C24</f>
        <v>1.0500000000000001E-2</v>
      </c>
      <c r="E24" s="73">
        <f>B24</f>
        <v>350</v>
      </c>
      <c r="F24" s="125">
        <f>VLOOKUP($B$3,'Data for Bill Impacts'!$A$6:$Y$18,23,0)</f>
        <v>3.0000000000000004E-5</v>
      </c>
      <c r="G24" s="22">
        <f>E24*F24</f>
        <v>1.0500000000000001E-2</v>
      </c>
      <c r="H24" s="22">
        <f t="shared" ref="H24" si="10">G24-D24</f>
        <v>0</v>
      </c>
      <c r="I24" s="23">
        <f t="shared" si="7"/>
        <v>0</v>
      </c>
      <c r="J24" s="23">
        <f t="shared" si="5"/>
        <v>1.3336112276846613E-4</v>
      </c>
      <c r="K24" s="108">
        <f t="shared" si="4"/>
        <v>1.2920489965083758E-4</v>
      </c>
    </row>
    <row r="25" spans="1:11" s="1" customFormat="1" x14ac:dyDescent="0.2">
      <c r="A25" s="110" t="s">
        <v>72</v>
      </c>
      <c r="B25" s="74"/>
      <c r="C25" s="35"/>
      <c r="D25" s="35">
        <f>SUM(D19:D24)</f>
        <v>30.457500000000003</v>
      </c>
      <c r="E25" s="73"/>
      <c r="F25" s="35"/>
      <c r="G25" s="35">
        <f>SUM(G19:G24)</f>
        <v>32.892500000000005</v>
      </c>
      <c r="H25" s="35">
        <f t="shared" si="2"/>
        <v>2.4350000000000023</v>
      </c>
      <c r="I25" s="36">
        <f t="shared" si="7"/>
        <v>7.9947467782976345E-2</v>
      </c>
      <c r="J25" s="36">
        <f t="shared" si="5"/>
        <v>0.41776959339635933</v>
      </c>
      <c r="K25" s="111">
        <f t="shared" si="4"/>
        <v>0.40474972969192152</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7"/>
        <v>0</v>
      </c>
      <c r="J26" s="23">
        <f t="shared" si="5"/>
        <v>1.0033836855913166E-2</v>
      </c>
      <c r="K26" s="108">
        <f t="shared" si="4"/>
        <v>9.7211305451582568E-3</v>
      </c>
    </row>
    <row r="27" spans="1:11" s="1" customFormat="1" x14ac:dyDescent="0.2">
      <c r="A27" s="119" t="s">
        <v>75</v>
      </c>
      <c r="B27" s="120">
        <f>B8-B4</f>
        <v>19.949999999999989</v>
      </c>
      <c r="C27" s="170">
        <f>IF(B4&gt;B7,C13,C12)</f>
        <v>9.0999999999999998E-2</v>
      </c>
      <c r="D27" s="22">
        <f>B27*C27</f>
        <v>1.8154499999999989</v>
      </c>
      <c r="E27" s="73">
        <f>B27</f>
        <v>19.949999999999989</v>
      </c>
      <c r="F27" s="170">
        <f>C27</f>
        <v>9.0999999999999998E-2</v>
      </c>
      <c r="G27" s="22">
        <f>E27*F27</f>
        <v>1.8154499999999989</v>
      </c>
      <c r="H27" s="22">
        <f t="shared" ref="H27:H29" si="11">G27-D27</f>
        <v>0</v>
      </c>
      <c r="I27" s="23">
        <f t="shared" si="7"/>
        <v>0</v>
      </c>
      <c r="J27" s="23">
        <f t="shared" ref="J27:J29" si="12">G27/$G$46</f>
        <v>2.3058138126667779E-2</v>
      </c>
      <c r="K27" s="108">
        <f t="shared" ref="K27:K29" si="13">G27/$G$51</f>
        <v>2.2339527149629806E-2</v>
      </c>
    </row>
    <row r="28" spans="1:11" s="1" customFormat="1" x14ac:dyDescent="0.2">
      <c r="A28" s="119" t="s">
        <v>74</v>
      </c>
      <c r="B28" s="120">
        <f>B8-B4</f>
        <v>19.949999999999989</v>
      </c>
      <c r="C28" s="170">
        <f>0.65*C15+0.17*C16+0.18*C17</f>
        <v>9.7519999999999996E-2</v>
      </c>
      <c r="D28" s="22">
        <f>B28*C28</f>
        <v>1.9455239999999987</v>
      </c>
      <c r="E28" s="73">
        <f>B28</f>
        <v>19.949999999999989</v>
      </c>
      <c r="F28" s="170">
        <f>C28</f>
        <v>9.7519999999999996E-2</v>
      </c>
      <c r="G28" s="22">
        <f>E28*F28</f>
        <v>1.9455239999999987</v>
      </c>
      <c r="H28" s="22">
        <f t="shared" ref="H28" si="14">G28-D28</f>
        <v>0</v>
      </c>
      <c r="I28" s="23">
        <f t="shared" si="7"/>
        <v>0</v>
      </c>
      <c r="J28" s="23">
        <f t="shared" ref="J28" si="15">G28/$G$46</f>
        <v>2.4710215715523537E-2</v>
      </c>
      <c r="K28" s="108">
        <f t="shared" ref="K28" si="16">G28/$G$51</f>
        <v>2.3940117446504379E-2</v>
      </c>
    </row>
    <row r="29" spans="1:11" s="1" customFormat="1" x14ac:dyDescent="0.2">
      <c r="A29" s="110" t="s">
        <v>78</v>
      </c>
      <c r="B29" s="74"/>
      <c r="C29" s="35"/>
      <c r="D29" s="35">
        <f>SUM(D25,D26:D27)</f>
        <v>33.062950000000001</v>
      </c>
      <c r="E29" s="73"/>
      <c r="F29" s="35"/>
      <c r="G29" s="35">
        <f>SUM(G25,G26:G27)</f>
        <v>35.497950000000003</v>
      </c>
      <c r="H29" s="35">
        <f t="shared" si="11"/>
        <v>2.4350000000000023</v>
      </c>
      <c r="I29" s="36">
        <f t="shared" si="7"/>
        <v>7.3647390810559918E-2</v>
      </c>
      <c r="J29" s="36">
        <f t="shared" si="12"/>
        <v>0.45086156837894026</v>
      </c>
      <c r="K29" s="111">
        <f t="shared" si="13"/>
        <v>0.43681038738670958</v>
      </c>
    </row>
    <row r="30" spans="1:11" s="1" customFormat="1" x14ac:dyDescent="0.2">
      <c r="A30" s="110" t="s">
        <v>77</v>
      </c>
      <c r="B30" s="74"/>
      <c r="C30" s="35"/>
      <c r="D30" s="35">
        <f>SUM(D25,D26,D28)</f>
        <v>33.193024000000001</v>
      </c>
      <c r="E30" s="73"/>
      <c r="F30" s="35"/>
      <c r="G30" s="35">
        <f>SUM(G25,G26,G28)</f>
        <v>35.628024000000003</v>
      </c>
      <c r="H30" s="35">
        <f t="shared" ref="H30" si="17">G30-D30</f>
        <v>2.4350000000000023</v>
      </c>
      <c r="I30" s="36">
        <f t="shared" si="7"/>
        <v>7.3358787677796466E-2</v>
      </c>
      <c r="J30" s="36">
        <f t="shared" ref="J30" si="18">G30/$G$46</f>
        <v>0.45251364596779603</v>
      </c>
      <c r="K30" s="111">
        <f t="shared" ref="K30" si="19">G30/$G$51</f>
        <v>0.43841097768358417</v>
      </c>
    </row>
    <row r="31" spans="1:11" x14ac:dyDescent="0.2">
      <c r="A31" s="107" t="s">
        <v>40</v>
      </c>
      <c r="B31" s="73">
        <f>B8</f>
        <v>369.95</v>
      </c>
      <c r="C31" s="125">
        <f>VLOOKUP($B$3,'Data for Bill Impacts'!$A$6:$Y$18,15,0)</f>
        <v>7.8279999999999999E-3</v>
      </c>
      <c r="D31" s="22">
        <f>B31*C31</f>
        <v>2.8959685999999998</v>
      </c>
      <c r="E31" s="73">
        <f t="shared" si="1"/>
        <v>369.95</v>
      </c>
      <c r="F31" s="125">
        <f>VLOOKUP($B$3,'Data for Bill Impacts'!$A$6:$Y$18,24,0)</f>
        <v>7.8279999999999999E-3</v>
      </c>
      <c r="G31" s="22">
        <f>E31*F31</f>
        <v>2.8959685999999998</v>
      </c>
      <c r="H31" s="22">
        <f t="shared" si="2"/>
        <v>0</v>
      </c>
      <c r="I31" s="23">
        <f t="shared" si="7"/>
        <v>0</v>
      </c>
      <c r="J31" s="23">
        <f t="shared" ref="J31:J46" si="20">G31/$G$46</f>
        <v>3.6781868952211708E-2</v>
      </c>
      <c r="K31" s="108">
        <f t="shared" ref="K31:K41" si="21">G31/$G$51</f>
        <v>3.5635555462378725E-2</v>
      </c>
    </row>
    <row r="32" spans="1:11" x14ac:dyDescent="0.2">
      <c r="A32" s="107" t="s">
        <v>41</v>
      </c>
      <c r="B32" s="73">
        <f>B8</f>
        <v>369.95</v>
      </c>
      <c r="C32" s="125">
        <f>VLOOKUP($B$3,'Data for Bill Impacts'!$A$6:$Y$18,16,0)</f>
        <v>6.4380000000000001E-3</v>
      </c>
      <c r="D32" s="22">
        <f>B32*C32</f>
        <v>2.3817381000000002</v>
      </c>
      <c r="E32" s="73">
        <f t="shared" si="1"/>
        <v>369.95</v>
      </c>
      <c r="F32" s="125">
        <f>VLOOKUP($B$3,'Data for Bill Impacts'!$A$6:$Y$18,25,0)</f>
        <v>6.4380000000000001E-3</v>
      </c>
      <c r="G32" s="22">
        <f>E32*F32</f>
        <v>2.3817381000000002</v>
      </c>
      <c r="H32" s="22">
        <f t="shared" si="2"/>
        <v>0</v>
      </c>
      <c r="I32" s="23">
        <f t="shared" si="7"/>
        <v>0</v>
      </c>
      <c r="J32" s="23">
        <f t="shared" si="20"/>
        <v>3.0250596872041267E-2</v>
      </c>
      <c r="K32" s="108">
        <f t="shared" si="21"/>
        <v>2.9307831638578724E-2</v>
      </c>
    </row>
    <row r="33" spans="1:11" s="1" customFormat="1" x14ac:dyDescent="0.2">
      <c r="A33" s="110" t="s">
        <v>76</v>
      </c>
      <c r="B33" s="74"/>
      <c r="C33" s="35"/>
      <c r="D33" s="35">
        <f>SUM(D31:D32)</f>
        <v>5.2777066999999995</v>
      </c>
      <c r="E33" s="73"/>
      <c r="F33" s="35"/>
      <c r="G33" s="35">
        <f>SUM(G31:G32)</f>
        <v>5.2777066999999995</v>
      </c>
      <c r="H33" s="35">
        <f t="shared" si="2"/>
        <v>0</v>
      </c>
      <c r="I33" s="36">
        <f t="shared" si="7"/>
        <v>0</v>
      </c>
      <c r="J33" s="36">
        <f t="shared" si="20"/>
        <v>6.7032465824252971E-2</v>
      </c>
      <c r="K33" s="111">
        <f t="shared" si="21"/>
        <v>6.4943387100957442E-2</v>
      </c>
    </row>
    <row r="34" spans="1:11" s="1" customFormat="1" x14ac:dyDescent="0.2">
      <c r="A34" s="110" t="s">
        <v>91</v>
      </c>
      <c r="B34" s="74"/>
      <c r="C34" s="35"/>
      <c r="D34" s="35">
        <f>D29+D33</f>
        <v>38.340656699999997</v>
      </c>
      <c r="E34" s="73"/>
      <c r="F34" s="35"/>
      <c r="G34" s="35">
        <f>G29+G33</f>
        <v>40.775656699999999</v>
      </c>
      <c r="H34" s="35">
        <f t="shared" si="2"/>
        <v>2.4350000000000023</v>
      </c>
      <c r="I34" s="36">
        <f t="shared" si="7"/>
        <v>6.3509605979179859E-2</v>
      </c>
      <c r="J34" s="36">
        <f t="shared" si="20"/>
        <v>0.51789403420319313</v>
      </c>
      <c r="K34" s="111">
        <f t="shared" si="21"/>
        <v>0.501753774487667</v>
      </c>
    </row>
    <row r="35" spans="1:11" s="1" customFormat="1" x14ac:dyDescent="0.2">
      <c r="A35" s="110" t="s">
        <v>92</v>
      </c>
      <c r="B35" s="74"/>
      <c r="C35" s="35"/>
      <c r="D35" s="35">
        <f>D30+D33</f>
        <v>38.470730700000004</v>
      </c>
      <c r="E35" s="73"/>
      <c r="F35" s="35"/>
      <c r="G35" s="35">
        <f>G30+G33</f>
        <v>40.905730700000007</v>
      </c>
      <c r="H35" s="35">
        <f t="shared" ref="H35" si="22">G35-D35</f>
        <v>2.4350000000000023</v>
      </c>
      <c r="I35" s="36">
        <f t="shared" si="7"/>
        <v>6.3294872639370017E-2</v>
      </c>
      <c r="J35" s="36">
        <f t="shared" ref="J35" si="23">G35/$G$46</f>
        <v>0.51954611179204901</v>
      </c>
      <c r="K35" s="111">
        <f t="shared" ref="K35" si="24">G35/$G$51</f>
        <v>0.50335436478454165</v>
      </c>
    </row>
    <row r="36" spans="1:11" x14ac:dyDescent="0.2">
      <c r="A36" s="107" t="s">
        <v>42</v>
      </c>
      <c r="B36" s="73">
        <f>B8</f>
        <v>369.95</v>
      </c>
      <c r="C36" s="34">
        <v>3.5999999999999999E-3</v>
      </c>
      <c r="D36" s="22">
        <f>B36*C36</f>
        <v>1.33182</v>
      </c>
      <c r="E36" s="73">
        <f t="shared" si="1"/>
        <v>369.95</v>
      </c>
      <c r="F36" s="34">
        <v>3.5999999999999999E-3</v>
      </c>
      <c r="G36" s="22">
        <f>E36*F36</f>
        <v>1.33182</v>
      </c>
      <c r="H36" s="22">
        <f t="shared" si="2"/>
        <v>0</v>
      </c>
      <c r="I36" s="23">
        <f t="shared" si="7"/>
        <v>0</v>
      </c>
      <c r="J36" s="23">
        <f t="shared" si="20"/>
        <v>1.6915524811952243E-2</v>
      </c>
      <c r="K36" s="108">
        <f t="shared" si="21"/>
        <v>1.6388349471712239E-2</v>
      </c>
    </row>
    <row r="37" spans="1:11" x14ac:dyDescent="0.2">
      <c r="A37" s="107" t="s">
        <v>43</v>
      </c>
      <c r="B37" s="73">
        <f>B8</f>
        <v>369.95</v>
      </c>
      <c r="C37" s="34">
        <v>2.0999999999999999E-3</v>
      </c>
      <c r="D37" s="22">
        <f>B37*C37</f>
        <v>0.77689499999999989</v>
      </c>
      <c r="E37" s="73">
        <f t="shared" si="1"/>
        <v>369.95</v>
      </c>
      <c r="F37" s="34">
        <v>2.0999999999999999E-3</v>
      </c>
      <c r="G37" s="22">
        <f>E37*F37</f>
        <v>0.77689499999999989</v>
      </c>
      <c r="H37" s="22">
        <f>G37-D37</f>
        <v>0</v>
      </c>
      <c r="I37" s="23">
        <f t="shared" si="7"/>
        <v>0</v>
      </c>
      <c r="J37" s="23">
        <f t="shared" si="20"/>
        <v>9.8673894736388077E-3</v>
      </c>
      <c r="K37" s="108">
        <f t="shared" si="21"/>
        <v>9.5598705251654717E-3</v>
      </c>
    </row>
    <row r="38" spans="1:11" x14ac:dyDescent="0.2">
      <c r="A38" s="107" t="s">
        <v>96</v>
      </c>
      <c r="B38" s="73">
        <f>B8</f>
        <v>369.95</v>
      </c>
      <c r="C38" s="34">
        <v>0</v>
      </c>
      <c r="D38" s="22">
        <f>B38*C38</f>
        <v>0</v>
      </c>
      <c r="E38" s="73">
        <f t="shared" si="1"/>
        <v>369.95</v>
      </c>
      <c r="F38" s="34">
        <v>0</v>
      </c>
      <c r="G38" s="22">
        <f>E38*F38</f>
        <v>0</v>
      </c>
      <c r="H38" s="22">
        <f>G38-D38</f>
        <v>0</v>
      </c>
      <c r="I38" s="23" t="str">
        <f t="shared" si="7"/>
        <v>N/A</v>
      </c>
      <c r="J38" s="23">
        <f t="shared" ref="J38" si="25">G38/$G$46</f>
        <v>0</v>
      </c>
      <c r="K38" s="108">
        <f t="shared" ref="K38" si="26">G38/$G$51</f>
        <v>0</v>
      </c>
    </row>
    <row r="39" spans="1:11" x14ac:dyDescent="0.2">
      <c r="A39" s="107" t="s">
        <v>44</v>
      </c>
      <c r="B39" s="73">
        <v>1</v>
      </c>
      <c r="C39" s="22">
        <v>0.25</v>
      </c>
      <c r="D39" s="22">
        <f>B39*C39</f>
        <v>0.25</v>
      </c>
      <c r="E39" s="73">
        <f t="shared" si="1"/>
        <v>1</v>
      </c>
      <c r="F39" s="22">
        <f>C39</f>
        <v>0.25</v>
      </c>
      <c r="G39" s="22">
        <f>E39*F39</f>
        <v>0.25</v>
      </c>
      <c r="H39" s="22">
        <f t="shared" si="2"/>
        <v>0</v>
      </c>
      <c r="I39" s="23">
        <f t="shared" si="7"/>
        <v>0</v>
      </c>
      <c r="J39" s="23">
        <f t="shared" si="20"/>
        <v>3.1752648278206221E-3</v>
      </c>
      <c r="K39" s="108">
        <f t="shared" si="21"/>
        <v>3.0763071345437519E-3</v>
      </c>
    </row>
    <row r="40" spans="1:11" s="1" customFormat="1" x14ac:dyDescent="0.2">
      <c r="A40" s="110" t="s">
        <v>45</v>
      </c>
      <c r="B40" s="74"/>
      <c r="C40" s="35"/>
      <c r="D40" s="35">
        <f>SUM(D36:D39)</f>
        <v>2.3587150000000001</v>
      </c>
      <c r="E40" s="73"/>
      <c r="F40" s="35"/>
      <c r="G40" s="35">
        <f>SUM(G36:G39)</f>
        <v>2.3587150000000001</v>
      </c>
      <c r="H40" s="35">
        <f t="shared" si="2"/>
        <v>0</v>
      </c>
      <c r="I40" s="36">
        <f t="shared" si="7"/>
        <v>0</v>
      </c>
      <c r="J40" s="36">
        <f t="shared" si="20"/>
        <v>2.9958179113411677E-2</v>
      </c>
      <c r="K40" s="111">
        <f t="shared" si="21"/>
        <v>2.9024527131421465E-2</v>
      </c>
    </row>
    <row r="41" spans="1:11" s="1" customFormat="1" ht="13.5" thickBot="1" x14ac:dyDescent="0.25">
      <c r="A41" s="112" t="s">
        <v>46</v>
      </c>
      <c r="B41" s="113">
        <f>B4</f>
        <v>350</v>
      </c>
      <c r="C41" s="114">
        <v>0</v>
      </c>
      <c r="D41" s="115">
        <f>B41*C41</f>
        <v>0</v>
      </c>
      <c r="E41" s="116">
        <f t="shared" si="1"/>
        <v>350</v>
      </c>
      <c r="F41" s="114">
        <f>C41</f>
        <v>0</v>
      </c>
      <c r="G41" s="115">
        <f>E41*F41</f>
        <v>0</v>
      </c>
      <c r="H41" s="115">
        <f t="shared" si="2"/>
        <v>0</v>
      </c>
      <c r="I41" s="117" t="str">
        <f t="shared" si="7"/>
        <v>N/A</v>
      </c>
      <c r="J41" s="117">
        <f t="shared" si="20"/>
        <v>0</v>
      </c>
      <c r="K41" s="118">
        <f t="shared" si="21"/>
        <v>0</v>
      </c>
    </row>
    <row r="42" spans="1:11" s="1" customFormat="1" x14ac:dyDescent="0.2">
      <c r="A42" s="37" t="s">
        <v>101</v>
      </c>
      <c r="B42" s="38"/>
      <c r="C42" s="39"/>
      <c r="D42" s="39">
        <f>SUM(D14,D25,D26,D27,D33,D40,D41)</f>
        <v>72.549371700000009</v>
      </c>
      <c r="E42" s="38"/>
      <c r="F42" s="39"/>
      <c r="G42" s="39">
        <f>SUM(G14,G25,G26,G27,G33,G40,G41)</f>
        <v>74.984371700000011</v>
      </c>
      <c r="H42" s="39">
        <f t="shared" si="2"/>
        <v>2.4350000000000023</v>
      </c>
      <c r="I42" s="40">
        <f t="shared" si="7"/>
        <v>3.3563350625130252E-2</v>
      </c>
      <c r="J42" s="40">
        <f t="shared" si="20"/>
        <v>0.95238095238095233</v>
      </c>
      <c r="K42" s="41"/>
    </row>
    <row r="43" spans="1:11" x14ac:dyDescent="0.2">
      <c r="A43" s="153" t="s">
        <v>102</v>
      </c>
      <c r="B43" s="43"/>
      <c r="C43" s="26">
        <v>0.13</v>
      </c>
      <c r="D43" s="26">
        <f>D42*C43</f>
        <v>9.4314183210000007</v>
      </c>
      <c r="E43" s="26"/>
      <c r="F43" s="26">
        <f>C43</f>
        <v>0.13</v>
      </c>
      <c r="G43" s="26">
        <f>G42*F43</f>
        <v>9.7479683210000019</v>
      </c>
      <c r="H43" s="26">
        <f t="shared" si="2"/>
        <v>0.31655000000000122</v>
      </c>
      <c r="I43" s="44">
        <f t="shared" si="7"/>
        <v>3.3563350625130349E-2</v>
      </c>
      <c r="J43" s="44">
        <f t="shared" si="20"/>
        <v>0.1238095238095238</v>
      </c>
      <c r="K43" s="45"/>
    </row>
    <row r="44" spans="1:11" s="1" customFormat="1" x14ac:dyDescent="0.2">
      <c r="A44" s="46" t="s">
        <v>103</v>
      </c>
      <c r="B44" s="24"/>
      <c r="C44" s="25"/>
      <c r="D44" s="25">
        <f>SUM(D42:D43)</f>
        <v>81.980790021000004</v>
      </c>
      <c r="E44" s="25"/>
      <c r="F44" s="25"/>
      <c r="G44" s="25">
        <f>SUM(G42:G43)</f>
        <v>84.732340021000013</v>
      </c>
      <c r="H44" s="25">
        <f t="shared" si="2"/>
        <v>2.7515500000000088</v>
      </c>
      <c r="I44" s="27">
        <f t="shared" si="7"/>
        <v>3.3563350625130328E-2</v>
      </c>
      <c r="J44" s="27">
        <f t="shared" si="20"/>
        <v>1.0761904761904761</v>
      </c>
      <c r="K44" s="47"/>
    </row>
    <row r="45" spans="1:11" x14ac:dyDescent="0.2">
      <c r="A45" s="42" t="s">
        <v>104</v>
      </c>
      <c r="B45" s="43"/>
      <c r="C45" s="26">
        <v>-0.08</v>
      </c>
      <c r="D45" s="26">
        <f>D42*C45</f>
        <v>-5.8039497360000007</v>
      </c>
      <c r="E45" s="26"/>
      <c r="F45" s="26">
        <f>C45</f>
        <v>-0.08</v>
      </c>
      <c r="G45" s="26">
        <f>G42*F45</f>
        <v>-5.9987497360000006</v>
      </c>
      <c r="H45" s="26">
        <f t="shared" si="2"/>
        <v>-0.19479999999999986</v>
      </c>
      <c r="I45" s="44">
        <f t="shared" si="7"/>
        <v>-3.3563350625130196E-2</v>
      </c>
      <c r="J45" s="44">
        <f t="shared" si="20"/>
        <v>-7.6190476190476183E-2</v>
      </c>
      <c r="K45" s="45"/>
    </row>
    <row r="46" spans="1:11" s="1" customFormat="1" ht="13.5" thickBot="1" x14ac:dyDescent="0.25">
      <c r="A46" s="48" t="s">
        <v>105</v>
      </c>
      <c r="B46" s="49"/>
      <c r="C46" s="50"/>
      <c r="D46" s="50">
        <f>SUM(D44:D45)</f>
        <v>76.176840284999997</v>
      </c>
      <c r="E46" s="50"/>
      <c r="F46" s="50"/>
      <c r="G46" s="50">
        <f>SUM(G44:G45)</f>
        <v>78.73359028500002</v>
      </c>
      <c r="H46" s="50">
        <f t="shared" si="2"/>
        <v>2.5567500000000223</v>
      </c>
      <c r="I46" s="51">
        <f t="shared" si="7"/>
        <v>3.3563350625130516E-2</v>
      </c>
      <c r="J46" s="51">
        <f t="shared" si="20"/>
        <v>1</v>
      </c>
      <c r="K46" s="52"/>
    </row>
    <row r="47" spans="1:11" x14ac:dyDescent="0.2">
      <c r="A47" s="53" t="s">
        <v>106</v>
      </c>
      <c r="B47" s="54"/>
      <c r="C47" s="55"/>
      <c r="D47" s="55">
        <f>SUM(D18,D25,D26,D28,D33,D40,D41)</f>
        <v>74.961445699999999</v>
      </c>
      <c r="E47" s="55"/>
      <c r="F47" s="55"/>
      <c r="G47" s="55">
        <f>SUM(G18,G25,G26,G28,G33,G40,G41)</f>
        <v>77.396445700000001</v>
      </c>
      <c r="H47" s="55">
        <f>G47-D47</f>
        <v>2.4350000000000023</v>
      </c>
      <c r="I47" s="56">
        <f t="shared" si="7"/>
        <v>3.2483364978645311E-2</v>
      </c>
      <c r="J47" s="56"/>
      <c r="K47" s="57">
        <f>G47/$G$51</f>
        <v>0.95238095238095244</v>
      </c>
    </row>
    <row r="48" spans="1:11" x14ac:dyDescent="0.2">
      <c r="A48" s="154" t="s">
        <v>102</v>
      </c>
      <c r="B48" s="59"/>
      <c r="C48" s="31">
        <v>0.13</v>
      </c>
      <c r="D48" s="31">
        <f>D47*C48</f>
        <v>9.7449879409999998</v>
      </c>
      <c r="E48" s="31"/>
      <c r="F48" s="31">
        <f>C48</f>
        <v>0.13</v>
      </c>
      <c r="G48" s="31">
        <f>G47*F48</f>
        <v>10.061537941000001</v>
      </c>
      <c r="H48" s="31">
        <f>G48-D48</f>
        <v>0.31655000000000122</v>
      </c>
      <c r="I48" s="32">
        <f t="shared" si="7"/>
        <v>3.2483364978645408E-2</v>
      </c>
      <c r="J48" s="32"/>
      <c r="K48" s="60">
        <f>G48/$G$51</f>
        <v>0.12380952380952383</v>
      </c>
    </row>
    <row r="49" spans="1:11" x14ac:dyDescent="0.2">
      <c r="A49" s="61" t="s">
        <v>107</v>
      </c>
      <c r="B49" s="29"/>
      <c r="C49" s="30"/>
      <c r="D49" s="30">
        <f>SUM(D47:D48)</f>
        <v>84.706433641000004</v>
      </c>
      <c r="E49" s="30"/>
      <c r="F49" s="30"/>
      <c r="G49" s="30">
        <f>SUM(G47:G48)</f>
        <v>87.457983640999998</v>
      </c>
      <c r="H49" s="30">
        <f>G49-D49</f>
        <v>2.7515499999999946</v>
      </c>
      <c r="I49" s="33">
        <f t="shared" si="7"/>
        <v>3.2483364978645214E-2</v>
      </c>
      <c r="J49" s="33"/>
      <c r="K49" s="62">
        <f>G49/$G$51</f>
        <v>1.0761904761904761</v>
      </c>
    </row>
    <row r="50" spans="1:11" x14ac:dyDescent="0.2">
      <c r="A50" s="58" t="s">
        <v>104</v>
      </c>
      <c r="B50" s="59"/>
      <c r="C50" s="31">
        <v>-0.08</v>
      </c>
      <c r="D50" s="31">
        <f>D47*C50</f>
        <v>-5.9969156559999997</v>
      </c>
      <c r="E50" s="31"/>
      <c r="F50" s="31">
        <f>C50</f>
        <v>-0.08</v>
      </c>
      <c r="G50" s="31">
        <f>G47*F50</f>
        <v>-6.1917156560000004</v>
      </c>
      <c r="H50" s="31">
        <f>G50-D50</f>
        <v>-0.19480000000000075</v>
      </c>
      <c r="I50" s="32">
        <f t="shared" si="7"/>
        <v>-3.2483364978645408E-2</v>
      </c>
      <c r="J50" s="32"/>
      <c r="K50" s="60">
        <f>G50/$G$51</f>
        <v>-7.6190476190476197E-2</v>
      </c>
    </row>
    <row r="51" spans="1:11" ht="13.5" thickBot="1" x14ac:dyDescent="0.25">
      <c r="A51" s="63" t="s">
        <v>116</v>
      </c>
      <c r="B51" s="64"/>
      <c r="C51" s="65"/>
      <c r="D51" s="65">
        <f>SUM(D49:D50)</f>
        <v>78.709517985000005</v>
      </c>
      <c r="E51" s="65"/>
      <c r="F51" s="65"/>
      <c r="G51" s="65">
        <f>SUM(G49:G50)</f>
        <v>81.266267984999999</v>
      </c>
      <c r="H51" s="65">
        <f>G51-D51</f>
        <v>2.5567499999999939</v>
      </c>
      <c r="I51" s="66">
        <f t="shared" si="7"/>
        <v>3.24833649786452E-2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0"/>
  <sheetViews>
    <sheetView tabSelected="1" view="pageLayout" topLeftCell="A4"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119</v>
      </c>
      <c r="B1" s="186"/>
      <c r="C1" s="186"/>
      <c r="D1" s="186"/>
      <c r="E1" s="186"/>
      <c r="F1" s="186"/>
      <c r="G1" s="186"/>
      <c r="H1" s="186"/>
      <c r="I1" s="186"/>
      <c r="J1" s="187"/>
    </row>
    <row r="3" spans="1:10" x14ac:dyDescent="0.2">
      <c r="A3" s="13" t="s">
        <v>13</v>
      </c>
      <c r="B3" s="13" t="s">
        <v>5</v>
      </c>
    </row>
    <row r="4" spans="1:10" x14ac:dyDescent="0.2">
      <c r="A4" s="15" t="s">
        <v>62</v>
      </c>
      <c r="B4" s="79">
        <f>VLOOKUP(B3,'Data for Bill Impacts'!A22:D34,3,FALSE)</f>
        <v>36104</v>
      </c>
    </row>
    <row r="5" spans="1:10" x14ac:dyDescent="0.2">
      <c r="A5" s="15" t="s">
        <v>16</v>
      </c>
      <c r="B5" s="79">
        <f>VLOOKUP(B3,'Data for Bill Impacts'!A22:D34,4,FALSE)</f>
        <v>124</v>
      </c>
    </row>
    <row r="6" spans="1:10" x14ac:dyDescent="0.2">
      <c r="A6" s="15" t="s">
        <v>20</v>
      </c>
      <c r="B6" s="80">
        <f>VLOOKUP($B$3,'Data for Bill Impacts'!$A$6:$Y$18,2,0)</f>
        <v>1.0609999999999999</v>
      </c>
    </row>
    <row r="7" spans="1:10" x14ac:dyDescent="0.2">
      <c r="A7" s="81" t="s">
        <v>48</v>
      </c>
      <c r="B7" s="82">
        <f>B4/(B5*730)</f>
        <v>0.39885108263367214</v>
      </c>
    </row>
    <row r="8" spans="1:10" x14ac:dyDescent="0.2">
      <c r="A8" s="15" t="s">
        <v>15</v>
      </c>
      <c r="B8" s="79">
        <f>VLOOKUP($B$3,'Data for Bill Impacts'!$A$6:$Y$18,4,0)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38306.343999999997</v>
      </c>
      <c r="C13" s="103">
        <v>9.0999999999999998E-2</v>
      </c>
      <c r="D13" s="104">
        <f>B13*C13</f>
        <v>3485.8773039999996</v>
      </c>
      <c r="E13" s="102">
        <f>B13</f>
        <v>38306.343999999997</v>
      </c>
      <c r="F13" s="103">
        <f>C13</f>
        <v>9.0999999999999998E-2</v>
      </c>
      <c r="G13" s="104">
        <f>E13*F13</f>
        <v>3485.8773039999996</v>
      </c>
      <c r="H13" s="104">
        <f>G13-D13</f>
        <v>0</v>
      </c>
      <c r="I13" s="105">
        <f t="shared" ref="I13:I18" si="0">IF(ISERROR(H13/ABS(D13)),"N/A",(H13/ABS(D13)))</f>
        <v>0</v>
      </c>
      <c r="J13" s="123">
        <f t="shared" ref="J13:J21" si="1">G13/$G$38</f>
        <v>0.46856163045826427</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3485.8773039999996</v>
      </c>
      <c r="E15" s="76"/>
      <c r="F15" s="25"/>
      <c r="G15" s="25">
        <f>SUM(G13:G14)</f>
        <v>3485.8773039999996</v>
      </c>
      <c r="H15" s="25">
        <f t="shared" si="3"/>
        <v>0</v>
      </c>
      <c r="I15" s="27">
        <f t="shared" si="0"/>
        <v>0</v>
      </c>
      <c r="J15" s="47">
        <f t="shared" si="1"/>
        <v>0.46856163045826427</v>
      </c>
    </row>
    <row r="16" spans="1:10" s="1" customFormat="1" x14ac:dyDescent="0.2">
      <c r="A16" s="107" t="s">
        <v>38</v>
      </c>
      <c r="B16" s="73">
        <v>1</v>
      </c>
      <c r="C16" s="78">
        <f>VLOOKUP($B$3,'Data for Bill Impacts'!$A$6:$Y$18,7,0)</f>
        <v>102.52</v>
      </c>
      <c r="D16" s="22">
        <f>B16*C16</f>
        <v>102.52</v>
      </c>
      <c r="E16" s="73">
        <f t="shared" ref="E16:E33" si="4">B16</f>
        <v>1</v>
      </c>
      <c r="F16" s="78">
        <f>VLOOKUP($B$3,'Data for Bill Impacts'!$A$6:$Y$18,17,0)</f>
        <v>104.19</v>
      </c>
      <c r="G16" s="22">
        <f>E16*F16</f>
        <v>104.19</v>
      </c>
      <c r="H16" s="22">
        <f t="shared" si="3"/>
        <v>1.6700000000000017</v>
      </c>
      <c r="I16" s="23">
        <f t="shared" si="0"/>
        <v>1.6289504486929396E-2</v>
      </c>
      <c r="J16" s="124">
        <f t="shared" si="1"/>
        <v>1.4004921005517571E-2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121">
        <f>VLOOKUP($B$3,'Data for Bill Impacts'!$A$6:$Y$18,13,0)</f>
        <v>-8.9999999999999993E-3</v>
      </c>
      <c r="D19" s="22">
        <f t="shared" si="6"/>
        <v>-8.9999999999999993E-3</v>
      </c>
      <c r="E19" s="73">
        <f t="shared" si="4"/>
        <v>1</v>
      </c>
      <c r="F19" s="121">
        <f>VLOOKUP($B$3,'Data for Bill Impacts'!$A$6:$Y$18,22,0)</f>
        <v>-8.9999999999999993E-3</v>
      </c>
      <c r="G19" s="22">
        <f t="shared" si="5"/>
        <v>-8.9999999999999993E-3</v>
      </c>
      <c r="H19" s="22">
        <f t="shared" si="3"/>
        <v>0</v>
      </c>
      <c r="I19" s="23">
        <f>IF(ISERROR(H19/ABS(D19)),"N/A",(H19/ABS(D19)))</f>
        <v>0</v>
      </c>
      <c r="J19" s="124">
        <f t="shared" si="1"/>
        <v>-1.209754189938172E-6</v>
      </c>
    </row>
    <row r="20" spans="1:10" x14ac:dyDescent="0.2">
      <c r="A20" s="107" t="s">
        <v>39</v>
      </c>
      <c r="B20" s="73">
        <f>IF($B$10="kWh",$B$4,$B$5)</f>
        <v>124</v>
      </c>
      <c r="C20" s="78">
        <f>VLOOKUP($B$3,'Data for Bill Impacts'!$A$6:$Y$18,10,0)</f>
        <v>16.768900000000002</v>
      </c>
      <c r="D20" s="22">
        <f>B20*C20</f>
        <v>2079.3436000000002</v>
      </c>
      <c r="E20" s="73">
        <f t="shared" si="4"/>
        <v>124</v>
      </c>
      <c r="F20" s="125">
        <f>VLOOKUP($B$3,'Data for Bill Impacts'!$A$6:$Y$18,19,0)</f>
        <v>17.387</v>
      </c>
      <c r="G20" s="22">
        <f>E20*F20</f>
        <v>2155.9880000000003</v>
      </c>
      <c r="H20" s="22">
        <f t="shared" si="3"/>
        <v>76.644400000000132</v>
      </c>
      <c r="I20" s="23">
        <f t="shared" ref="I20" si="7">IF(ISERROR(H20/D20),0,(H20/D20))</f>
        <v>3.6859901365026988E-2</v>
      </c>
      <c r="J20" s="124">
        <f t="shared" si="1"/>
        <v>0.28980172405071331</v>
      </c>
    </row>
    <row r="21" spans="1:10" s="1" customFormat="1" x14ac:dyDescent="0.2">
      <c r="A21" s="107" t="s">
        <v>122</v>
      </c>
      <c r="B21" s="73">
        <f>IF($B$10="kWh",$B$4,$B$5)</f>
        <v>124</v>
      </c>
      <c r="C21" s="125">
        <f>VLOOKUP($B$3,'Data for Bill Impacts'!$A$6:$Y$18,14,0)</f>
        <v>5.1599999999999997E-3</v>
      </c>
      <c r="D21" s="22">
        <f>B21*C21</f>
        <v>0.63983999999999996</v>
      </c>
      <c r="E21" s="73">
        <f t="shared" si="4"/>
        <v>124</v>
      </c>
      <c r="F21" s="125">
        <f>VLOOKUP($B$3,'Data for Bill Impacts'!$A$6:$Y$18,23,0)</f>
        <v>5.1599999999999997E-3</v>
      </c>
      <c r="G21" s="22">
        <f>E21*F21</f>
        <v>0.63983999999999996</v>
      </c>
      <c r="H21" s="22">
        <f t="shared" si="3"/>
        <v>0</v>
      </c>
      <c r="I21" s="23">
        <f>IF(ISERROR(H21/D21),0,(H21/D21))</f>
        <v>0</v>
      </c>
      <c r="J21" s="124">
        <f t="shared" si="1"/>
        <v>8.6005457876671109E-5</v>
      </c>
    </row>
    <row r="22" spans="1:10" s="1" customFormat="1" x14ac:dyDescent="0.2">
      <c r="A22" s="107" t="s">
        <v>108</v>
      </c>
      <c r="B22" s="73">
        <f>B9</f>
        <v>38306.343999999997</v>
      </c>
      <c r="C22" s="125">
        <f>VLOOKUP($B$3,'Data for Bill Impacts'!$A$6:$Y$18,20,0)</f>
        <v>0</v>
      </c>
      <c r="D22" s="22">
        <f>B22*C22</f>
        <v>0</v>
      </c>
      <c r="E22" s="73">
        <f>B22</f>
        <v>38306.343999999997</v>
      </c>
      <c r="F22" s="125">
        <f>VLOOKUP($B$3,'Data for Bill Impacts'!$A$6:$Y$18,21,0)</f>
        <v>0</v>
      </c>
      <c r="G22" s="22">
        <f>E22*F22</f>
        <v>0</v>
      </c>
      <c r="H22" s="22">
        <f t="shared" ref="H22" si="8">G22-D22</f>
        <v>0</v>
      </c>
      <c r="I22" s="23" t="str">
        <f t="shared" ref="I22:I38" si="9">IF(ISERROR(H22/ABS(D22)),"N/A",(H22/ABS(D22)))</f>
        <v>N/A</v>
      </c>
      <c r="J22" s="124">
        <f t="shared" ref="J22" si="10">G22/$G$38</f>
        <v>0</v>
      </c>
    </row>
    <row r="23" spans="1:10" x14ac:dyDescent="0.2">
      <c r="A23" s="110" t="s">
        <v>93</v>
      </c>
      <c r="B23" s="74"/>
      <c r="C23" s="35"/>
      <c r="D23" s="35">
        <f>SUM(D16:D22)</f>
        <v>2182.4944399999999</v>
      </c>
      <c r="E23" s="73"/>
      <c r="F23" s="35"/>
      <c r="G23" s="35">
        <f>SUM(G16:G22)</f>
        <v>2260.8088400000001</v>
      </c>
      <c r="H23" s="35">
        <f t="shared" si="3"/>
        <v>78.314400000000205</v>
      </c>
      <c r="I23" s="36">
        <f t="shared" si="9"/>
        <v>3.5882978011160575E-2</v>
      </c>
      <c r="J23" s="111">
        <f t="shared" ref="J23:J29" si="11">G23/$G$38</f>
        <v>0.30389144075991759</v>
      </c>
    </row>
    <row r="24" spans="1:10" x14ac:dyDescent="0.2">
      <c r="A24" s="107" t="s">
        <v>40</v>
      </c>
      <c r="B24" s="73">
        <f>B5</f>
        <v>124</v>
      </c>
      <c r="C24" s="78">
        <f>VLOOKUP($B$3,'Data for Bill Impacts'!$A$6:$Y$18,15,0)</f>
        <v>1.6718177000000001</v>
      </c>
      <c r="D24" s="22">
        <f>B24*C24</f>
        <v>207.30539480000002</v>
      </c>
      <c r="E24" s="73">
        <f t="shared" si="4"/>
        <v>124</v>
      </c>
      <c r="F24" s="125">
        <f>VLOOKUP($B$3,'Data for Bill Impacts'!$A$6:$Y$18,24,0)</f>
        <v>1.6718177000000001</v>
      </c>
      <c r="G24" s="22">
        <f>E24*F24</f>
        <v>207.30539480000002</v>
      </c>
      <c r="H24" s="22">
        <f t="shared" si="3"/>
        <v>0</v>
      </c>
      <c r="I24" s="23">
        <f t="shared" si="9"/>
        <v>0</v>
      </c>
      <c r="J24" s="124">
        <f t="shared" si="11"/>
        <v>2.7865396661787438E-2</v>
      </c>
    </row>
    <row r="25" spans="1:10" s="1" customFormat="1" x14ac:dyDescent="0.2">
      <c r="A25" s="107" t="s">
        <v>41</v>
      </c>
      <c r="B25" s="73">
        <f>B5</f>
        <v>124</v>
      </c>
      <c r="C25" s="78">
        <f>VLOOKUP($B$3,'Data for Bill Impacts'!$A$6:$Y$18,16,0)</f>
        <v>1.2769135</v>
      </c>
      <c r="D25" s="22">
        <f>B25*C25</f>
        <v>158.33727400000001</v>
      </c>
      <c r="E25" s="73">
        <f t="shared" si="4"/>
        <v>124</v>
      </c>
      <c r="F25" s="125">
        <f>VLOOKUP($B$3,'Data for Bill Impacts'!$A$6:$Y$18,25,0)</f>
        <v>1.2769135</v>
      </c>
      <c r="G25" s="22">
        <f>E25*F25</f>
        <v>158.33727400000001</v>
      </c>
      <c r="H25" s="22">
        <f t="shared" si="3"/>
        <v>0</v>
      </c>
      <c r="I25" s="23">
        <f t="shared" si="9"/>
        <v>0</v>
      </c>
      <c r="J25" s="124">
        <f t="shared" si="11"/>
        <v>2.1283242293876486E-2</v>
      </c>
    </row>
    <row r="26" spans="1:10" x14ac:dyDescent="0.2">
      <c r="A26" s="110" t="s">
        <v>76</v>
      </c>
      <c r="B26" s="74"/>
      <c r="C26" s="35"/>
      <c r="D26" s="35">
        <f>SUM(D24:D25)</f>
        <v>365.64266880000002</v>
      </c>
      <c r="E26" s="73"/>
      <c r="F26" s="35"/>
      <c r="G26" s="35">
        <f>SUM(G24:G25)</f>
        <v>365.64266880000002</v>
      </c>
      <c r="H26" s="35">
        <f t="shared" si="3"/>
        <v>0</v>
      </c>
      <c r="I26" s="36">
        <f t="shared" si="9"/>
        <v>0</v>
      </c>
      <c r="J26" s="111">
        <f t="shared" si="11"/>
        <v>4.9148638955663924E-2</v>
      </c>
    </row>
    <row r="27" spans="1:10" s="1" customFormat="1" x14ac:dyDescent="0.2">
      <c r="A27" s="110" t="s">
        <v>80</v>
      </c>
      <c r="B27" s="74"/>
      <c r="C27" s="35"/>
      <c r="D27" s="35">
        <f>D23+D26</f>
        <v>2548.1371088000001</v>
      </c>
      <c r="E27" s="73"/>
      <c r="F27" s="35"/>
      <c r="G27" s="35">
        <f>G23+G26</f>
        <v>2626.4515088000003</v>
      </c>
      <c r="H27" s="35">
        <f t="shared" si="3"/>
        <v>78.314400000000205</v>
      </c>
      <c r="I27" s="36">
        <f t="shared" si="9"/>
        <v>3.0733981986111016E-2</v>
      </c>
      <c r="J27" s="111">
        <f t="shared" si="11"/>
        <v>0.35304007971558155</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3"/>
        <v>0</v>
      </c>
      <c r="I28" s="23">
        <f t="shared" si="9"/>
        <v>0</v>
      </c>
      <c r="J28" s="124">
        <f t="shared" si="11"/>
        <v>1.853650406208518E-2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9"/>
        <v>0</v>
      </c>
      <c r="J29" s="124">
        <f t="shared" si="11"/>
        <v>1.0812960702883021E-2</v>
      </c>
    </row>
    <row r="30" spans="1:10" x14ac:dyDescent="0.2">
      <c r="A30" s="107" t="s">
        <v>96</v>
      </c>
      <c r="B30" s="73">
        <f>B9</f>
        <v>38306.343999999997</v>
      </c>
      <c r="C30" s="34">
        <v>0</v>
      </c>
      <c r="D30" s="22">
        <f>B30*C30</f>
        <v>0</v>
      </c>
      <c r="E30" s="73">
        <f t="shared" si="4"/>
        <v>38306.343999999997</v>
      </c>
      <c r="F30" s="34">
        <v>0</v>
      </c>
      <c r="G30" s="22">
        <f>E30*F30</f>
        <v>0</v>
      </c>
      <c r="H30" s="22">
        <f>G30-D30</f>
        <v>0</v>
      </c>
      <c r="I30" s="23" t="str">
        <f t="shared" si="9"/>
        <v>N/A</v>
      </c>
      <c r="J30" s="124">
        <f t="shared" ref="J30" si="12">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3">G31/$G$38</f>
        <v>3.3604283053838112E-5</v>
      </c>
    </row>
    <row r="32" spans="1:10" x14ac:dyDescent="0.2">
      <c r="A32" s="110" t="s">
        <v>45</v>
      </c>
      <c r="B32" s="74"/>
      <c r="C32" s="35"/>
      <c r="D32" s="35">
        <f>SUM(D28:D31)</f>
        <v>218.59616079999995</v>
      </c>
      <c r="E32" s="73"/>
      <c r="F32" s="35"/>
      <c r="G32" s="35">
        <f>SUM(G28:G31)</f>
        <v>218.59616079999995</v>
      </c>
      <c r="H32" s="35">
        <f t="shared" si="3"/>
        <v>0</v>
      </c>
      <c r="I32" s="36">
        <f t="shared" si="9"/>
        <v>0</v>
      </c>
      <c r="J32" s="111">
        <f t="shared" si="13"/>
        <v>2.9383069048022036E-2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3"/>
        <v>0</v>
      </c>
      <c r="I33" s="117">
        <f t="shared" si="9"/>
        <v>0</v>
      </c>
      <c r="J33" s="118">
        <f t="shared" si="13"/>
        <v>3.397097299052159E-2</v>
      </c>
    </row>
    <row r="34" spans="1:10" x14ac:dyDescent="0.2">
      <c r="A34" s="37" t="s">
        <v>111</v>
      </c>
      <c r="B34" s="38"/>
      <c r="C34" s="39"/>
      <c r="D34" s="39">
        <f>SUM(D15,D23,D26,D32,D33)</f>
        <v>6505.3385736</v>
      </c>
      <c r="E34" s="38"/>
      <c r="F34" s="39"/>
      <c r="G34" s="39">
        <f>SUM(G15,G23,G26,G32,G33)</f>
        <v>6583.6529735999993</v>
      </c>
      <c r="H34" s="39">
        <f t="shared" si="3"/>
        <v>78.314399999999296</v>
      </c>
      <c r="I34" s="40">
        <f t="shared" si="9"/>
        <v>1.2038481796753087E-2</v>
      </c>
      <c r="J34" s="41">
        <f t="shared" si="13"/>
        <v>0.88495575221238942</v>
      </c>
    </row>
    <row r="35" spans="1:10" x14ac:dyDescent="0.2">
      <c r="A35" s="46" t="s">
        <v>102</v>
      </c>
      <c r="B35" s="43"/>
      <c r="C35" s="26">
        <v>0.13</v>
      </c>
      <c r="D35" s="26">
        <f>D34*C35</f>
        <v>845.69401456800006</v>
      </c>
      <c r="E35" s="26"/>
      <c r="F35" s="26">
        <f>C35</f>
        <v>0.13</v>
      </c>
      <c r="G35" s="26">
        <f>G34*F35</f>
        <v>855.87488656799997</v>
      </c>
      <c r="H35" s="26">
        <f t="shared" si="3"/>
        <v>10.180871999999908</v>
      </c>
      <c r="I35" s="44">
        <f t="shared" si="9"/>
        <v>1.2038481796753087E-2</v>
      </c>
      <c r="J35" s="45">
        <f t="shared" si="13"/>
        <v>0.11504424778761063</v>
      </c>
    </row>
    <row r="36" spans="1:10" x14ac:dyDescent="0.2">
      <c r="A36" s="46" t="s">
        <v>103</v>
      </c>
      <c r="B36" s="24"/>
      <c r="C36" s="25"/>
      <c r="D36" s="25">
        <f>SUM(D34:D35)</f>
        <v>7351.0325881680001</v>
      </c>
      <c r="E36" s="25"/>
      <c r="F36" s="25"/>
      <c r="G36" s="25">
        <f>SUM(G34:G35)</f>
        <v>7439.5278601679993</v>
      </c>
      <c r="H36" s="25">
        <f t="shared" si="3"/>
        <v>88.495271999999204</v>
      </c>
      <c r="I36" s="27">
        <f t="shared" si="9"/>
        <v>1.2038481796753087E-2</v>
      </c>
      <c r="J36" s="47">
        <f t="shared" si="13"/>
        <v>1</v>
      </c>
    </row>
    <row r="37" spans="1:10" x14ac:dyDescent="0.2">
      <c r="A37" s="46" t="s">
        <v>104</v>
      </c>
      <c r="B37" s="43"/>
      <c r="C37" s="26">
        <v>0</v>
      </c>
      <c r="D37" s="26">
        <f>D34*C37</f>
        <v>0</v>
      </c>
      <c r="E37" s="26"/>
      <c r="F37" s="26">
        <f>C37</f>
        <v>0</v>
      </c>
      <c r="G37" s="26">
        <f>G34*F37</f>
        <v>0</v>
      </c>
      <c r="H37" s="26">
        <f t="shared" si="3"/>
        <v>0</v>
      </c>
      <c r="I37" s="44" t="str">
        <f t="shared" si="9"/>
        <v>N/A</v>
      </c>
      <c r="J37" s="45">
        <f t="shared" si="13"/>
        <v>0</v>
      </c>
    </row>
    <row r="38" spans="1:10" ht="13.5" thickBot="1" x14ac:dyDescent="0.25">
      <c r="A38" s="46" t="s">
        <v>105</v>
      </c>
      <c r="B38" s="49"/>
      <c r="C38" s="50"/>
      <c r="D38" s="50">
        <f>SUM(D36:D37)</f>
        <v>7351.0325881680001</v>
      </c>
      <c r="E38" s="50"/>
      <c r="F38" s="50"/>
      <c r="G38" s="50">
        <f>SUM(G36:G37)</f>
        <v>7439.5278601679993</v>
      </c>
      <c r="H38" s="50">
        <f t="shared" si="3"/>
        <v>88.495271999999204</v>
      </c>
      <c r="I38" s="51">
        <f t="shared" si="9"/>
        <v>1.2038481796753087E-2</v>
      </c>
      <c r="J38" s="52">
        <f t="shared" si="13"/>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9.5703125"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121</v>
      </c>
      <c r="B1" s="186"/>
      <c r="C1" s="186"/>
      <c r="D1" s="186"/>
      <c r="E1" s="186"/>
      <c r="F1" s="186"/>
      <c r="G1" s="186"/>
      <c r="H1" s="186"/>
      <c r="I1" s="186"/>
      <c r="J1" s="187"/>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Impacts'!$A$6:$Y$18,2,0)</f>
        <v>1.0609999999999999</v>
      </c>
    </row>
    <row r="7" spans="1:10" x14ac:dyDescent="0.2">
      <c r="A7" s="81" t="s">
        <v>48</v>
      </c>
      <c r="B7" s="82">
        <f>B4/(B5*730)</f>
        <v>0.47945205479452052</v>
      </c>
    </row>
    <row r="8" spans="1:10" x14ac:dyDescent="0.2">
      <c r="A8" s="15" t="s">
        <v>15</v>
      </c>
      <c r="B8" s="79">
        <f>VLOOKUP($B$3,'Data for Bill Impacts'!$A$6:$Y$18,4,0)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185675</v>
      </c>
      <c r="C13" s="103">
        <v>9.0999999999999998E-2</v>
      </c>
      <c r="D13" s="104">
        <f>B13*C13</f>
        <v>16896.424999999999</v>
      </c>
      <c r="E13" s="102">
        <f>B13</f>
        <v>185675</v>
      </c>
      <c r="F13" s="103">
        <f>C13</f>
        <v>9.0999999999999998E-2</v>
      </c>
      <c r="G13" s="104">
        <f>E13*F13</f>
        <v>16896.424999999999</v>
      </c>
      <c r="H13" s="104">
        <f>G13-D13</f>
        <v>0</v>
      </c>
      <c r="I13" s="105">
        <f t="shared" ref="I13:I18" si="0">IF(ISERROR(H13/ABS(D13)),"N/A",(H13/ABS(D13)))</f>
        <v>0</v>
      </c>
      <c r="J13" s="123">
        <f t="shared" ref="J13:J29" si="1">G13/$G$38</f>
        <v>0.50764782309272938</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16896.424999999999</v>
      </c>
      <c r="E15" s="76"/>
      <c r="F15" s="25"/>
      <c r="G15" s="25">
        <f>SUM(G13:G14)</f>
        <v>16896.424999999999</v>
      </c>
      <c r="H15" s="25">
        <f t="shared" si="3"/>
        <v>0</v>
      </c>
      <c r="I15" s="27">
        <f t="shared" si="0"/>
        <v>0</v>
      </c>
      <c r="J15" s="47">
        <f t="shared" si="1"/>
        <v>0.50764782309272938</v>
      </c>
    </row>
    <row r="16" spans="1:10" s="1" customFormat="1" x14ac:dyDescent="0.2">
      <c r="A16" s="107" t="s">
        <v>38</v>
      </c>
      <c r="B16" s="73">
        <v>1</v>
      </c>
      <c r="C16" s="78">
        <f>VLOOKUP($B$3,'Data for Bill Impacts'!$A$6:$Y$18,7,0)</f>
        <v>102.52</v>
      </c>
      <c r="D16" s="22">
        <f>B16*C16</f>
        <v>102.52</v>
      </c>
      <c r="E16" s="73">
        <f t="shared" ref="E16:E33" si="4">B16</f>
        <v>1</v>
      </c>
      <c r="F16" s="78">
        <f>VLOOKUP($B$3,'Data for Bill Impacts'!$A$6:$Y$18,17,0)</f>
        <v>104.19</v>
      </c>
      <c r="G16" s="22">
        <f>E16*F16</f>
        <v>104.19</v>
      </c>
      <c r="H16" s="22">
        <f t="shared" si="3"/>
        <v>1.6700000000000017</v>
      </c>
      <c r="I16" s="23">
        <f t="shared" si="0"/>
        <v>1.6289504486929396E-2</v>
      </c>
      <c r="J16" s="124">
        <f t="shared" si="1"/>
        <v>3.1303560775744854E-3</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121">
        <f>VLOOKUP($B$3,'Data for Bill Impacts'!$A$6:$Y$18,13,0)</f>
        <v>-8.9999999999999993E-3</v>
      </c>
      <c r="D19" s="22">
        <f t="shared" si="6"/>
        <v>-8.9999999999999993E-3</v>
      </c>
      <c r="E19" s="73">
        <f t="shared" si="4"/>
        <v>1</v>
      </c>
      <c r="F19" s="121">
        <f>VLOOKUP($B$3,'Data for Bill Impacts'!$A$6:$Y$18,22,0)</f>
        <v>-8.9999999999999993E-3</v>
      </c>
      <c r="G19" s="22">
        <f t="shared" si="5"/>
        <v>-8.9999999999999993E-3</v>
      </c>
      <c r="H19" s="22">
        <f t="shared" si="3"/>
        <v>0</v>
      </c>
      <c r="I19" s="23">
        <f>IF(ISERROR(H19/ABS(D19)),"N/A",(H19/ABS(D19)))</f>
        <v>0</v>
      </c>
      <c r="J19" s="124">
        <f t="shared" si="1"/>
        <v>-2.7040219501075309E-7</v>
      </c>
    </row>
    <row r="20" spans="1:10" x14ac:dyDescent="0.2">
      <c r="A20" s="107" t="s">
        <v>39</v>
      </c>
      <c r="B20" s="73">
        <f>IF($B$10="kWh",$B$4,$B$5)</f>
        <v>500</v>
      </c>
      <c r="C20" s="78">
        <f>VLOOKUP($B$3,'Data for Bill Impacts'!$A$6:$Y$18,10,0)</f>
        <v>16.768900000000002</v>
      </c>
      <c r="D20" s="22">
        <f>B20*C20</f>
        <v>8384.4500000000007</v>
      </c>
      <c r="E20" s="73">
        <f t="shared" si="4"/>
        <v>500</v>
      </c>
      <c r="F20" s="125">
        <f>VLOOKUP($B$3,'Data for Bill Impacts'!$A$6:$Y$18,19,0)</f>
        <v>17.387</v>
      </c>
      <c r="G20" s="22">
        <f>E20*F20</f>
        <v>8693.5</v>
      </c>
      <c r="H20" s="22">
        <f t="shared" si="3"/>
        <v>309.04999999999927</v>
      </c>
      <c r="I20" s="23">
        <f t="shared" ref="I20" si="7">IF(ISERROR(H20/D20),0,(H20/D20))</f>
        <v>3.6859901365026836E-2</v>
      </c>
      <c r="J20" s="124">
        <f t="shared" si="1"/>
        <v>0.26119349803622027</v>
      </c>
    </row>
    <row r="21" spans="1:10" s="1" customFormat="1" x14ac:dyDescent="0.2">
      <c r="A21" s="107" t="s">
        <v>122</v>
      </c>
      <c r="B21" s="73">
        <f>IF($B$10="kWh",$B$4,$B$5)</f>
        <v>500</v>
      </c>
      <c r="C21" s="125">
        <f>VLOOKUP($B$3,'Data for Bill Impacts'!$A$6:$Y$18,14,0)</f>
        <v>5.1599999999999997E-3</v>
      </c>
      <c r="D21" s="22">
        <f>B21*C21</f>
        <v>2.5799999999999996</v>
      </c>
      <c r="E21" s="73">
        <f t="shared" si="4"/>
        <v>500</v>
      </c>
      <c r="F21" s="125">
        <f>VLOOKUP($B$3,'Data for Bill Impacts'!$A$6:$Y$18,23,0)</f>
        <v>5.1599999999999997E-3</v>
      </c>
      <c r="G21" s="22">
        <f>E21*F21</f>
        <v>2.5799999999999996</v>
      </c>
      <c r="H21" s="22">
        <f t="shared" si="3"/>
        <v>0</v>
      </c>
      <c r="I21" s="23">
        <f>IF(ISERROR(H21/D21),0,(H21/D21))</f>
        <v>0</v>
      </c>
      <c r="J21" s="124">
        <f t="shared" si="1"/>
        <v>7.751529590308256E-5</v>
      </c>
    </row>
    <row r="22" spans="1:10" s="1" customFormat="1" x14ac:dyDescent="0.2">
      <c r="A22" s="107" t="s">
        <v>108</v>
      </c>
      <c r="B22" s="73">
        <f>B9</f>
        <v>185675</v>
      </c>
      <c r="C22" s="125">
        <f>VLOOKUP($B$3,'Data for Bill Impacts'!$A$6:$Y$18,20,0)</f>
        <v>0</v>
      </c>
      <c r="D22" s="22">
        <f>B22*C22</f>
        <v>0</v>
      </c>
      <c r="E22" s="73">
        <f>B22</f>
        <v>185675</v>
      </c>
      <c r="F22" s="125">
        <f>VLOOKUP($B$3,'Data for Bill Impacts'!$A$6:$Y$18,21,0)</f>
        <v>0</v>
      </c>
      <c r="G22" s="22">
        <f>E22*F22</f>
        <v>0</v>
      </c>
      <c r="H22" s="22">
        <f t="shared" ref="H22" si="8">G22-D22</f>
        <v>0</v>
      </c>
      <c r="I22" s="23" t="str">
        <f t="shared" ref="I22:I38" si="9">IF(ISERROR(H22/ABS(D22)),"N/A",(H22/ABS(D22)))</f>
        <v>N/A</v>
      </c>
      <c r="J22" s="124">
        <f t="shared" si="1"/>
        <v>0</v>
      </c>
    </row>
    <row r="23" spans="1:10" x14ac:dyDescent="0.2">
      <c r="A23" s="110" t="s">
        <v>79</v>
      </c>
      <c r="B23" s="74"/>
      <c r="C23" s="35"/>
      <c r="D23" s="35">
        <f>SUM(D16:D22)</f>
        <v>8489.5410000000011</v>
      </c>
      <c r="E23" s="73"/>
      <c r="F23" s="35"/>
      <c r="G23" s="35">
        <f>SUM(G16:G22)</f>
        <v>8800.2610000000004</v>
      </c>
      <c r="H23" s="35">
        <f t="shared" si="3"/>
        <v>310.71999999999935</v>
      </c>
      <c r="I23" s="36">
        <f t="shared" si="9"/>
        <v>3.6600329746920277E-2</v>
      </c>
      <c r="J23" s="111">
        <f t="shared" si="1"/>
        <v>0.26440109900750286</v>
      </c>
    </row>
    <row r="24" spans="1:10" x14ac:dyDescent="0.2">
      <c r="A24" s="107" t="s">
        <v>40</v>
      </c>
      <c r="B24" s="73">
        <f>B5</f>
        <v>500</v>
      </c>
      <c r="C24" s="78">
        <f>VLOOKUP($B$3,'Data for Bill Impacts'!$A$6:$Y$18,15,0)</f>
        <v>1.6718177000000001</v>
      </c>
      <c r="D24" s="22">
        <f>B24*C24</f>
        <v>835.90885000000003</v>
      </c>
      <c r="E24" s="73">
        <f t="shared" si="4"/>
        <v>500</v>
      </c>
      <c r="F24" s="125">
        <f>VLOOKUP($B$3,'Data for Bill Impacts'!$A$6:$Y$18,24,0)</f>
        <v>1.6718177000000001</v>
      </c>
      <c r="G24" s="22">
        <f>E24*F24</f>
        <v>835.90885000000003</v>
      </c>
      <c r="H24" s="22">
        <f t="shared" si="3"/>
        <v>0</v>
      </c>
      <c r="I24" s="23">
        <f t="shared" si="9"/>
        <v>0</v>
      </c>
      <c r="J24" s="124">
        <f t="shared" si="1"/>
        <v>2.5114620874323822E-2</v>
      </c>
    </row>
    <row r="25" spans="1:10" s="1" customFormat="1" x14ac:dyDescent="0.2">
      <c r="A25" s="107" t="s">
        <v>41</v>
      </c>
      <c r="B25" s="73">
        <f>B5</f>
        <v>500</v>
      </c>
      <c r="C25" s="78">
        <f>VLOOKUP($B$3,'Data for Bill Impacts'!$A$6:$Y$18,16,0)</f>
        <v>1.2769135</v>
      </c>
      <c r="D25" s="22">
        <f>B25*C25</f>
        <v>638.45675000000006</v>
      </c>
      <c r="E25" s="73">
        <f t="shared" si="4"/>
        <v>500</v>
      </c>
      <c r="F25" s="125">
        <f>VLOOKUP($B$3,'Data for Bill Impacts'!$A$6:$Y$18,25,0)</f>
        <v>1.2769135</v>
      </c>
      <c r="G25" s="22">
        <f>E25*F25</f>
        <v>638.45675000000006</v>
      </c>
      <c r="H25" s="22">
        <f t="shared" si="3"/>
        <v>0</v>
      </c>
      <c r="I25" s="23">
        <f t="shared" si="9"/>
        <v>0</v>
      </c>
      <c r="J25" s="124">
        <f t="shared" si="1"/>
        <v>1.9182234068825743E-2</v>
      </c>
    </row>
    <row r="26" spans="1:10" x14ac:dyDescent="0.2">
      <c r="A26" s="110" t="s">
        <v>76</v>
      </c>
      <c r="B26" s="74"/>
      <c r="C26" s="35"/>
      <c r="D26" s="35">
        <f>SUM(D24:D25)</f>
        <v>1474.3656000000001</v>
      </c>
      <c r="E26" s="73"/>
      <c r="F26" s="35"/>
      <c r="G26" s="35">
        <f>SUM(G24:G25)</f>
        <v>1474.3656000000001</v>
      </c>
      <c r="H26" s="35">
        <f t="shared" si="3"/>
        <v>0</v>
      </c>
      <c r="I26" s="36">
        <f t="shared" si="9"/>
        <v>0</v>
      </c>
      <c r="J26" s="111">
        <f t="shared" si="1"/>
        <v>4.4296854943149562E-2</v>
      </c>
    </row>
    <row r="27" spans="1:10" s="1" customFormat="1" x14ac:dyDescent="0.2">
      <c r="A27" s="110" t="s">
        <v>80</v>
      </c>
      <c r="B27" s="74"/>
      <c r="C27" s="35"/>
      <c r="D27" s="35">
        <f>D23+D26</f>
        <v>9963.9066000000021</v>
      </c>
      <c r="E27" s="73"/>
      <c r="F27" s="35"/>
      <c r="G27" s="35">
        <f>G23+G26</f>
        <v>10274.6266</v>
      </c>
      <c r="H27" s="35">
        <f t="shared" si="3"/>
        <v>310.71999999999753</v>
      </c>
      <c r="I27" s="36">
        <f t="shared" si="9"/>
        <v>3.1184555664140554E-2</v>
      </c>
      <c r="J27" s="111">
        <f t="shared" si="1"/>
        <v>0.30869795395065236</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3"/>
        <v>0</v>
      </c>
      <c r="I28" s="23">
        <f t="shared" si="9"/>
        <v>0</v>
      </c>
      <c r="J28" s="124">
        <f t="shared" si="1"/>
        <v>2.0082771023448635E-2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9"/>
        <v>0</v>
      </c>
      <c r="J29" s="124">
        <f t="shared" si="1"/>
        <v>1.1714949763678369E-2</v>
      </c>
    </row>
    <row r="30" spans="1:10" x14ac:dyDescent="0.2">
      <c r="A30" s="107" t="s">
        <v>96</v>
      </c>
      <c r="B30" s="73">
        <f>B9</f>
        <v>185675</v>
      </c>
      <c r="C30" s="34">
        <v>0</v>
      </c>
      <c r="D30" s="22">
        <f>B30*C30</f>
        <v>0</v>
      </c>
      <c r="E30" s="73">
        <f t="shared" si="4"/>
        <v>185675</v>
      </c>
      <c r="F30" s="34">
        <v>0</v>
      </c>
      <c r="G30" s="22">
        <f>E30*F30</f>
        <v>0</v>
      </c>
      <c r="H30" s="22">
        <f>G30-D30</f>
        <v>0</v>
      </c>
      <c r="I30" s="23" t="str">
        <f t="shared" si="9"/>
        <v>N/A</v>
      </c>
      <c r="J30" s="124">
        <f t="shared" ref="J30" si="10">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1">G31/$G$38</f>
        <v>7.5111720836320312E-6</v>
      </c>
    </row>
    <row r="32" spans="1:10" x14ac:dyDescent="0.2">
      <c r="A32" s="110" t="s">
        <v>45</v>
      </c>
      <c r="B32" s="74"/>
      <c r="C32" s="35"/>
      <c r="D32" s="35">
        <f>SUM(D28:D31)</f>
        <v>1058.5974999999999</v>
      </c>
      <c r="E32" s="73"/>
      <c r="F32" s="35"/>
      <c r="G32" s="35">
        <f>SUM(G28:G31)</f>
        <v>1058.5974999999999</v>
      </c>
      <c r="H32" s="35">
        <f t="shared" si="3"/>
        <v>0</v>
      </c>
      <c r="I32" s="36">
        <f t="shared" si="9"/>
        <v>0</v>
      </c>
      <c r="J32" s="111">
        <f t="shared" si="11"/>
        <v>3.1805231959210631E-2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3"/>
        <v>0</v>
      </c>
      <c r="I33" s="117">
        <f t="shared" si="9"/>
        <v>0</v>
      </c>
      <c r="J33" s="118">
        <f t="shared" si="11"/>
        <v>3.6804743209796952E-2</v>
      </c>
    </row>
    <row r="34" spans="1:10" x14ac:dyDescent="0.2">
      <c r="A34" s="37" t="s">
        <v>111</v>
      </c>
      <c r="B34" s="38"/>
      <c r="C34" s="39"/>
      <c r="D34" s="39">
        <f>SUM(D15,D23,D26,D32,D33)</f>
        <v>29143.929100000001</v>
      </c>
      <c r="E34" s="38"/>
      <c r="F34" s="39"/>
      <c r="G34" s="39">
        <f>SUM(G15,G23,G26,G32,G33)</f>
        <v>29454.649100000002</v>
      </c>
      <c r="H34" s="39">
        <f t="shared" si="3"/>
        <v>310.72000000000116</v>
      </c>
      <c r="I34" s="40">
        <f t="shared" si="9"/>
        <v>1.0661568621507562E-2</v>
      </c>
      <c r="J34" s="41">
        <f t="shared" si="11"/>
        <v>0.88495575221238942</v>
      </c>
    </row>
    <row r="35" spans="1:10" x14ac:dyDescent="0.2">
      <c r="A35" s="46" t="s">
        <v>102</v>
      </c>
      <c r="B35" s="43"/>
      <c r="C35" s="26">
        <v>0.13</v>
      </c>
      <c r="D35" s="26">
        <f>D34*C35</f>
        <v>3788.7107830000004</v>
      </c>
      <c r="E35" s="26"/>
      <c r="F35" s="26">
        <f>C35</f>
        <v>0.13</v>
      </c>
      <c r="G35" s="26">
        <f>G34*F35</f>
        <v>3829.1043830000003</v>
      </c>
      <c r="H35" s="26">
        <f t="shared" si="3"/>
        <v>40.393599999999878</v>
      </c>
      <c r="I35" s="44">
        <f t="shared" si="9"/>
        <v>1.0661568621507489E-2</v>
      </c>
      <c r="J35" s="45">
        <f t="shared" si="11"/>
        <v>0.11504424778761063</v>
      </c>
    </row>
    <row r="36" spans="1:10" x14ac:dyDescent="0.2">
      <c r="A36" s="46" t="s">
        <v>103</v>
      </c>
      <c r="B36" s="24"/>
      <c r="C36" s="25"/>
      <c r="D36" s="25">
        <f>SUM(D34:D35)</f>
        <v>32932.639883000003</v>
      </c>
      <c r="E36" s="25"/>
      <c r="F36" s="25"/>
      <c r="G36" s="25">
        <f>SUM(G34:G35)</f>
        <v>33283.753483</v>
      </c>
      <c r="H36" s="25">
        <f t="shared" si="3"/>
        <v>351.11359999999695</v>
      </c>
      <c r="I36" s="27">
        <f t="shared" si="9"/>
        <v>1.066156862150743E-2</v>
      </c>
      <c r="J36" s="47">
        <f t="shared" si="11"/>
        <v>1</v>
      </c>
    </row>
    <row r="37" spans="1:10" x14ac:dyDescent="0.2">
      <c r="A37" s="46" t="s">
        <v>104</v>
      </c>
      <c r="B37" s="43"/>
      <c r="C37" s="26">
        <v>0</v>
      </c>
      <c r="D37" s="26">
        <f>D34*C37</f>
        <v>0</v>
      </c>
      <c r="E37" s="26"/>
      <c r="F37" s="26">
        <f>C37</f>
        <v>0</v>
      </c>
      <c r="G37" s="26">
        <f>G34*F37</f>
        <v>0</v>
      </c>
      <c r="H37" s="26">
        <f t="shared" si="3"/>
        <v>0</v>
      </c>
      <c r="I37" s="44" t="str">
        <f t="shared" si="9"/>
        <v>N/A</v>
      </c>
      <c r="J37" s="45">
        <f t="shared" si="11"/>
        <v>0</v>
      </c>
    </row>
    <row r="38" spans="1:10" ht="13.5" thickBot="1" x14ac:dyDescent="0.25">
      <c r="A38" s="46" t="s">
        <v>105</v>
      </c>
      <c r="B38" s="49"/>
      <c r="C38" s="50"/>
      <c r="D38" s="50">
        <f>SUM(D36:D37)</f>
        <v>32932.639883000003</v>
      </c>
      <c r="E38" s="50"/>
      <c r="F38" s="50"/>
      <c r="G38" s="50">
        <f>SUM(G36:G37)</f>
        <v>33283.753483</v>
      </c>
      <c r="H38" s="50">
        <f t="shared" si="3"/>
        <v>351.11359999999695</v>
      </c>
      <c r="I38" s="51">
        <f t="shared" si="9"/>
        <v>1.066156862150743E-2</v>
      </c>
      <c r="J38" s="52">
        <f t="shared" si="11"/>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2"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118</v>
      </c>
      <c r="B1" s="186"/>
      <c r="C1" s="186"/>
      <c r="D1" s="186"/>
      <c r="E1" s="186"/>
      <c r="F1" s="186"/>
      <c r="G1" s="186"/>
      <c r="H1" s="186"/>
      <c r="I1" s="186"/>
      <c r="J1" s="187"/>
    </row>
    <row r="3" spans="1:10" x14ac:dyDescent="0.2">
      <c r="A3" s="13" t="s">
        <v>13</v>
      </c>
      <c r="B3" s="13" t="s">
        <v>47</v>
      </c>
    </row>
    <row r="4" spans="1:10" x14ac:dyDescent="0.2">
      <c r="A4" s="15" t="s">
        <v>62</v>
      </c>
      <c r="B4" s="79">
        <v>300</v>
      </c>
    </row>
    <row r="5" spans="1:10" x14ac:dyDescent="0.2">
      <c r="A5" s="15" t="s">
        <v>16</v>
      </c>
      <c r="B5" s="79">
        <v>10</v>
      </c>
    </row>
    <row r="6" spans="1:10" x14ac:dyDescent="0.2">
      <c r="A6" s="15" t="s">
        <v>20</v>
      </c>
      <c r="B6" s="80">
        <f>VLOOKUP($B$3,'Data for Bill Impacts'!$A$6:$Y$18,2,0)</f>
        <v>1.0609999999999999</v>
      </c>
    </row>
    <row r="7" spans="1:10" x14ac:dyDescent="0.2">
      <c r="A7" s="81" t="s">
        <v>48</v>
      </c>
      <c r="B7" s="82">
        <f>B4/(B5*730)</f>
        <v>4.1095890410958902E-2</v>
      </c>
    </row>
    <row r="8" spans="1:10" x14ac:dyDescent="0.2">
      <c r="A8" s="15" t="s">
        <v>15</v>
      </c>
      <c r="B8" s="79">
        <f>VLOOKUP($B$3,'Data for Bill Impacts'!$A$6:$Y$18,4,0)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318.29999999999995</v>
      </c>
      <c r="C13" s="103">
        <v>9.0999999999999998E-2</v>
      </c>
      <c r="D13" s="104">
        <f>B13*C13</f>
        <v>28.965299999999996</v>
      </c>
      <c r="E13" s="102">
        <f>B13</f>
        <v>318.29999999999995</v>
      </c>
      <c r="F13" s="103">
        <f>C13</f>
        <v>9.0999999999999998E-2</v>
      </c>
      <c r="G13" s="104">
        <f>E13*F13</f>
        <v>28.965299999999996</v>
      </c>
      <c r="H13" s="104">
        <f>G13-D13</f>
        <v>0</v>
      </c>
      <c r="I13" s="105">
        <f t="shared" ref="I13:I18" si="0">IF(ISERROR(H13/ABS(D13)),"N/A",(H13/ABS(D13)))</f>
        <v>0</v>
      </c>
      <c r="J13" s="123">
        <f t="shared" ref="J13:J21" si="1">G13/$G$38</f>
        <v>7.5539081804366665E-2</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28.965299999999996</v>
      </c>
      <c r="E15" s="76"/>
      <c r="F15" s="25"/>
      <c r="G15" s="25">
        <f>SUM(G13:G14)</f>
        <v>28.965299999999996</v>
      </c>
      <c r="H15" s="25">
        <f t="shared" si="3"/>
        <v>0</v>
      </c>
      <c r="I15" s="27">
        <f t="shared" si="0"/>
        <v>0</v>
      </c>
      <c r="J15" s="47">
        <f t="shared" si="1"/>
        <v>7.5539081804366665E-2</v>
      </c>
    </row>
    <row r="16" spans="1:10" s="1" customFormat="1" x14ac:dyDescent="0.2">
      <c r="A16" s="107" t="s">
        <v>38</v>
      </c>
      <c r="B16" s="73">
        <v>1</v>
      </c>
      <c r="C16" s="78">
        <f>VLOOKUP($B$3,'Data for Bill Impacts'!$A$6:$Y$18,7,0)</f>
        <v>196.16</v>
      </c>
      <c r="D16" s="22">
        <f>B16*C16</f>
        <v>196.16</v>
      </c>
      <c r="E16" s="73">
        <f t="shared" ref="E16:E33" si="4">B16</f>
        <v>1</v>
      </c>
      <c r="F16" s="78">
        <f>VLOOKUP($B$3,'Data for Bill Impacts'!$A$6:$Y$18,17,0)</f>
        <v>196.16</v>
      </c>
      <c r="G16" s="22">
        <f>E16*F16</f>
        <v>196.16</v>
      </c>
      <c r="H16" s="22">
        <f t="shared" si="3"/>
        <v>0</v>
      </c>
      <c r="I16" s="23">
        <f t="shared" si="0"/>
        <v>0</v>
      </c>
      <c r="J16" s="124">
        <f t="shared" si="1"/>
        <v>0.51156888714235882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121">
        <f>VLOOKUP($B$3,'Data for Bill Impacts'!$A$6:$Y$18,13,0)</f>
        <v>1.0999999999999999E-2</v>
      </c>
      <c r="D19" s="22">
        <f t="shared" si="6"/>
        <v>1.0999999999999999E-2</v>
      </c>
      <c r="E19" s="73">
        <f t="shared" si="4"/>
        <v>1</v>
      </c>
      <c r="F19" s="121">
        <f>VLOOKUP($B$3,'Data for Bill Impacts'!$A$6:$Y$18,22,0)</f>
        <v>1.0999999999999999E-2</v>
      </c>
      <c r="G19" s="22">
        <f t="shared" si="5"/>
        <v>1.0999999999999999E-2</v>
      </c>
      <c r="H19" s="22">
        <f t="shared" si="3"/>
        <v>0</v>
      </c>
      <c r="I19" s="23">
        <f>IF(ISERROR(H19/ABS(D19)),"N/A",(H19/ABS(D19)))</f>
        <v>0</v>
      </c>
      <c r="J19" s="124">
        <f t="shared" si="1"/>
        <v>2.8687080743097201E-5</v>
      </c>
    </row>
    <row r="20" spans="1:10" x14ac:dyDescent="0.2">
      <c r="A20" s="107" t="s">
        <v>39</v>
      </c>
      <c r="B20" s="73">
        <f>IF($B$10="kWh",$B$4,$B$5)</f>
        <v>10</v>
      </c>
      <c r="C20" s="78">
        <f>VLOOKUP($B$3,'Data for Bill Impacts'!$A$6:$Y$18,10,0)</f>
        <v>6.431</v>
      </c>
      <c r="D20" s="22">
        <f>B20*C20</f>
        <v>64.31</v>
      </c>
      <c r="E20" s="73">
        <f t="shared" si="4"/>
        <v>10</v>
      </c>
      <c r="F20" s="125">
        <f>VLOOKUP($B$3,'Data for Bill Impacts'!$A$6:$Y$18,19,0)</f>
        <v>9.8219999999999992</v>
      </c>
      <c r="G20" s="22">
        <f>E20*F20</f>
        <v>98.22</v>
      </c>
      <c r="H20" s="22">
        <f t="shared" si="3"/>
        <v>33.909999999999997</v>
      </c>
      <c r="I20" s="23">
        <f t="shared" ref="I20" si="7">IF(ISERROR(H20/D20),0,(H20/D20))</f>
        <v>0.52728969056134345</v>
      </c>
      <c r="J20" s="124">
        <f t="shared" si="1"/>
        <v>0.25614955187154609</v>
      </c>
    </row>
    <row r="21" spans="1:10" s="1" customFormat="1" x14ac:dyDescent="0.2">
      <c r="A21" s="107" t="s">
        <v>122</v>
      </c>
      <c r="B21" s="73">
        <f>IF($B$10="kWh",$B$4,$B$5)</f>
        <v>10</v>
      </c>
      <c r="C21" s="125">
        <f>VLOOKUP($B$3,'Data for Bill Impacts'!$A$6:$Y$18,14,0)</f>
        <v>2.82E-3</v>
      </c>
      <c r="D21" s="22">
        <f>B21*C21</f>
        <v>2.8199999999999999E-2</v>
      </c>
      <c r="E21" s="73">
        <f t="shared" si="4"/>
        <v>10</v>
      </c>
      <c r="F21" s="125">
        <f>VLOOKUP($B$3,'Data for Bill Impacts'!$A$6:$Y$18,23,0)</f>
        <v>2.82E-3</v>
      </c>
      <c r="G21" s="22">
        <f>E21*F21</f>
        <v>2.8199999999999999E-2</v>
      </c>
      <c r="H21" s="22">
        <f t="shared" si="3"/>
        <v>0</v>
      </c>
      <c r="I21" s="23">
        <f>IF(ISERROR(H21/D21),0,(H21/D21))</f>
        <v>0</v>
      </c>
      <c r="J21" s="124">
        <f t="shared" si="1"/>
        <v>7.3543243359576466E-5</v>
      </c>
    </row>
    <row r="22" spans="1:10" s="1" customFormat="1" x14ac:dyDescent="0.2">
      <c r="A22" s="107" t="s">
        <v>108</v>
      </c>
      <c r="B22" s="73">
        <f>B9</f>
        <v>318.29999999999995</v>
      </c>
      <c r="C22" s="125">
        <f>VLOOKUP($B$3,'Data for Bill Impacts'!$A$6:$Y$18,20,0)</f>
        <v>0</v>
      </c>
      <c r="D22" s="22">
        <f>B22*C22</f>
        <v>0</v>
      </c>
      <c r="E22" s="73">
        <f>B22</f>
        <v>318.29999999999995</v>
      </c>
      <c r="F22" s="125">
        <f>VLOOKUP($B$3,'Data for Bill Impacts'!$A$6:$Y$18,21,0)</f>
        <v>0</v>
      </c>
      <c r="G22" s="22">
        <f>E22*F22</f>
        <v>0</v>
      </c>
      <c r="H22" s="22">
        <f t="shared" ref="H22" si="8">G22-D22</f>
        <v>0</v>
      </c>
      <c r="I22" s="23" t="str">
        <f t="shared" ref="I22:I38" si="9">IF(ISERROR(H22/ABS(D22)),"N/A",(H22/ABS(D22)))</f>
        <v>N/A</v>
      </c>
      <c r="J22" s="124">
        <f t="shared" ref="J22" si="10">G22/$G$38</f>
        <v>0</v>
      </c>
    </row>
    <row r="23" spans="1:10" x14ac:dyDescent="0.2">
      <c r="A23" s="110" t="s">
        <v>93</v>
      </c>
      <c r="B23" s="74"/>
      <c r="C23" s="35"/>
      <c r="D23" s="35">
        <f>SUM(D16:D22)</f>
        <v>260.50920000000002</v>
      </c>
      <c r="E23" s="73"/>
      <c r="F23" s="35"/>
      <c r="G23" s="35">
        <f>SUM(G16:G22)</f>
        <v>294.41919999999999</v>
      </c>
      <c r="H23" s="35">
        <f t="shared" si="3"/>
        <v>33.909999999999968</v>
      </c>
      <c r="I23" s="36">
        <f t="shared" si="9"/>
        <v>0.13016814761244502</v>
      </c>
      <c r="J23" s="111">
        <f t="shared" ref="J23:J29" si="11">G23/$G$38</f>
        <v>0.76782066933800763</v>
      </c>
    </row>
    <row r="24" spans="1:10" x14ac:dyDescent="0.2">
      <c r="A24" s="107" t="s">
        <v>40</v>
      </c>
      <c r="B24" s="73">
        <f>B5</f>
        <v>10</v>
      </c>
      <c r="C24" s="125">
        <f>VLOOKUP($B$3,'Data for Bill Impacts'!$A$6:$Y$18,15,0)</f>
        <v>0.63108279999999994</v>
      </c>
      <c r="D24" s="22">
        <f>B24*C24</f>
        <v>6.310827999999999</v>
      </c>
      <c r="E24" s="73">
        <f t="shared" si="4"/>
        <v>10</v>
      </c>
      <c r="F24" s="125">
        <f>VLOOKUP($B$3,'Data for Bill Impacts'!$A$6:$Y$18,24,0)</f>
        <v>0.63108279999999994</v>
      </c>
      <c r="G24" s="22">
        <f>E24*F24</f>
        <v>6.310827999999999</v>
      </c>
      <c r="H24" s="22">
        <f t="shared" si="3"/>
        <v>0</v>
      </c>
      <c r="I24" s="23">
        <f t="shared" si="9"/>
        <v>0</v>
      </c>
      <c r="J24" s="124">
        <f t="shared" si="11"/>
        <v>1.6458112035618054E-2</v>
      </c>
    </row>
    <row r="25" spans="1:10" s="1" customFormat="1" x14ac:dyDescent="0.2">
      <c r="A25" s="107" t="s">
        <v>41</v>
      </c>
      <c r="B25" s="73">
        <f>B5</f>
        <v>10</v>
      </c>
      <c r="C25" s="125">
        <f>VLOOKUP($B$3,'Data for Bill Impacts'!$A$6:$Y$18,16,0)</f>
        <v>0.54747599999999996</v>
      </c>
      <c r="D25" s="22">
        <f>B25*C25</f>
        <v>5.4747599999999998</v>
      </c>
      <c r="E25" s="73">
        <f t="shared" si="4"/>
        <v>10</v>
      </c>
      <c r="F25" s="125">
        <f>VLOOKUP($B$3,'Data for Bill Impacts'!$A$6:$Y$18,25,0)</f>
        <v>0.54747599999999996</v>
      </c>
      <c r="G25" s="22">
        <f>E25*F25</f>
        <v>5.4747599999999998</v>
      </c>
      <c r="H25" s="22">
        <f t="shared" si="3"/>
        <v>0</v>
      </c>
      <c r="I25" s="23">
        <f t="shared" si="9"/>
        <v>0</v>
      </c>
      <c r="J25" s="124">
        <f t="shared" si="11"/>
        <v>1.4277716560825349E-2</v>
      </c>
    </row>
    <row r="26" spans="1:10" x14ac:dyDescent="0.2">
      <c r="A26" s="110" t="s">
        <v>76</v>
      </c>
      <c r="B26" s="74"/>
      <c r="C26" s="35"/>
      <c r="D26" s="35">
        <f>SUM(D24:D25)</f>
        <v>11.785587999999999</v>
      </c>
      <c r="E26" s="73"/>
      <c r="F26" s="35"/>
      <c r="G26" s="35">
        <f>SUM(G24:G25)</f>
        <v>11.785587999999999</v>
      </c>
      <c r="H26" s="35">
        <f t="shared" si="3"/>
        <v>0</v>
      </c>
      <c r="I26" s="36">
        <f t="shared" si="9"/>
        <v>0</v>
      </c>
      <c r="J26" s="111">
        <f t="shared" si="11"/>
        <v>3.0735828596443405E-2</v>
      </c>
    </row>
    <row r="27" spans="1:10" s="1" customFormat="1" x14ac:dyDescent="0.2">
      <c r="A27" s="110" t="s">
        <v>80</v>
      </c>
      <c r="B27" s="74"/>
      <c r="C27" s="35"/>
      <c r="D27" s="35">
        <f>D23+D26</f>
        <v>272.29478800000004</v>
      </c>
      <c r="E27" s="73"/>
      <c r="F27" s="35"/>
      <c r="G27" s="35">
        <f>G23+G26</f>
        <v>306.20478800000001</v>
      </c>
      <c r="H27" s="35">
        <f t="shared" si="3"/>
        <v>33.909999999999968</v>
      </c>
      <c r="I27" s="36">
        <f t="shared" si="9"/>
        <v>0.12453415009911965</v>
      </c>
      <c r="J27" s="111">
        <f t="shared" si="11"/>
        <v>0.79855649793445105</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3"/>
        <v>0</v>
      </c>
      <c r="I28" s="23">
        <f t="shared" si="9"/>
        <v>0</v>
      </c>
      <c r="J28" s="124">
        <f t="shared" si="11"/>
        <v>2.9883592801727469E-3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9"/>
        <v>0</v>
      </c>
      <c r="J29" s="124">
        <f t="shared" si="11"/>
        <v>1.743209580100769E-3</v>
      </c>
    </row>
    <row r="30" spans="1:10" x14ac:dyDescent="0.2">
      <c r="A30" s="107" t="s">
        <v>96</v>
      </c>
      <c r="B30" s="73">
        <f>B9</f>
        <v>318.29999999999995</v>
      </c>
      <c r="C30" s="34">
        <v>0</v>
      </c>
      <c r="D30" s="22">
        <f>B30*C30</f>
        <v>0</v>
      </c>
      <c r="E30" s="73">
        <f t="shared" si="4"/>
        <v>318.29999999999995</v>
      </c>
      <c r="F30" s="34">
        <v>0</v>
      </c>
      <c r="G30" s="22">
        <f>E30*F30</f>
        <v>0</v>
      </c>
      <c r="H30" s="22">
        <f>G30-D30</f>
        <v>0</v>
      </c>
      <c r="I30" s="23" t="str">
        <f t="shared" si="9"/>
        <v>N/A</v>
      </c>
      <c r="J30" s="124">
        <f t="shared" ref="J30" si="12">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3">G31/$G$38</f>
        <v>6.5197910779766371E-4</v>
      </c>
    </row>
    <row r="32" spans="1:10" x14ac:dyDescent="0.2">
      <c r="A32" s="110" t="s">
        <v>45</v>
      </c>
      <c r="B32" s="74"/>
      <c r="C32" s="35"/>
      <c r="D32" s="35">
        <f>SUM(D28:D31)</f>
        <v>2.0643099999999999</v>
      </c>
      <c r="E32" s="73"/>
      <c r="F32" s="35"/>
      <c r="G32" s="35">
        <f>SUM(G28:G31)</f>
        <v>2.0643099999999999</v>
      </c>
      <c r="H32" s="35">
        <f t="shared" si="3"/>
        <v>0</v>
      </c>
      <c r="I32" s="36">
        <f t="shared" si="9"/>
        <v>0</v>
      </c>
      <c r="J32" s="111">
        <f t="shared" si="13"/>
        <v>5.3835479680711803E-3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3"/>
        <v>0</v>
      </c>
      <c r="I33" s="117">
        <f t="shared" si="9"/>
        <v>0</v>
      </c>
      <c r="J33" s="118">
        <f t="shared" si="13"/>
        <v>5.4766245055003753E-3</v>
      </c>
    </row>
    <row r="34" spans="1:10" x14ac:dyDescent="0.2">
      <c r="A34" s="37" t="s">
        <v>111</v>
      </c>
      <c r="B34" s="38"/>
      <c r="C34" s="39"/>
      <c r="D34" s="39">
        <f>SUM(D15,D23,D26,D32,D33)</f>
        <v>305.42439800000005</v>
      </c>
      <c r="E34" s="38"/>
      <c r="F34" s="39"/>
      <c r="G34" s="39">
        <f>SUM(G15,G23,G26,G32,G33)</f>
        <v>339.33439800000002</v>
      </c>
      <c r="H34" s="39">
        <f t="shared" si="3"/>
        <v>33.909999999999968</v>
      </c>
      <c r="I34" s="40">
        <f t="shared" si="9"/>
        <v>0.11102583887224347</v>
      </c>
      <c r="J34" s="41">
        <f t="shared" si="13"/>
        <v>0.88495575221238931</v>
      </c>
    </row>
    <row r="35" spans="1:10" x14ac:dyDescent="0.2">
      <c r="A35" s="46" t="s">
        <v>102</v>
      </c>
      <c r="B35" s="43"/>
      <c r="C35" s="26">
        <v>0.13</v>
      </c>
      <c r="D35" s="26">
        <f>D34*C35</f>
        <v>39.705171740000011</v>
      </c>
      <c r="E35" s="26"/>
      <c r="F35" s="26">
        <f>C35</f>
        <v>0.13</v>
      </c>
      <c r="G35" s="26">
        <f>G34*F35</f>
        <v>44.113471740000001</v>
      </c>
      <c r="H35" s="26">
        <f t="shared" si="3"/>
        <v>4.4082999999999899</v>
      </c>
      <c r="I35" s="44">
        <f t="shared" si="9"/>
        <v>0.11102583887224331</v>
      </c>
      <c r="J35" s="45">
        <f t="shared" si="13"/>
        <v>0.1150442477876106</v>
      </c>
    </row>
    <row r="36" spans="1:10" x14ac:dyDescent="0.2">
      <c r="A36" s="46" t="s">
        <v>103</v>
      </c>
      <c r="B36" s="24"/>
      <c r="C36" s="25"/>
      <c r="D36" s="25">
        <f>SUM(D34:D35)</f>
        <v>345.12956974000008</v>
      </c>
      <c r="E36" s="25"/>
      <c r="F36" s="25"/>
      <c r="G36" s="25">
        <f>SUM(G34:G35)</f>
        <v>383.44786974000004</v>
      </c>
      <c r="H36" s="25">
        <f t="shared" si="3"/>
        <v>38.318299999999965</v>
      </c>
      <c r="I36" s="27">
        <f t="shared" si="9"/>
        <v>0.11102583887224347</v>
      </c>
      <c r="J36" s="47">
        <f t="shared" si="13"/>
        <v>1</v>
      </c>
    </row>
    <row r="37" spans="1:10" x14ac:dyDescent="0.2">
      <c r="A37" s="46" t="s">
        <v>104</v>
      </c>
      <c r="B37" s="43"/>
      <c r="C37" s="26">
        <v>0</v>
      </c>
      <c r="D37" s="26">
        <f>D34*C37</f>
        <v>0</v>
      </c>
      <c r="E37" s="26"/>
      <c r="F37" s="26">
        <f>C37</f>
        <v>0</v>
      </c>
      <c r="G37" s="26">
        <f>G34*F37</f>
        <v>0</v>
      </c>
      <c r="H37" s="26">
        <f t="shared" si="3"/>
        <v>0</v>
      </c>
      <c r="I37" s="44" t="str">
        <f t="shared" si="9"/>
        <v>N/A</v>
      </c>
      <c r="J37" s="45">
        <f t="shared" si="13"/>
        <v>0</v>
      </c>
    </row>
    <row r="38" spans="1:10" ht="13.5" thickBot="1" x14ac:dyDescent="0.25">
      <c r="A38" s="46" t="s">
        <v>105</v>
      </c>
      <c r="B38" s="49"/>
      <c r="C38" s="50"/>
      <c r="D38" s="50">
        <f>SUM(D36:D37)</f>
        <v>345.12956974000008</v>
      </c>
      <c r="E38" s="50"/>
      <c r="F38" s="50"/>
      <c r="G38" s="50">
        <f>SUM(G36:G37)</f>
        <v>383.44786974000004</v>
      </c>
      <c r="H38" s="50">
        <f t="shared" si="3"/>
        <v>38.318299999999965</v>
      </c>
      <c r="I38" s="51">
        <f t="shared" si="9"/>
        <v>0.11102583887224347</v>
      </c>
      <c r="J38" s="52">
        <f t="shared" si="13"/>
        <v>1</v>
      </c>
    </row>
    <row r="39" spans="1:10" x14ac:dyDescent="0.2">
      <c r="F39" s="69"/>
    </row>
    <row r="40" spans="1:10" x14ac:dyDescent="0.2">
      <c r="F40" s="69"/>
    </row>
  </sheetData>
  <mergeCells count="1">
    <mergeCell ref="A1:J1"/>
  </mergeCells>
  <dataValidations disablePrompts="1"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Impacts'!$A$15:$A$18</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1" tint="0.499984740745262"/>
    <pageSetUpPr fitToPage="1"/>
  </sheetPr>
  <dimension ref="A1:J43"/>
  <sheetViews>
    <sheetView tabSelected="1" view="pageLayout" topLeftCell="A9"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119</v>
      </c>
      <c r="B1" s="186"/>
      <c r="C1" s="186"/>
      <c r="D1" s="186"/>
      <c r="E1" s="186"/>
      <c r="F1" s="186"/>
      <c r="G1" s="186"/>
      <c r="H1" s="186"/>
      <c r="I1" s="186"/>
      <c r="J1" s="187"/>
    </row>
    <row r="3" spans="1:10" x14ac:dyDescent="0.2">
      <c r="A3" s="13" t="s">
        <v>13</v>
      </c>
      <c r="B3" s="13" t="s">
        <v>47</v>
      </c>
    </row>
    <row r="4" spans="1:10" x14ac:dyDescent="0.2">
      <c r="A4" s="15" t="s">
        <v>62</v>
      </c>
      <c r="B4" s="79">
        <f>VLOOKUP(B3,'Data for Bill Impacts'!A22:D34,3,FALSE)</f>
        <v>1328</v>
      </c>
    </row>
    <row r="5" spans="1:10" x14ac:dyDescent="0.2">
      <c r="A5" s="15" t="s">
        <v>16</v>
      </c>
      <c r="B5" s="79">
        <f>VLOOKUP(B3,'Data for Bill Impacts'!A22:D34,4,FALSE)</f>
        <v>13</v>
      </c>
    </row>
    <row r="6" spans="1:10" x14ac:dyDescent="0.2">
      <c r="A6" s="15" t="s">
        <v>20</v>
      </c>
      <c r="B6" s="80">
        <f>VLOOKUP($B$3,'Data for Bill Impacts'!$A$6:$Y$18,2,0)</f>
        <v>1.0609999999999999</v>
      </c>
    </row>
    <row r="7" spans="1:10" x14ac:dyDescent="0.2">
      <c r="A7" s="81" t="s">
        <v>48</v>
      </c>
      <c r="B7" s="82">
        <f>B4/(B5*730)</f>
        <v>0.1399367755532139</v>
      </c>
    </row>
    <row r="8" spans="1:10" x14ac:dyDescent="0.2">
      <c r="A8" s="15" t="s">
        <v>15</v>
      </c>
      <c r="B8" s="79">
        <f>VLOOKUP($B$3,'Data for Bill Impacts'!$A$6:$Y$18,4,0)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1409.0079999999998</v>
      </c>
      <c r="C13" s="103">
        <v>9.0999999999999998E-2</v>
      </c>
      <c r="D13" s="104">
        <f>B13*C13</f>
        <v>128.21972799999998</v>
      </c>
      <c r="E13" s="102">
        <f>B13</f>
        <v>1409.0079999999998</v>
      </c>
      <c r="F13" s="103">
        <f>C13</f>
        <v>9.0999999999999998E-2</v>
      </c>
      <c r="G13" s="104">
        <f>E13*F13</f>
        <v>128.21972799999998</v>
      </c>
      <c r="H13" s="104">
        <f>G13-D13</f>
        <v>0</v>
      </c>
      <c r="I13" s="105">
        <f t="shared" ref="I13:I18" si="0">IF(ISERROR(H13/ABS(D13)),"N/A",(H13/ABS(D13)))</f>
        <v>0</v>
      </c>
      <c r="J13" s="123">
        <f>G13/$G$38</f>
        <v>0.2339504719648357</v>
      </c>
    </row>
    <row r="14" spans="1:10" x14ac:dyDescent="0.2">
      <c r="A14" s="107" t="s">
        <v>32</v>
      </c>
      <c r="B14" s="73">
        <v>0</v>
      </c>
      <c r="C14" s="21">
        <v>0.106</v>
      </c>
      <c r="D14" s="22">
        <f>B14*C14</f>
        <v>0</v>
      </c>
      <c r="E14" s="73">
        <f t="shared" ref="E14" si="1">B14</f>
        <v>0</v>
      </c>
      <c r="F14" s="21">
        <f>C14</f>
        <v>0.106</v>
      </c>
      <c r="G14" s="22">
        <f>E14*F14</f>
        <v>0</v>
      </c>
      <c r="H14" s="22">
        <f t="shared" ref="H14:H38" si="2">G14-D14</f>
        <v>0</v>
      </c>
      <c r="I14" s="23" t="str">
        <f t="shared" si="0"/>
        <v>N/A</v>
      </c>
      <c r="J14" s="124">
        <f>G14/$G$38</f>
        <v>0</v>
      </c>
    </row>
    <row r="15" spans="1:10" s="1" customFormat="1" x14ac:dyDescent="0.2">
      <c r="A15" s="46" t="s">
        <v>33</v>
      </c>
      <c r="B15" s="24"/>
      <c r="C15" s="25"/>
      <c r="D15" s="25">
        <f>SUM(D13:D14)</f>
        <v>128.21972799999998</v>
      </c>
      <c r="E15" s="76"/>
      <c r="F15" s="25"/>
      <c r="G15" s="25">
        <f>SUM(G13:G14)</f>
        <v>128.21972799999998</v>
      </c>
      <c r="H15" s="25">
        <f t="shared" si="2"/>
        <v>0</v>
      </c>
      <c r="I15" s="27">
        <f t="shared" si="0"/>
        <v>0</v>
      </c>
      <c r="J15" s="47">
        <f>G15/$G$38</f>
        <v>0.2339504719648357</v>
      </c>
    </row>
    <row r="16" spans="1:10" s="1" customFormat="1" x14ac:dyDescent="0.2">
      <c r="A16" s="107" t="s">
        <v>38</v>
      </c>
      <c r="B16" s="73">
        <v>1</v>
      </c>
      <c r="C16" s="78">
        <f>VLOOKUP($B$3,'Data for Bill Impacts'!$A$6:$Y$18,7,0)</f>
        <v>196.16</v>
      </c>
      <c r="D16" s="22">
        <f>B16*C16</f>
        <v>196.16</v>
      </c>
      <c r="E16" s="73">
        <f t="shared" ref="E16:E33" si="3">B16</f>
        <v>1</v>
      </c>
      <c r="F16" s="22">
        <f>VLOOKUP($B$3,'Data for Bill Impacts'!$A$6:$Y$18,17,0)</f>
        <v>196.16</v>
      </c>
      <c r="G16" s="22">
        <f>E16*F16</f>
        <v>196.16</v>
      </c>
      <c r="H16" s="22">
        <f t="shared" si="2"/>
        <v>0</v>
      </c>
      <c r="I16" s="23">
        <f t="shared" si="0"/>
        <v>0</v>
      </c>
      <c r="J16" s="124">
        <f>G16/$G$38</f>
        <v>0.35791469297628037</v>
      </c>
    </row>
    <row r="17" spans="1:10" hidden="1" x14ac:dyDescent="0.2">
      <c r="A17" s="107" t="s">
        <v>83</v>
      </c>
      <c r="B17" s="73">
        <v>1</v>
      </c>
      <c r="C17" s="78">
        <f>VLOOKUP($B$3,'Data for Bill Impacts'!$A$6:$Y$18,8,0)</f>
        <v>0</v>
      </c>
      <c r="D17" s="22">
        <f>B17*C17</f>
        <v>0</v>
      </c>
      <c r="E17" s="73">
        <f t="shared" si="3"/>
        <v>1</v>
      </c>
      <c r="F17" s="78">
        <v>0</v>
      </c>
      <c r="G17" s="22">
        <f t="shared" ref="G17:G18" si="4">E17*F17</f>
        <v>0</v>
      </c>
      <c r="H17" s="22">
        <f t="shared" si="2"/>
        <v>0</v>
      </c>
      <c r="I17" s="23" t="str">
        <f t="shared" si="0"/>
        <v>N/A</v>
      </c>
      <c r="J17" s="124">
        <f t="shared" ref="J17:J18" si="5">G17/$G$38</f>
        <v>0</v>
      </c>
    </row>
    <row r="18" spans="1:10" hidden="1" x14ac:dyDescent="0.2">
      <c r="A18" s="107" t="s">
        <v>84</v>
      </c>
      <c r="B18" s="73">
        <v>1</v>
      </c>
      <c r="C18" s="78">
        <f>VLOOKUP($B$3,'Data for Bill Impacts'!$A$6:$Y$18,11,0)</f>
        <v>0</v>
      </c>
      <c r="D18" s="22">
        <f t="shared" ref="D18" si="6">B18*C18</f>
        <v>0</v>
      </c>
      <c r="E18" s="73">
        <f t="shared" si="3"/>
        <v>1</v>
      </c>
      <c r="F18" s="78">
        <f>VLOOKUP($B$3,'Data for Bill Impacts'!$A$6:$Y$18,12,0)</f>
        <v>0</v>
      </c>
      <c r="G18" s="22">
        <f t="shared" si="4"/>
        <v>0</v>
      </c>
      <c r="H18" s="22">
        <f t="shared" si="2"/>
        <v>0</v>
      </c>
      <c r="I18" s="23" t="str">
        <f t="shared" si="0"/>
        <v>N/A</v>
      </c>
      <c r="J18" s="124">
        <f t="shared" si="5"/>
        <v>0</v>
      </c>
    </row>
    <row r="19" spans="1:10" x14ac:dyDescent="0.2">
      <c r="A19" s="107" t="s">
        <v>85</v>
      </c>
      <c r="B19" s="73">
        <v>1</v>
      </c>
      <c r="C19" s="121">
        <f>VLOOKUP($B$3,'Data for Bill Impacts'!$A$6:$Y$18,13,0)</f>
        <v>1.0999999999999999E-2</v>
      </c>
      <c r="D19" s="22">
        <f t="shared" ref="D19" si="7">B19*C19</f>
        <v>1.0999999999999999E-2</v>
      </c>
      <c r="E19" s="73">
        <f t="shared" si="3"/>
        <v>1</v>
      </c>
      <c r="F19" s="121">
        <f>VLOOKUP($B$3,'Data for Bill Impacts'!$A$6:$Y$18,22,0)</f>
        <v>1.0999999999999999E-2</v>
      </c>
      <c r="G19" s="22">
        <f t="shared" ref="G19" si="8">E19*F19</f>
        <v>1.0999999999999999E-2</v>
      </c>
      <c r="H19" s="22">
        <f t="shared" si="2"/>
        <v>0</v>
      </c>
      <c r="I19" s="23">
        <f>IF(ISERROR(H19/ABS(D19)),"N/A",(H19/ABS(D19)))</f>
        <v>0</v>
      </c>
      <c r="J19" s="124">
        <f t="shared" ref="J19:J29" si="9">G19/$G$38</f>
        <v>2.0070664879379505E-5</v>
      </c>
    </row>
    <row r="20" spans="1:10" x14ac:dyDescent="0.2">
      <c r="A20" s="107" t="s">
        <v>39</v>
      </c>
      <c r="B20" s="73">
        <f>IF($B$10="kWh",$B$4,$B$5)</f>
        <v>13</v>
      </c>
      <c r="C20" s="78">
        <f>VLOOKUP($B$3,'Data for Bill Impacts'!$A$6:$Y$18,10,0)</f>
        <v>6.431</v>
      </c>
      <c r="D20" s="22">
        <f>B20*C20</f>
        <v>83.602999999999994</v>
      </c>
      <c r="E20" s="73">
        <f t="shared" si="3"/>
        <v>13</v>
      </c>
      <c r="F20" s="125">
        <f>VLOOKUP($B$3,'Data for Bill Impacts'!$A$6:$Y$18,19,0)</f>
        <v>9.8219999999999992</v>
      </c>
      <c r="G20" s="22">
        <f>E20*F20</f>
        <v>127.68599999999999</v>
      </c>
      <c r="H20" s="22">
        <f t="shared" si="2"/>
        <v>44.082999999999998</v>
      </c>
      <c r="I20" s="23">
        <f t="shared" ref="I20" si="10">IF(ISERROR(H20/D20),0,(H20/D20))</f>
        <v>0.52728969056134356</v>
      </c>
      <c r="J20" s="124">
        <f t="shared" si="9"/>
        <v>0.23297662870804106</v>
      </c>
    </row>
    <row r="21" spans="1:10" x14ac:dyDescent="0.2">
      <c r="A21" s="107" t="s">
        <v>122</v>
      </c>
      <c r="B21" s="73">
        <f>IF($B$10="kWh",$B$4,$B$5)</f>
        <v>13</v>
      </c>
      <c r="C21" s="125">
        <f>VLOOKUP($B$3,'Data for Bill Impacts'!$A$6:$Y$18,14,0)</f>
        <v>2.82E-3</v>
      </c>
      <c r="D21" s="22">
        <f>B21*C21</f>
        <v>3.6659999999999998E-2</v>
      </c>
      <c r="E21" s="73">
        <f t="shared" si="3"/>
        <v>13</v>
      </c>
      <c r="F21" s="125">
        <f>VLOOKUP($B$3,'Data for Bill Impacts'!$A$6:$Y$18,23,0)</f>
        <v>2.82E-3</v>
      </c>
      <c r="G21" s="22">
        <f>E21*F21</f>
        <v>3.6659999999999998E-2</v>
      </c>
      <c r="H21" s="22">
        <f t="shared" si="2"/>
        <v>0</v>
      </c>
      <c r="I21" s="23">
        <f>IF(ISERROR(H21/D21),0,(H21/D21))</f>
        <v>0</v>
      </c>
      <c r="J21" s="124">
        <f t="shared" si="9"/>
        <v>6.689005222527752E-5</v>
      </c>
    </row>
    <row r="22" spans="1:10" x14ac:dyDescent="0.2">
      <c r="A22" s="107" t="s">
        <v>108</v>
      </c>
      <c r="B22" s="73">
        <f>B9</f>
        <v>1409.0079999999998</v>
      </c>
      <c r="C22" s="125">
        <f>VLOOKUP($B$3,'Data for Bill Impacts'!$A$6:$Y$18,20,0)</f>
        <v>0</v>
      </c>
      <c r="D22" s="22">
        <f>B22*C22</f>
        <v>0</v>
      </c>
      <c r="E22" s="73">
        <f>B22</f>
        <v>1409.0079999999998</v>
      </c>
      <c r="F22" s="125">
        <f>VLOOKUP($B$3,'Data for Bill Impacts'!$A$6:$Y$18,21,0)</f>
        <v>0</v>
      </c>
      <c r="G22" s="22">
        <f>E22*F22</f>
        <v>0</v>
      </c>
      <c r="H22" s="22">
        <f t="shared" ref="H22" si="11">G22-D22</f>
        <v>0</v>
      </c>
      <c r="I22" s="23" t="str">
        <f t="shared" ref="I22:I38" si="12">IF(ISERROR(H22/ABS(D22)),"N/A",(H22/ABS(D22)))</f>
        <v>N/A</v>
      </c>
      <c r="J22" s="124">
        <f t="shared" si="9"/>
        <v>0</v>
      </c>
    </row>
    <row r="23" spans="1:10" s="1" customFormat="1" x14ac:dyDescent="0.2">
      <c r="A23" s="110" t="s">
        <v>79</v>
      </c>
      <c r="B23" s="74"/>
      <c r="C23" s="35"/>
      <c r="D23" s="35">
        <f>SUM(D16:D22)</f>
        <v>279.81065999999998</v>
      </c>
      <c r="E23" s="73"/>
      <c r="F23" s="35"/>
      <c r="G23" s="35">
        <f>SUM(G16:G22)</f>
        <v>323.89365999999995</v>
      </c>
      <c r="H23" s="35">
        <f t="shared" si="2"/>
        <v>44.08299999999997</v>
      </c>
      <c r="I23" s="36">
        <f t="shared" si="12"/>
        <v>0.15754582044872761</v>
      </c>
      <c r="J23" s="111">
        <f t="shared" si="9"/>
        <v>0.59097828240142602</v>
      </c>
    </row>
    <row r="24" spans="1:10" s="1" customFormat="1" x14ac:dyDescent="0.2">
      <c r="A24" s="107" t="s">
        <v>40</v>
      </c>
      <c r="B24" s="73">
        <f>B5</f>
        <v>13</v>
      </c>
      <c r="C24" s="125">
        <f>VLOOKUP($B$3,'Data for Bill Impacts'!$A$6:$Y$18,15,0)</f>
        <v>0.63108279999999994</v>
      </c>
      <c r="D24" s="22">
        <f>B24*C24</f>
        <v>8.2040763999999999</v>
      </c>
      <c r="E24" s="73">
        <f t="shared" si="3"/>
        <v>13</v>
      </c>
      <c r="F24" s="125">
        <f>VLOOKUP($B$3,'Data for Bill Impacts'!$A$6:$Y$18,24,0)</f>
        <v>0.63108279999999994</v>
      </c>
      <c r="G24" s="22">
        <f>E24*F24</f>
        <v>8.2040763999999999</v>
      </c>
      <c r="H24" s="22">
        <f t="shared" si="2"/>
        <v>0</v>
      </c>
      <c r="I24" s="23">
        <f t="shared" si="12"/>
        <v>0</v>
      </c>
      <c r="J24" s="124">
        <f t="shared" si="9"/>
        <v>1.4969206188111478E-2</v>
      </c>
    </row>
    <row r="25" spans="1:10" x14ac:dyDescent="0.2">
      <c r="A25" s="107" t="s">
        <v>41</v>
      </c>
      <c r="B25" s="73">
        <f>B5</f>
        <v>13</v>
      </c>
      <c r="C25" s="125">
        <f>VLOOKUP($B$3,'Data for Bill Impacts'!$A$6:$Y$18,16,0)</f>
        <v>0.54747599999999996</v>
      </c>
      <c r="D25" s="22">
        <f>B25*C25</f>
        <v>7.1171879999999996</v>
      </c>
      <c r="E25" s="73">
        <f t="shared" si="3"/>
        <v>13</v>
      </c>
      <c r="F25" s="125">
        <f>VLOOKUP($B$3,'Data for Bill Impacts'!$A$6:$Y$18,25,0)</f>
        <v>0.54747599999999996</v>
      </c>
      <c r="G25" s="22">
        <f>E25*F25</f>
        <v>7.1171879999999996</v>
      </c>
      <c r="H25" s="22">
        <f t="shared" si="2"/>
        <v>0</v>
      </c>
      <c r="I25" s="23">
        <f t="shared" si="12"/>
        <v>0</v>
      </c>
      <c r="J25" s="124">
        <f t="shared" si="9"/>
        <v>1.2986063202867389E-2</v>
      </c>
    </row>
    <row r="26" spans="1:10" x14ac:dyDescent="0.2">
      <c r="A26" s="110" t="s">
        <v>76</v>
      </c>
      <c r="B26" s="74"/>
      <c r="C26" s="35"/>
      <c r="D26" s="35">
        <f>SUM(D24:D25)</f>
        <v>15.3212644</v>
      </c>
      <c r="E26" s="73"/>
      <c r="F26" s="35"/>
      <c r="G26" s="35">
        <f>SUM(G24:G25)</f>
        <v>15.3212644</v>
      </c>
      <c r="H26" s="35">
        <f t="shared" si="2"/>
        <v>0</v>
      </c>
      <c r="I26" s="36">
        <f t="shared" si="12"/>
        <v>0</v>
      </c>
      <c r="J26" s="111">
        <f t="shared" si="9"/>
        <v>2.7955269390978869E-2</v>
      </c>
    </row>
    <row r="27" spans="1:10" s="1" customFormat="1" x14ac:dyDescent="0.2">
      <c r="A27" s="110" t="s">
        <v>80</v>
      </c>
      <c r="B27" s="74"/>
      <c r="C27" s="35"/>
      <c r="D27" s="35">
        <f>D23+D26</f>
        <v>295.1319244</v>
      </c>
      <c r="E27" s="73"/>
      <c r="F27" s="35"/>
      <c r="G27" s="35">
        <f>G23+G26</f>
        <v>339.21492439999997</v>
      </c>
      <c r="H27" s="35">
        <f t="shared" si="2"/>
        <v>44.08299999999997</v>
      </c>
      <c r="I27" s="36">
        <f t="shared" si="12"/>
        <v>0.14936710113492543</v>
      </c>
      <c r="J27" s="111">
        <f t="shared" si="9"/>
        <v>0.61893355179240495</v>
      </c>
    </row>
    <row r="28" spans="1:10" x14ac:dyDescent="0.2">
      <c r="A28" s="107" t="s">
        <v>42</v>
      </c>
      <c r="B28" s="73">
        <f>B9</f>
        <v>1409.0079999999998</v>
      </c>
      <c r="C28" s="34">
        <v>3.5999999999999999E-3</v>
      </c>
      <c r="D28" s="22">
        <f>B28*C28</f>
        <v>5.0724287999999991</v>
      </c>
      <c r="E28" s="73">
        <f t="shared" si="3"/>
        <v>1409.0079999999998</v>
      </c>
      <c r="F28" s="34">
        <v>3.5999999999999999E-3</v>
      </c>
      <c r="G28" s="22">
        <f>E28*F28</f>
        <v>5.0724287999999991</v>
      </c>
      <c r="H28" s="22">
        <f t="shared" si="2"/>
        <v>0</v>
      </c>
      <c r="I28" s="23">
        <f t="shared" si="12"/>
        <v>0</v>
      </c>
      <c r="J28" s="124">
        <f t="shared" si="9"/>
        <v>9.2551835063011921E-3</v>
      </c>
    </row>
    <row r="29" spans="1:10" s="1" customFormat="1" x14ac:dyDescent="0.2">
      <c r="A29" s="107" t="s">
        <v>43</v>
      </c>
      <c r="B29" s="73">
        <f>B9</f>
        <v>1409.0079999999998</v>
      </c>
      <c r="C29" s="34">
        <v>2.0999999999999999E-3</v>
      </c>
      <c r="D29" s="22">
        <f>B29*C29</f>
        <v>2.9589167999999995</v>
      </c>
      <c r="E29" s="73">
        <f t="shared" si="3"/>
        <v>1409.0079999999998</v>
      </c>
      <c r="F29" s="34">
        <v>2.0999999999999999E-3</v>
      </c>
      <c r="G29" s="22">
        <f>E29*F29</f>
        <v>2.9589167999999995</v>
      </c>
      <c r="H29" s="22">
        <f>G29-D29</f>
        <v>0</v>
      </c>
      <c r="I29" s="23">
        <f t="shared" si="12"/>
        <v>0</v>
      </c>
      <c r="J29" s="124">
        <f t="shared" si="9"/>
        <v>5.3988570453423626E-3</v>
      </c>
    </row>
    <row r="30" spans="1:10" x14ac:dyDescent="0.2">
      <c r="A30" s="107" t="s">
        <v>96</v>
      </c>
      <c r="B30" s="73">
        <f>B9</f>
        <v>1409.0079999999998</v>
      </c>
      <c r="C30" s="34">
        <v>0</v>
      </c>
      <c r="D30" s="22">
        <f>B30*C30</f>
        <v>0</v>
      </c>
      <c r="E30" s="73">
        <f t="shared" si="3"/>
        <v>1409.0079999999998</v>
      </c>
      <c r="F30" s="34">
        <v>0</v>
      </c>
      <c r="G30" s="22">
        <f>E30*F30</f>
        <v>0</v>
      </c>
      <c r="H30" s="22">
        <f>G30-D30</f>
        <v>0</v>
      </c>
      <c r="I30" s="23" t="str">
        <f t="shared" si="12"/>
        <v>N/A</v>
      </c>
      <c r="J30" s="124">
        <f t="shared" ref="J30" si="13">G30/$G$38</f>
        <v>0</v>
      </c>
    </row>
    <row r="31" spans="1:10" x14ac:dyDescent="0.2">
      <c r="A31" s="107" t="s">
        <v>44</v>
      </c>
      <c r="B31" s="73">
        <v>1</v>
      </c>
      <c r="C31" s="22">
        <v>0.25</v>
      </c>
      <c r="D31" s="22">
        <f>B31*C31</f>
        <v>0.25</v>
      </c>
      <c r="E31" s="73">
        <f t="shared" si="3"/>
        <v>1</v>
      </c>
      <c r="F31" s="22">
        <f>C31</f>
        <v>0.25</v>
      </c>
      <c r="G31" s="22">
        <f>E31*F31</f>
        <v>0.25</v>
      </c>
      <c r="H31" s="22">
        <f t="shared" si="2"/>
        <v>0</v>
      </c>
      <c r="I31" s="23">
        <f t="shared" si="12"/>
        <v>0</v>
      </c>
      <c r="J31" s="124">
        <f t="shared" ref="J31:J38" si="14">G31/$G$38</f>
        <v>4.5615147453135244E-4</v>
      </c>
    </row>
    <row r="32" spans="1:10" x14ac:dyDescent="0.2">
      <c r="A32" s="110" t="s">
        <v>45</v>
      </c>
      <c r="B32" s="74"/>
      <c r="C32" s="35"/>
      <c r="D32" s="35">
        <f>SUM(D28:D31)</f>
        <v>8.2813455999999981</v>
      </c>
      <c r="E32" s="73"/>
      <c r="F32" s="35"/>
      <c r="G32" s="35">
        <f>SUM(G28:G31)</f>
        <v>8.2813455999999981</v>
      </c>
      <c r="H32" s="35">
        <f t="shared" si="2"/>
        <v>0</v>
      </c>
      <c r="I32" s="36">
        <f t="shared" si="12"/>
        <v>0</v>
      </c>
      <c r="J32" s="111">
        <f t="shared" si="14"/>
        <v>1.5110192026174907E-2</v>
      </c>
    </row>
    <row r="33" spans="1:10" ht="13.5" thickBot="1" x14ac:dyDescent="0.25">
      <c r="A33" s="112" t="s">
        <v>46</v>
      </c>
      <c r="B33" s="113">
        <f>B4</f>
        <v>1328</v>
      </c>
      <c r="C33" s="114">
        <v>7.0000000000000001E-3</v>
      </c>
      <c r="D33" s="115">
        <f>B33*C33</f>
        <v>9.2959999999999994</v>
      </c>
      <c r="E33" s="116">
        <f t="shared" si="3"/>
        <v>1328</v>
      </c>
      <c r="F33" s="114">
        <f>C33</f>
        <v>7.0000000000000001E-3</v>
      </c>
      <c r="G33" s="115">
        <f>E33*F33</f>
        <v>9.2959999999999994</v>
      </c>
      <c r="H33" s="115">
        <f t="shared" si="2"/>
        <v>0</v>
      </c>
      <c r="I33" s="117">
        <f t="shared" si="12"/>
        <v>0</v>
      </c>
      <c r="J33" s="118">
        <f t="shared" si="14"/>
        <v>1.6961536428973807E-2</v>
      </c>
    </row>
    <row r="34" spans="1:10" x14ac:dyDescent="0.2">
      <c r="A34" s="37" t="s">
        <v>111</v>
      </c>
      <c r="B34" s="38"/>
      <c r="C34" s="39"/>
      <c r="D34" s="39">
        <f>SUM(D15,D23,D26,D32,D33)</f>
        <v>440.92899799999998</v>
      </c>
      <c r="E34" s="38"/>
      <c r="F34" s="39"/>
      <c r="G34" s="39">
        <f>SUM(G15,G23,G26,G32,G33)</f>
        <v>485.01199799999995</v>
      </c>
      <c r="H34" s="39">
        <f t="shared" si="2"/>
        <v>44.08299999999997</v>
      </c>
      <c r="I34" s="40">
        <f t="shared" si="12"/>
        <v>9.997754785907724E-2</v>
      </c>
      <c r="J34" s="41">
        <f t="shared" si="14"/>
        <v>0.88495575221238931</v>
      </c>
    </row>
    <row r="35" spans="1:10" x14ac:dyDescent="0.2">
      <c r="A35" s="46" t="s">
        <v>102</v>
      </c>
      <c r="B35" s="43"/>
      <c r="C35" s="26">
        <v>0.13</v>
      </c>
      <c r="D35" s="26">
        <f>D34*C35</f>
        <v>57.320769739999996</v>
      </c>
      <c r="E35" s="26"/>
      <c r="F35" s="26">
        <f>C35</f>
        <v>0.13</v>
      </c>
      <c r="G35" s="26">
        <f>G34*F35</f>
        <v>63.051559739999995</v>
      </c>
      <c r="H35" s="26">
        <f t="shared" si="2"/>
        <v>5.7307899999999989</v>
      </c>
      <c r="I35" s="44">
        <f t="shared" si="12"/>
        <v>9.9977547859077295E-2</v>
      </c>
      <c r="J35" s="45">
        <f t="shared" si="14"/>
        <v>0.11504424778761062</v>
      </c>
    </row>
    <row r="36" spans="1:10" x14ac:dyDescent="0.2">
      <c r="A36" s="46" t="s">
        <v>103</v>
      </c>
      <c r="B36" s="24"/>
      <c r="C36" s="25"/>
      <c r="D36" s="25">
        <f>SUM(D34:D35)</f>
        <v>498.24976773999998</v>
      </c>
      <c r="E36" s="25"/>
      <c r="F36" s="25"/>
      <c r="G36" s="25">
        <f>SUM(G34:G35)</f>
        <v>548.06355773999996</v>
      </c>
      <c r="H36" s="25">
        <f t="shared" si="2"/>
        <v>49.813789999999983</v>
      </c>
      <c r="I36" s="27">
        <f t="shared" si="12"/>
        <v>9.9977547859077268E-2</v>
      </c>
      <c r="J36" s="47">
        <f t="shared" si="14"/>
        <v>1</v>
      </c>
    </row>
    <row r="37" spans="1:10" x14ac:dyDescent="0.2">
      <c r="A37" s="46" t="s">
        <v>104</v>
      </c>
      <c r="B37" s="43"/>
      <c r="C37" s="26">
        <v>0</v>
      </c>
      <c r="D37" s="26">
        <f>D34*C37</f>
        <v>0</v>
      </c>
      <c r="E37" s="26"/>
      <c r="F37" s="26">
        <f>C37</f>
        <v>0</v>
      </c>
      <c r="G37" s="26">
        <f>G34*F37</f>
        <v>0</v>
      </c>
      <c r="H37" s="26">
        <f t="shared" si="2"/>
        <v>0</v>
      </c>
      <c r="I37" s="44" t="str">
        <f t="shared" si="12"/>
        <v>N/A</v>
      </c>
      <c r="J37" s="45">
        <f t="shared" si="14"/>
        <v>0</v>
      </c>
    </row>
    <row r="38" spans="1:10" ht="13.5" thickBot="1" x14ac:dyDescent="0.25">
      <c r="A38" s="46" t="s">
        <v>105</v>
      </c>
      <c r="B38" s="49"/>
      <c r="C38" s="50"/>
      <c r="D38" s="50">
        <f>SUM(D36:D37)</f>
        <v>498.24976773999998</v>
      </c>
      <c r="E38" s="50"/>
      <c r="F38" s="50"/>
      <c r="G38" s="50">
        <f>SUM(G36:G37)</f>
        <v>548.06355773999996</v>
      </c>
      <c r="H38" s="50">
        <f t="shared" si="2"/>
        <v>49.813789999999983</v>
      </c>
      <c r="I38" s="51">
        <f t="shared" si="12"/>
        <v>9.9977547859077268E-2</v>
      </c>
      <c r="J38" s="52">
        <f t="shared" si="14"/>
        <v>1</v>
      </c>
    </row>
    <row r="39" spans="1:10" x14ac:dyDescent="0.2">
      <c r="F39" s="69"/>
      <c r="G39" s="128"/>
    </row>
    <row r="40" spans="1:10" x14ac:dyDescent="0.2">
      <c r="F40" s="131"/>
    </row>
    <row r="41" spans="1:10" x14ac:dyDescent="0.2">
      <c r="F41" s="129"/>
    </row>
    <row r="42" spans="1:10" x14ac:dyDescent="0.2">
      <c r="F42" s="130"/>
      <c r="G42" s="128"/>
      <c r="H42" s="128"/>
    </row>
    <row r="43" spans="1:10" x14ac:dyDescent="0.2">
      <c r="F43" s="129"/>
      <c r="G43" s="128"/>
    </row>
  </sheetData>
  <mergeCells count="1">
    <mergeCell ref="A1:J1"/>
  </mergeCells>
  <dataValidations count="1">
    <dataValidation type="list" allowBlank="1" showInputMessage="1" showErrorMessage="1" sqref="WVI983034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4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0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6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2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08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4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0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6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2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88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4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0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6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2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121</v>
      </c>
      <c r="B1" s="186"/>
      <c r="C1" s="186"/>
      <c r="D1" s="186"/>
      <c r="E1" s="186"/>
      <c r="F1" s="186"/>
      <c r="G1" s="186"/>
      <c r="H1" s="186"/>
      <c r="I1" s="186"/>
      <c r="J1" s="187"/>
    </row>
    <row r="3" spans="1:10" x14ac:dyDescent="0.2">
      <c r="A3" s="13" t="s">
        <v>13</v>
      </c>
      <c r="B3" s="13" t="s">
        <v>47</v>
      </c>
    </row>
    <row r="4" spans="1:10" x14ac:dyDescent="0.2">
      <c r="A4" s="15" t="s">
        <v>62</v>
      </c>
      <c r="B4" s="79">
        <v>5000</v>
      </c>
    </row>
    <row r="5" spans="1:10" x14ac:dyDescent="0.2">
      <c r="A5" s="15" t="s">
        <v>16</v>
      </c>
      <c r="B5" s="79">
        <v>100</v>
      </c>
    </row>
    <row r="6" spans="1:10" x14ac:dyDescent="0.2">
      <c r="A6" s="15" t="s">
        <v>20</v>
      </c>
      <c r="B6" s="80">
        <f>VLOOKUP($B$3,'Data for Bill Impacts'!$A$6:$Y$18,2,0)</f>
        <v>1.0609999999999999</v>
      </c>
    </row>
    <row r="7" spans="1:10" x14ac:dyDescent="0.2">
      <c r="A7" s="81" t="s">
        <v>48</v>
      </c>
      <c r="B7" s="82">
        <f>B4/(B5*730)</f>
        <v>6.8493150684931503E-2</v>
      </c>
    </row>
    <row r="8" spans="1:10" x14ac:dyDescent="0.2">
      <c r="A8" s="15" t="s">
        <v>15</v>
      </c>
      <c r="B8" s="79">
        <f>VLOOKUP($B$3,'Data for Bill Impacts'!$A$6:$Y$18,4,0)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5305</v>
      </c>
      <c r="C13" s="103">
        <v>9.0999999999999998E-2</v>
      </c>
      <c r="D13" s="104">
        <f>B13*C13</f>
        <v>482.755</v>
      </c>
      <c r="E13" s="102">
        <f>B13</f>
        <v>5305</v>
      </c>
      <c r="F13" s="103">
        <f>C13</f>
        <v>9.0999999999999998E-2</v>
      </c>
      <c r="G13" s="104">
        <f>E13*F13</f>
        <v>482.755</v>
      </c>
      <c r="H13" s="104">
        <f>G13-D13</f>
        <v>0</v>
      </c>
      <c r="I13" s="105">
        <f t="shared" ref="I13:I18" si="0">IF(ISERROR(H13/ABS(D13)),"N/A",(H13/ABS(D13)))</f>
        <v>0</v>
      </c>
      <c r="J13" s="123">
        <f t="shared" ref="J13:J21" si="1">G13/$G$38</f>
        <v>0.23158491014349147</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482.755</v>
      </c>
      <c r="E15" s="76"/>
      <c r="F15" s="25"/>
      <c r="G15" s="25">
        <f>SUM(G13:G14)</f>
        <v>482.755</v>
      </c>
      <c r="H15" s="25">
        <f t="shared" si="3"/>
        <v>0</v>
      </c>
      <c r="I15" s="27">
        <f t="shared" si="0"/>
        <v>0</v>
      </c>
      <c r="J15" s="47">
        <f t="shared" si="1"/>
        <v>0.23158491014349147</v>
      </c>
    </row>
    <row r="16" spans="1:10" s="1" customFormat="1" x14ac:dyDescent="0.2">
      <c r="A16" s="107" t="s">
        <v>38</v>
      </c>
      <c r="B16" s="73">
        <v>1</v>
      </c>
      <c r="C16" s="78">
        <f>VLOOKUP($B$3,'Data for Bill Impacts'!$A$6:$Y$18,7,0)</f>
        <v>196.16</v>
      </c>
      <c r="D16" s="22">
        <f>B16*C16</f>
        <v>196.16</v>
      </c>
      <c r="E16" s="73">
        <f t="shared" ref="E16:E33" si="4">B16</f>
        <v>1</v>
      </c>
      <c r="F16" s="78">
        <f>VLOOKUP($B$3,'Data for Bill Impacts'!$A$6:$Y$18,17,0)</f>
        <v>196.16</v>
      </c>
      <c r="G16" s="22">
        <f>E16*F16</f>
        <v>196.16</v>
      </c>
      <c r="H16" s="22">
        <f t="shared" si="3"/>
        <v>0</v>
      </c>
      <c r="I16" s="23">
        <f t="shared" si="0"/>
        <v>0</v>
      </c>
      <c r="J16" s="124">
        <f t="shared" si="1"/>
        <v>9.4100933131189293E-2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121">
        <f>VLOOKUP($B$3,'Data for Bill Impacts'!$A$6:$Y$18,13,0)</f>
        <v>1.0999999999999999E-2</v>
      </c>
      <c r="D19" s="22">
        <f t="shared" si="6"/>
        <v>1.0999999999999999E-2</v>
      </c>
      <c r="E19" s="73">
        <f t="shared" si="4"/>
        <v>1</v>
      </c>
      <c r="F19" s="121">
        <f>VLOOKUP($B$3,'Data for Bill Impacts'!$A$6:$Y$18,22,0)</f>
        <v>1.0999999999999999E-2</v>
      </c>
      <c r="G19" s="22">
        <f t="shared" si="5"/>
        <v>1.0999999999999999E-2</v>
      </c>
      <c r="H19" s="22">
        <f t="shared" si="3"/>
        <v>0</v>
      </c>
      <c r="I19" s="23">
        <f>IF(ISERROR(H19/ABS(D19)),"N/A",(H19/ABS(D19)))</f>
        <v>0</v>
      </c>
      <c r="J19" s="124">
        <f t="shared" si="1"/>
        <v>5.2768671719162024E-6</v>
      </c>
    </row>
    <row r="20" spans="1:10" x14ac:dyDescent="0.2">
      <c r="A20" s="107" t="s">
        <v>39</v>
      </c>
      <c r="B20" s="73">
        <f>IF($B$10="kWh",$B$4,$B$5)</f>
        <v>100</v>
      </c>
      <c r="C20" s="78">
        <f>VLOOKUP($B$3,'Data for Bill Impacts'!$A$6:$Y$18,10,0)</f>
        <v>6.431</v>
      </c>
      <c r="D20" s="22">
        <f>B20*C20</f>
        <v>643.1</v>
      </c>
      <c r="E20" s="73">
        <f t="shared" si="4"/>
        <v>100</v>
      </c>
      <c r="F20" s="125">
        <f>VLOOKUP($B$3,'Data for Bill Impacts'!$A$6:$Y$18,19,0)</f>
        <v>9.8219999999999992</v>
      </c>
      <c r="G20" s="22">
        <f>E20*F20</f>
        <v>982.19999999999993</v>
      </c>
      <c r="H20" s="22">
        <f t="shared" si="3"/>
        <v>339.09999999999991</v>
      </c>
      <c r="I20" s="23">
        <f t="shared" ref="I20" si="7">IF(ISERROR(H20/D20),0,(H20/D20))</f>
        <v>0.52728969056134334</v>
      </c>
      <c r="J20" s="124">
        <f t="shared" si="1"/>
        <v>0.47117626693237213</v>
      </c>
    </row>
    <row r="21" spans="1:10" s="1" customFormat="1" x14ac:dyDescent="0.2">
      <c r="A21" s="107" t="s">
        <v>122</v>
      </c>
      <c r="B21" s="73">
        <f>IF($B$10="kWh",$B$4,$B$5)</f>
        <v>100</v>
      </c>
      <c r="C21" s="125">
        <f>VLOOKUP($B$3,'Data for Bill Impacts'!$A$6:$Y$18,14,0)</f>
        <v>2.82E-3</v>
      </c>
      <c r="D21" s="22">
        <f>B21*C21</f>
        <v>0.28200000000000003</v>
      </c>
      <c r="E21" s="73">
        <f t="shared" si="4"/>
        <v>100</v>
      </c>
      <c r="F21" s="125">
        <f>VLOOKUP($B$3,'Data for Bill Impacts'!$A$6:$Y$18,23,0)</f>
        <v>2.82E-3</v>
      </c>
      <c r="G21" s="22">
        <f>E21*F21</f>
        <v>0.28200000000000003</v>
      </c>
      <c r="H21" s="22">
        <f t="shared" si="3"/>
        <v>0</v>
      </c>
      <c r="I21" s="23">
        <f>IF(ISERROR(H21/D21),0,(H21/D21))</f>
        <v>0</v>
      </c>
      <c r="J21" s="124">
        <f t="shared" si="1"/>
        <v>1.3527968568003356E-4</v>
      </c>
    </row>
    <row r="22" spans="1:10" s="1" customFormat="1" x14ac:dyDescent="0.2">
      <c r="A22" s="107" t="s">
        <v>108</v>
      </c>
      <c r="B22" s="73">
        <f>B9</f>
        <v>5305</v>
      </c>
      <c r="C22" s="125">
        <f>VLOOKUP($B$3,'Data for Bill Impacts'!$A$6:$Y$18,20,0)</f>
        <v>0</v>
      </c>
      <c r="D22" s="22">
        <f>B22*C22</f>
        <v>0</v>
      </c>
      <c r="E22" s="73">
        <f>B22</f>
        <v>5305</v>
      </c>
      <c r="F22" s="125">
        <f>VLOOKUP($B$3,'Data for Bill Impacts'!$A$6:$Y$18,21,0)</f>
        <v>0</v>
      </c>
      <c r="G22" s="22">
        <f>E22*F22</f>
        <v>0</v>
      </c>
      <c r="H22" s="22">
        <f t="shared" ref="H22" si="8">G22-D22</f>
        <v>0</v>
      </c>
      <c r="I22" s="23" t="str">
        <f t="shared" ref="I22:I38" si="9">IF(ISERROR(H22/ABS(D22)),"N/A",(H22/ABS(D22)))</f>
        <v>N/A</v>
      </c>
      <c r="J22" s="124">
        <f t="shared" ref="J22" si="10">G22/$G$38</f>
        <v>0</v>
      </c>
    </row>
    <row r="23" spans="1:10" x14ac:dyDescent="0.2">
      <c r="A23" s="110" t="s">
        <v>93</v>
      </c>
      <c r="B23" s="74"/>
      <c r="C23" s="35"/>
      <c r="D23" s="35">
        <f>SUM(D16:D22)</f>
        <v>839.553</v>
      </c>
      <c r="E23" s="73"/>
      <c r="F23" s="35"/>
      <c r="G23" s="35">
        <f>SUM(G16:G22)</f>
        <v>1178.6529999999998</v>
      </c>
      <c r="H23" s="35">
        <f t="shared" si="3"/>
        <v>339.0999999999998</v>
      </c>
      <c r="I23" s="36">
        <f t="shared" si="9"/>
        <v>0.40390541157020438</v>
      </c>
      <c r="J23" s="111">
        <f t="shared" ref="J23:J29" si="11">G23/$G$38</f>
        <v>0.56541775661641336</v>
      </c>
    </row>
    <row r="24" spans="1:10" x14ac:dyDescent="0.2">
      <c r="A24" s="107" t="s">
        <v>40</v>
      </c>
      <c r="B24" s="73">
        <f>B5</f>
        <v>100</v>
      </c>
      <c r="C24" s="125">
        <f>VLOOKUP($B$3,'Data for Bill Impacts'!$A$6:$Y$18,15,0)</f>
        <v>0.63108279999999994</v>
      </c>
      <c r="D24" s="22">
        <f>B24*C24</f>
        <v>63.108279999999993</v>
      </c>
      <c r="E24" s="73">
        <f t="shared" si="4"/>
        <v>100</v>
      </c>
      <c r="F24" s="125">
        <f>VLOOKUP($B$3,'Data for Bill Impacts'!$A$6:$Y$18,24,0)</f>
        <v>0.63108279999999994</v>
      </c>
      <c r="G24" s="22">
        <f>E24*F24</f>
        <v>63.108279999999993</v>
      </c>
      <c r="H24" s="22">
        <f t="shared" si="3"/>
        <v>0</v>
      </c>
      <c r="I24" s="23">
        <f t="shared" si="9"/>
        <v>0</v>
      </c>
      <c r="J24" s="124">
        <f t="shared" si="11"/>
        <v>3.0274001000735982E-2</v>
      </c>
    </row>
    <row r="25" spans="1:10" s="1" customFormat="1" x14ac:dyDescent="0.2">
      <c r="A25" s="107" t="s">
        <v>41</v>
      </c>
      <c r="B25" s="73">
        <f>B5</f>
        <v>100</v>
      </c>
      <c r="C25" s="125">
        <f>VLOOKUP($B$3,'Data for Bill Impacts'!$A$6:$Y$18,16,0)</f>
        <v>0.54747599999999996</v>
      </c>
      <c r="D25" s="22">
        <f>B25*C25</f>
        <v>54.747599999999998</v>
      </c>
      <c r="E25" s="73">
        <f t="shared" si="4"/>
        <v>100</v>
      </c>
      <c r="F25" s="125">
        <f>VLOOKUP($B$3,'Data for Bill Impacts'!$A$6:$Y$18,25,0)</f>
        <v>0.54747599999999996</v>
      </c>
      <c r="G25" s="22">
        <f>E25*F25</f>
        <v>54.747599999999998</v>
      </c>
      <c r="H25" s="22">
        <f t="shared" si="3"/>
        <v>0</v>
      </c>
      <c r="I25" s="23">
        <f t="shared" si="9"/>
        <v>0</v>
      </c>
      <c r="J25" s="124">
        <f t="shared" si="11"/>
        <v>2.6263255743745408E-2</v>
      </c>
    </row>
    <row r="26" spans="1:10" x14ac:dyDescent="0.2">
      <c r="A26" s="110" t="s">
        <v>76</v>
      </c>
      <c r="B26" s="74"/>
      <c r="C26" s="35"/>
      <c r="D26" s="35">
        <f>SUM(D24:D25)</f>
        <v>117.85587999999998</v>
      </c>
      <c r="E26" s="73"/>
      <c r="F26" s="35"/>
      <c r="G26" s="35">
        <f>SUM(G24:G25)</f>
        <v>117.85587999999998</v>
      </c>
      <c r="H26" s="35">
        <f t="shared" si="3"/>
        <v>0</v>
      </c>
      <c r="I26" s="36">
        <f t="shared" si="9"/>
        <v>0</v>
      </c>
      <c r="J26" s="111">
        <f t="shared" si="11"/>
        <v>5.6537256744481387E-2</v>
      </c>
    </row>
    <row r="27" spans="1:10" s="1" customFormat="1" x14ac:dyDescent="0.2">
      <c r="A27" s="110" t="s">
        <v>80</v>
      </c>
      <c r="B27" s="74"/>
      <c r="C27" s="35"/>
      <c r="D27" s="35">
        <f>D23+D26</f>
        <v>957.40887999999995</v>
      </c>
      <c r="E27" s="73"/>
      <c r="F27" s="35"/>
      <c r="G27" s="35">
        <f>G23+G26</f>
        <v>1296.5088799999999</v>
      </c>
      <c r="H27" s="35">
        <f t="shared" si="3"/>
        <v>339.09999999999991</v>
      </c>
      <c r="I27" s="36">
        <f t="shared" si="9"/>
        <v>0.35418514188002925</v>
      </c>
      <c r="J27" s="111">
        <f t="shared" si="11"/>
        <v>0.62195501336089476</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3"/>
        <v>0</v>
      </c>
      <c r="I28" s="23">
        <f t="shared" si="9"/>
        <v>0</v>
      </c>
      <c r="J28" s="124">
        <f t="shared" si="11"/>
        <v>9.1616008408414214E-3</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9"/>
        <v>0</v>
      </c>
      <c r="J29" s="124">
        <f t="shared" si="11"/>
        <v>5.3442671571574951E-3</v>
      </c>
    </row>
    <row r="30" spans="1:10" x14ac:dyDescent="0.2">
      <c r="A30" s="107" t="s">
        <v>96</v>
      </c>
      <c r="B30" s="73">
        <f>B9</f>
        <v>5305</v>
      </c>
      <c r="C30" s="34">
        <v>0</v>
      </c>
      <c r="D30" s="22">
        <f>B30*C30</f>
        <v>0</v>
      </c>
      <c r="E30" s="73">
        <f t="shared" si="4"/>
        <v>5305</v>
      </c>
      <c r="F30" s="34">
        <v>0</v>
      </c>
      <c r="G30" s="22">
        <f>E30*F30</f>
        <v>0</v>
      </c>
      <c r="H30" s="22">
        <f>G30-D30</f>
        <v>0</v>
      </c>
      <c r="I30" s="23" t="str">
        <f t="shared" si="9"/>
        <v>N/A</v>
      </c>
      <c r="J30" s="124">
        <f t="shared" ref="J30" si="12">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3">G31/$G$38</f>
        <v>1.1992879936173187E-4</v>
      </c>
    </row>
    <row r="32" spans="1:10" x14ac:dyDescent="0.2">
      <c r="A32" s="110" t="s">
        <v>45</v>
      </c>
      <c r="B32" s="74"/>
      <c r="C32" s="35"/>
      <c r="D32" s="35">
        <f>SUM(D28:D31)</f>
        <v>30.488499999999998</v>
      </c>
      <c r="E32" s="73"/>
      <c r="F32" s="35"/>
      <c r="G32" s="35">
        <f>SUM(G28:G31)</f>
        <v>30.488499999999998</v>
      </c>
      <c r="H32" s="35">
        <f t="shared" si="3"/>
        <v>0</v>
      </c>
      <c r="I32" s="36">
        <f t="shared" si="9"/>
        <v>0</v>
      </c>
      <c r="J32" s="111">
        <f t="shared" si="13"/>
        <v>1.4625796797360648E-2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3"/>
        <v>0</v>
      </c>
      <c r="I33" s="117">
        <f t="shared" si="9"/>
        <v>0</v>
      </c>
      <c r="J33" s="118">
        <f t="shared" si="13"/>
        <v>1.6790031910642461E-2</v>
      </c>
    </row>
    <row r="34" spans="1:10" x14ac:dyDescent="0.2">
      <c r="A34" s="37" t="s">
        <v>111</v>
      </c>
      <c r="B34" s="38"/>
      <c r="C34" s="39"/>
      <c r="D34" s="39">
        <f>SUM(D15,D23,D26,D32,D33)</f>
        <v>1505.65238</v>
      </c>
      <c r="E34" s="38"/>
      <c r="F34" s="39"/>
      <c r="G34" s="39">
        <f>SUM(G15,G23,G26,G32,G33)</f>
        <v>1844.7523799999999</v>
      </c>
      <c r="H34" s="39">
        <f t="shared" si="3"/>
        <v>339.09999999999991</v>
      </c>
      <c r="I34" s="40">
        <f t="shared" si="9"/>
        <v>0.22521798823178554</v>
      </c>
      <c r="J34" s="41">
        <f t="shared" si="13"/>
        <v>0.88495575221238942</v>
      </c>
    </row>
    <row r="35" spans="1:10" x14ac:dyDescent="0.2">
      <c r="A35" s="46" t="s">
        <v>102</v>
      </c>
      <c r="B35" s="43"/>
      <c r="C35" s="26">
        <v>0.13</v>
      </c>
      <c r="D35" s="26">
        <f>D34*C35</f>
        <v>195.73480940000002</v>
      </c>
      <c r="E35" s="26"/>
      <c r="F35" s="26">
        <f>C35</f>
        <v>0.13</v>
      </c>
      <c r="G35" s="26">
        <f>G34*F35</f>
        <v>239.81780939999999</v>
      </c>
      <c r="H35" s="26">
        <f t="shared" si="3"/>
        <v>44.08299999999997</v>
      </c>
      <c r="I35" s="44">
        <f t="shared" si="9"/>
        <v>0.22521798823178543</v>
      </c>
      <c r="J35" s="45">
        <f t="shared" si="13"/>
        <v>0.11504424778761062</v>
      </c>
    </row>
    <row r="36" spans="1:10" x14ac:dyDescent="0.2">
      <c r="A36" s="46" t="s">
        <v>103</v>
      </c>
      <c r="B36" s="24"/>
      <c r="C36" s="25"/>
      <c r="D36" s="25">
        <f>SUM(D34:D35)</f>
        <v>1701.3871893999999</v>
      </c>
      <c r="E36" s="25"/>
      <c r="F36" s="25"/>
      <c r="G36" s="25">
        <f>SUM(G34:G35)</f>
        <v>2084.5701893999999</v>
      </c>
      <c r="H36" s="25">
        <f t="shared" si="3"/>
        <v>383.18299999999999</v>
      </c>
      <c r="I36" s="27">
        <f t="shared" si="9"/>
        <v>0.22521798823178563</v>
      </c>
      <c r="J36" s="47">
        <f t="shared" si="13"/>
        <v>1</v>
      </c>
    </row>
    <row r="37" spans="1:10" x14ac:dyDescent="0.2">
      <c r="A37" s="46" t="s">
        <v>104</v>
      </c>
      <c r="B37" s="43"/>
      <c r="C37" s="26">
        <v>0</v>
      </c>
      <c r="D37" s="26">
        <f>D34*C37</f>
        <v>0</v>
      </c>
      <c r="E37" s="26"/>
      <c r="F37" s="26">
        <f>C37</f>
        <v>0</v>
      </c>
      <c r="G37" s="26">
        <f>G34*F37</f>
        <v>0</v>
      </c>
      <c r="H37" s="26">
        <f t="shared" si="3"/>
        <v>0</v>
      </c>
      <c r="I37" s="44" t="str">
        <f t="shared" si="9"/>
        <v>N/A</v>
      </c>
      <c r="J37" s="45">
        <f t="shared" si="13"/>
        <v>0</v>
      </c>
    </row>
    <row r="38" spans="1:10" ht="13.5" thickBot="1" x14ac:dyDescent="0.25">
      <c r="A38" s="46" t="s">
        <v>105</v>
      </c>
      <c r="B38" s="49"/>
      <c r="C38" s="50"/>
      <c r="D38" s="50">
        <f>SUM(D36:D37)</f>
        <v>1701.3871893999999</v>
      </c>
      <c r="E38" s="50"/>
      <c r="F38" s="50"/>
      <c r="G38" s="50">
        <f>SUM(G36:G37)</f>
        <v>2084.5701893999999</v>
      </c>
      <c r="H38" s="50">
        <f t="shared" si="3"/>
        <v>383.18299999999999</v>
      </c>
      <c r="I38" s="51">
        <f t="shared" si="9"/>
        <v>0.22521798823178563</v>
      </c>
      <c r="J38" s="52">
        <f t="shared" si="13"/>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38"/>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118</v>
      </c>
      <c r="B1" s="186"/>
      <c r="C1" s="186"/>
      <c r="D1" s="186"/>
      <c r="E1" s="186"/>
      <c r="F1" s="186"/>
      <c r="G1" s="186"/>
      <c r="H1" s="186"/>
      <c r="I1" s="186"/>
      <c r="J1" s="187"/>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Impacts'!$A$6:$Y$18,2,0)</f>
        <v>1.034</v>
      </c>
    </row>
    <row r="7" spans="1:10" x14ac:dyDescent="0.2">
      <c r="A7" s="81" t="s">
        <v>48</v>
      </c>
      <c r="B7" s="82">
        <f>B4/(B5*730)</f>
        <v>0.54794520547945202</v>
      </c>
    </row>
    <row r="8" spans="1:10" x14ac:dyDescent="0.2">
      <c r="A8" s="15" t="s">
        <v>15</v>
      </c>
      <c r="B8" s="79">
        <f>VLOOKUP($B$3,'Data for Bill Impacts'!$A$6:$Y$18,4,0)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206800</v>
      </c>
      <c r="C13" s="103">
        <v>9.0999999999999998E-2</v>
      </c>
      <c r="D13" s="104">
        <f>B13*C13</f>
        <v>18818.8</v>
      </c>
      <c r="E13" s="102">
        <f>B13</f>
        <v>206800</v>
      </c>
      <c r="F13" s="103">
        <f>C13</f>
        <v>9.0999999999999998E-2</v>
      </c>
      <c r="G13" s="104">
        <f>E13*F13</f>
        <v>18818.8</v>
      </c>
      <c r="H13" s="104">
        <f>G13-D13</f>
        <v>0</v>
      </c>
      <c r="I13" s="105">
        <f t="shared" ref="I13:I18" si="0">IF(ISERROR(H13/ABS(D13)),"N/A",(H13/ABS(D13)))</f>
        <v>0</v>
      </c>
      <c r="J13" s="123">
        <f t="shared" ref="J13:J27" si="1">G13/$G$36</f>
        <v>0.63359567331759592</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18818.8</v>
      </c>
      <c r="E15" s="76"/>
      <c r="F15" s="25"/>
      <c r="G15" s="25">
        <f>SUM(G13:G14)</f>
        <v>18818.8</v>
      </c>
      <c r="H15" s="25">
        <f t="shared" si="3"/>
        <v>0</v>
      </c>
      <c r="I15" s="27">
        <f t="shared" si="0"/>
        <v>0</v>
      </c>
      <c r="J15" s="47">
        <f t="shared" si="1"/>
        <v>0.63359567331759592</v>
      </c>
    </row>
    <row r="16" spans="1:10" s="1" customFormat="1" x14ac:dyDescent="0.2">
      <c r="A16" s="107" t="s">
        <v>38</v>
      </c>
      <c r="B16" s="73">
        <v>1</v>
      </c>
      <c r="C16" s="78">
        <f>VLOOKUP($B$3,'Data for Bill Impacts'!$A$6:$Y$18,7,0)</f>
        <v>1199.21</v>
      </c>
      <c r="D16" s="22">
        <f>B16*C16</f>
        <v>1199.21</v>
      </c>
      <c r="E16" s="73">
        <f t="shared" ref="E16:E31" si="4">B16</f>
        <v>1</v>
      </c>
      <c r="F16" s="78">
        <f>VLOOKUP($B$3,'Data for Bill Impacts'!$A$6:$Y$18,17,0)</f>
        <v>1223.97</v>
      </c>
      <c r="G16" s="22">
        <f>E16*F16</f>
        <v>1223.97</v>
      </c>
      <c r="H16" s="22">
        <f t="shared" si="3"/>
        <v>24.759999999999991</v>
      </c>
      <c r="I16" s="23">
        <f t="shared" si="0"/>
        <v>2.0646925892879472E-2</v>
      </c>
      <c r="J16" s="124">
        <f t="shared" si="1"/>
        <v>4.1208902601150871E-2</v>
      </c>
    </row>
    <row r="17" spans="1:10" x14ac:dyDescent="0.2">
      <c r="A17" s="107" t="s">
        <v>85</v>
      </c>
      <c r="B17" s="73">
        <v>1</v>
      </c>
      <c r="C17" s="121">
        <f>VLOOKUP($B$3,'Data for Bill Impacts'!$A$6:$Y$18,13,0)</f>
        <v>3.819</v>
      </c>
      <c r="D17" s="22">
        <f t="shared" ref="D17" si="5">B17*C17</f>
        <v>3.819</v>
      </c>
      <c r="E17" s="73">
        <f t="shared" si="4"/>
        <v>1</v>
      </c>
      <c r="F17" s="121">
        <f>VLOOKUP($B$3,'Data for Bill Impacts'!$A$6:$Y$18,22,0)</f>
        <v>3.819</v>
      </c>
      <c r="G17" s="22">
        <f t="shared" ref="G17" si="6">E17*F17</f>
        <v>3.819</v>
      </c>
      <c r="H17" s="22">
        <f t="shared" si="3"/>
        <v>0</v>
      </c>
      <c r="I17" s="23">
        <f t="shared" si="0"/>
        <v>0</v>
      </c>
      <c r="J17" s="124">
        <f t="shared" si="1"/>
        <v>1.2857896764936655E-4</v>
      </c>
    </row>
    <row r="18" spans="1:10" x14ac:dyDescent="0.2">
      <c r="A18" s="107" t="s">
        <v>39</v>
      </c>
      <c r="B18" s="73">
        <f>IF($B$10="kWh",$B$4,$B$5)</f>
        <v>500</v>
      </c>
      <c r="C18" s="125">
        <f>VLOOKUP($B$3,'Data for Bill Impacts'!$A$6:$Y$18,10,0)</f>
        <v>1.3102585039311754</v>
      </c>
      <c r="D18" s="22">
        <f>B18*C18</f>
        <v>655.12925196558774</v>
      </c>
      <c r="E18" s="73">
        <f t="shared" si="4"/>
        <v>500</v>
      </c>
      <c r="F18" s="125">
        <f>VLOOKUP($B$3,'Data for Bill Impacts'!$A$6:$Y$18,19,0)</f>
        <v>1.365848472559207</v>
      </c>
      <c r="G18" s="22">
        <f>E18*F18</f>
        <v>682.92423627960352</v>
      </c>
      <c r="H18" s="22">
        <f t="shared" si="3"/>
        <v>27.794984314015778</v>
      </c>
      <c r="I18" s="23">
        <f t="shared" si="0"/>
        <v>4.242671843857123E-2</v>
      </c>
      <c r="J18" s="124">
        <f t="shared" si="1"/>
        <v>2.2992849773124768E-2</v>
      </c>
    </row>
    <row r="19" spans="1:10" s="1" customFormat="1" x14ac:dyDescent="0.2">
      <c r="A19" s="107" t="s">
        <v>122</v>
      </c>
      <c r="B19" s="73">
        <f>IF($B$10="kWh",$B$4,$B$5)</f>
        <v>500</v>
      </c>
      <c r="C19" s="125">
        <f>VLOOKUP($B$3,'Data for Bill Impacts'!$A$6:$Y$18,14,0)</f>
        <v>-0.13666999999999996</v>
      </c>
      <c r="D19" s="22">
        <f>B19*C19</f>
        <v>-68.33499999999998</v>
      </c>
      <c r="E19" s="73">
        <f>B19</f>
        <v>500</v>
      </c>
      <c r="F19" s="125">
        <f>VLOOKUP($B$3,'Data for Bill Impacts'!$A$6:$Y$18,23,0)</f>
        <v>-0.13666999999999996</v>
      </c>
      <c r="G19" s="22">
        <f>E19*F19</f>
        <v>-68.33499999999998</v>
      </c>
      <c r="H19" s="22">
        <f>G19-D19</f>
        <v>0</v>
      </c>
      <c r="I19" s="23">
        <f>IF(ISERROR(H19/ABS(D19)),"N/A",(H19/ABS(D19)))</f>
        <v>0</v>
      </c>
      <c r="J19" s="124">
        <f t="shared" si="1"/>
        <v>-2.3007184483685417E-3</v>
      </c>
    </row>
    <row r="20" spans="1:10" s="1" customFormat="1" x14ac:dyDescent="0.2">
      <c r="A20" s="107" t="s">
        <v>108</v>
      </c>
      <c r="B20" s="73">
        <f>B9</f>
        <v>206800</v>
      </c>
      <c r="C20" s="125">
        <f>VLOOKUP($B$3,'Data for Bill Impacts'!$A$6:$Y$18,20,0)</f>
        <v>0</v>
      </c>
      <c r="D20" s="22">
        <f>B20*C20</f>
        <v>0</v>
      </c>
      <c r="E20" s="73">
        <f t="shared" si="4"/>
        <v>206800</v>
      </c>
      <c r="F20" s="125">
        <f>VLOOKUP($B$3,'Data for Bill Impacts'!$A$6:$Y$18,21,0)</f>
        <v>0</v>
      </c>
      <c r="G20" s="22">
        <f>E20*F20</f>
        <v>0</v>
      </c>
      <c r="H20" s="22">
        <f t="shared" si="3"/>
        <v>0</v>
      </c>
      <c r="I20" s="23">
        <f>IF(ISERROR(H20/D20),0,(H20/D20))</f>
        <v>0</v>
      </c>
      <c r="J20" s="124">
        <f t="shared" si="1"/>
        <v>0</v>
      </c>
    </row>
    <row r="21" spans="1:10" x14ac:dyDescent="0.2">
      <c r="A21" s="110" t="s">
        <v>93</v>
      </c>
      <c r="B21" s="74"/>
      <c r="C21" s="35"/>
      <c r="D21" s="35">
        <f>SUM(D16:D20)</f>
        <v>1789.8232519655876</v>
      </c>
      <c r="E21" s="73"/>
      <c r="F21" s="35"/>
      <c r="G21" s="35">
        <f>SUM(G16:G20)</f>
        <v>1842.3782362796035</v>
      </c>
      <c r="H21" s="35">
        <f t="shared" si="3"/>
        <v>52.554984314015883</v>
      </c>
      <c r="I21" s="36">
        <f t="shared" ref="I21" si="7">IF(ISERROR(H21/D21),0,(H21/D21))</f>
        <v>2.9363225813666176E-2</v>
      </c>
      <c r="J21" s="111">
        <f t="shared" si="1"/>
        <v>6.2029612893556463E-2</v>
      </c>
    </row>
    <row r="22" spans="1:10" x14ac:dyDescent="0.2">
      <c r="A22" s="107" t="s">
        <v>40</v>
      </c>
      <c r="B22" s="73">
        <f>B5</f>
        <v>500</v>
      </c>
      <c r="C22" s="125">
        <f>VLOOKUP($B$3,'Data for Bill Impacts'!$A$6:$Y$18,15,0)</f>
        <v>3.4866480000000002</v>
      </c>
      <c r="D22" s="22">
        <f>B22*C22</f>
        <v>1743.3240000000001</v>
      </c>
      <c r="E22" s="73">
        <f t="shared" si="4"/>
        <v>500</v>
      </c>
      <c r="F22" s="125">
        <f>VLOOKUP($B$3,'Data for Bill Impacts'!$A$6:$Y$18,24,0)</f>
        <v>3.4866480000000002</v>
      </c>
      <c r="G22" s="22">
        <f>E22*F22</f>
        <v>1743.3240000000001</v>
      </c>
      <c r="H22" s="22">
        <f t="shared" si="3"/>
        <v>0</v>
      </c>
      <c r="I22" s="23">
        <f t="shared" ref="I22:I36" si="8">IF(ISERROR(H22/ABS(D22)),"N/A",(H22/ABS(D22)))</f>
        <v>0</v>
      </c>
      <c r="J22" s="124">
        <f t="shared" si="1"/>
        <v>5.8694632154586091E-2</v>
      </c>
    </row>
    <row r="23" spans="1:10" s="1" customFormat="1" x14ac:dyDescent="0.2">
      <c r="A23" s="107" t="s">
        <v>41</v>
      </c>
      <c r="B23" s="73">
        <f>B5</f>
        <v>500</v>
      </c>
      <c r="C23" s="125">
        <f>VLOOKUP($B$3,'Data for Bill Impacts'!$A$6:$Y$18,16,0)</f>
        <v>2.6021643999999999</v>
      </c>
      <c r="D23" s="22">
        <f>B23*C23</f>
        <v>1301.0822000000001</v>
      </c>
      <c r="E23" s="73">
        <f t="shared" si="4"/>
        <v>500</v>
      </c>
      <c r="F23" s="125">
        <f>VLOOKUP($B$3,'Data for Bill Impacts'!$A$6:$Y$18,25,0)</f>
        <v>2.6021643999999999</v>
      </c>
      <c r="G23" s="22">
        <f>E23*F23</f>
        <v>1301.0822000000001</v>
      </c>
      <c r="H23" s="22">
        <f t="shared" si="3"/>
        <v>0</v>
      </c>
      <c r="I23" s="23">
        <f t="shared" si="8"/>
        <v>0</v>
      </c>
      <c r="J23" s="124">
        <f t="shared" si="1"/>
        <v>4.3805133831622586E-2</v>
      </c>
    </row>
    <row r="24" spans="1:10" x14ac:dyDescent="0.2">
      <c r="A24" s="110" t="s">
        <v>76</v>
      </c>
      <c r="B24" s="74"/>
      <c r="C24" s="35"/>
      <c r="D24" s="35">
        <f>SUM(D22:D23)</f>
        <v>3044.4062000000004</v>
      </c>
      <c r="E24" s="73"/>
      <c r="F24" s="35"/>
      <c r="G24" s="35">
        <f>SUM(G22:G23)</f>
        <v>3044.4062000000004</v>
      </c>
      <c r="H24" s="35">
        <f t="shared" si="3"/>
        <v>0</v>
      </c>
      <c r="I24" s="36">
        <f t="shared" si="8"/>
        <v>0</v>
      </c>
      <c r="J24" s="111">
        <f t="shared" si="1"/>
        <v>0.10249976598620869</v>
      </c>
    </row>
    <row r="25" spans="1:10" s="1" customFormat="1" x14ac:dyDescent="0.2">
      <c r="A25" s="110" t="s">
        <v>80</v>
      </c>
      <c r="B25" s="74"/>
      <c r="C25" s="35"/>
      <c r="D25" s="35">
        <f>D21+D24</f>
        <v>4834.2294519655879</v>
      </c>
      <c r="E25" s="73"/>
      <c r="F25" s="35"/>
      <c r="G25" s="35">
        <f>G21+G24</f>
        <v>4886.7844362796041</v>
      </c>
      <c r="H25" s="35">
        <f t="shared" si="3"/>
        <v>52.55498431401611</v>
      </c>
      <c r="I25" s="36">
        <f t="shared" si="8"/>
        <v>1.0871429425561784E-2</v>
      </c>
      <c r="J25" s="111">
        <f t="shared" si="1"/>
        <v>0.16452937887976515</v>
      </c>
    </row>
    <row r="26" spans="1:10" x14ac:dyDescent="0.2">
      <c r="A26" s="107" t="s">
        <v>42</v>
      </c>
      <c r="B26" s="73">
        <f>B9</f>
        <v>206800</v>
      </c>
      <c r="C26" s="34">
        <v>3.5999999999999999E-3</v>
      </c>
      <c r="D26" s="22">
        <f>B26*C26</f>
        <v>744.48</v>
      </c>
      <c r="E26" s="73">
        <f t="shared" si="4"/>
        <v>206800</v>
      </c>
      <c r="F26" s="34">
        <v>3.5999999999999999E-3</v>
      </c>
      <c r="G26" s="22">
        <f>E26*F26</f>
        <v>744.48</v>
      </c>
      <c r="H26" s="22">
        <f t="shared" si="3"/>
        <v>0</v>
      </c>
      <c r="I26" s="23">
        <f t="shared" si="8"/>
        <v>0</v>
      </c>
      <c r="J26" s="124">
        <f t="shared" si="1"/>
        <v>2.5065323340036767E-2</v>
      </c>
    </row>
    <row r="27" spans="1:10" x14ac:dyDescent="0.2">
      <c r="A27" s="107" t="s">
        <v>43</v>
      </c>
      <c r="B27" s="73">
        <f>B9</f>
        <v>206800</v>
      </c>
      <c r="C27" s="34">
        <v>2.0999999999999999E-3</v>
      </c>
      <c r="D27" s="22">
        <f>B27*C27</f>
        <v>434.28</v>
      </c>
      <c r="E27" s="73">
        <f t="shared" si="4"/>
        <v>206800</v>
      </c>
      <c r="F27" s="34">
        <v>2.0999999999999999E-3</v>
      </c>
      <c r="G27" s="22">
        <f>E27*F27</f>
        <v>434.28</v>
      </c>
      <c r="H27" s="22">
        <f>G27-D27</f>
        <v>0</v>
      </c>
      <c r="I27" s="23">
        <f t="shared" si="8"/>
        <v>0</v>
      </c>
      <c r="J27" s="124">
        <f t="shared" si="1"/>
        <v>1.4621438615021446E-2</v>
      </c>
    </row>
    <row r="28" spans="1:10" x14ac:dyDescent="0.2">
      <c r="A28" s="107" t="s">
        <v>96</v>
      </c>
      <c r="B28" s="73">
        <f>B9</f>
        <v>206800</v>
      </c>
      <c r="C28" s="34">
        <v>0</v>
      </c>
      <c r="D28" s="22">
        <f>B28*C28</f>
        <v>0</v>
      </c>
      <c r="E28" s="73">
        <f t="shared" si="4"/>
        <v>206800</v>
      </c>
      <c r="F28" s="34">
        <v>0</v>
      </c>
      <c r="G28" s="22">
        <f>E28*F28</f>
        <v>0</v>
      </c>
      <c r="H28" s="22">
        <f>G28-D28</f>
        <v>0</v>
      </c>
      <c r="I28" s="23" t="str">
        <f t="shared" si="8"/>
        <v>N/A</v>
      </c>
      <c r="J28" s="124">
        <f t="shared" ref="J28" si="9">G28/$G$36</f>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ref="J29:J36" si="10">G29/$G$36</f>
        <v>8.4170573219014497E-6</v>
      </c>
    </row>
    <row r="30" spans="1:10" x14ac:dyDescent="0.2">
      <c r="A30" s="110" t="s">
        <v>45</v>
      </c>
      <c r="B30" s="74"/>
      <c r="C30" s="35"/>
      <c r="D30" s="35">
        <f>SUM(D26:D29)</f>
        <v>1179.01</v>
      </c>
      <c r="E30" s="73"/>
      <c r="F30" s="35"/>
      <c r="G30" s="35">
        <f>SUM(G26:G29)</f>
        <v>1179.01</v>
      </c>
      <c r="H30" s="35">
        <f t="shared" si="3"/>
        <v>0</v>
      </c>
      <c r="I30" s="36">
        <f t="shared" si="8"/>
        <v>0</v>
      </c>
      <c r="J30" s="111">
        <f t="shared" si="10"/>
        <v>3.9695179012380115E-2</v>
      </c>
    </row>
    <row r="31" spans="1:10" ht="13.5" thickBot="1" x14ac:dyDescent="0.25">
      <c r="A31" s="112" t="s">
        <v>46</v>
      </c>
      <c r="B31" s="113">
        <f>B4</f>
        <v>200000</v>
      </c>
      <c r="C31" s="114">
        <v>7.0000000000000001E-3</v>
      </c>
      <c r="D31" s="115">
        <f>B31*C31</f>
        <v>1400</v>
      </c>
      <c r="E31" s="116">
        <f t="shared" si="4"/>
        <v>200000</v>
      </c>
      <c r="F31" s="114">
        <f>C31</f>
        <v>7.0000000000000001E-3</v>
      </c>
      <c r="G31" s="115">
        <f>E31*F31</f>
        <v>1400</v>
      </c>
      <c r="H31" s="115">
        <f t="shared" si="3"/>
        <v>0</v>
      </c>
      <c r="I31" s="117">
        <f t="shared" si="8"/>
        <v>0</v>
      </c>
      <c r="J31" s="118">
        <f t="shared" si="10"/>
        <v>4.7135521002648118E-2</v>
      </c>
    </row>
    <row r="32" spans="1:10" x14ac:dyDescent="0.2">
      <c r="A32" s="37" t="s">
        <v>111</v>
      </c>
      <c r="B32" s="38"/>
      <c r="C32" s="39"/>
      <c r="D32" s="39">
        <f>SUM(D15,D21,D24,D30,D31)</f>
        <v>26232.039451965586</v>
      </c>
      <c r="E32" s="38"/>
      <c r="F32" s="39"/>
      <c r="G32" s="39">
        <f>SUM(G15,G21,G24,G30,G31)</f>
        <v>26284.594436279604</v>
      </c>
      <c r="H32" s="39">
        <f t="shared" si="3"/>
        <v>52.554984314017929</v>
      </c>
      <c r="I32" s="40">
        <f t="shared" si="8"/>
        <v>2.0034654343309148E-3</v>
      </c>
      <c r="J32" s="41">
        <f t="shared" si="10"/>
        <v>0.88495575221238931</v>
      </c>
    </row>
    <row r="33" spans="1:10" x14ac:dyDescent="0.2">
      <c r="A33" s="46" t="s">
        <v>102</v>
      </c>
      <c r="B33" s="43"/>
      <c r="C33" s="26">
        <v>0.13</v>
      </c>
      <c r="D33" s="26">
        <f>D32*C33</f>
        <v>3410.1651287555264</v>
      </c>
      <c r="E33" s="26"/>
      <c r="F33" s="26">
        <f>C33</f>
        <v>0.13</v>
      </c>
      <c r="G33" s="26">
        <f>G32*F33</f>
        <v>3416.9972767163486</v>
      </c>
      <c r="H33" s="26">
        <f t="shared" si="3"/>
        <v>6.8321479608221125</v>
      </c>
      <c r="I33" s="44">
        <f t="shared" si="8"/>
        <v>2.0034654343308506E-3</v>
      </c>
      <c r="J33" s="45">
        <f t="shared" si="10"/>
        <v>0.11504424778761062</v>
      </c>
    </row>
    <row r="34" spans="1:10" x14ac:dyDescent="0.2">
      <c r="A34" s="46" t="s">
        <v>103</v>
      </c>
      <c r="B34" s="24"/>
      <c r="C34" s="25"/>
      <c r="D34" s="25">
        <f>SUM(D32:D33)</f>
        <v>29642.204580721111</v>
      </c>
      <c r="E34" s="25"/>
      <c r="F34" s="25"/>
      <c r="G34" s="25">
        <f>SUM(G32:G33)</f>
        <v>29701.591712995953</v>
      </c>
      <c r="H34" s="25">
        <f t="shared" si="3"/>
        <v>59.387132274841861</v>
      </c>
      <c r="I34" s="27">
        <f t="shared" si="8"/>
        <v>2.003465434330969E-3</v>
      </c>
      <c r="J34" s="47">
        <f t="shared" si="10"/>
        <v>1</v>
      </c>
    </row>
    <row r="35" spans="1:10" x14ac:dyDescent="0.2">
      <c r="A35" s="46" t="s">
        <v>104</v>
      </c>
      <c r="B35" s="43"/>
      <c r="C35" s="26">
        <v>0</v>
      </c>
      <c r="D35" s="26">
        <f>D32*C35</f>
        <v>0</v>
      </c>
      <c r="E35" s="26"/>
      <c r="F35" s="26">
        <f>C35</f>
        <v>0</v>
      </c>
      <c r="G35" s="26">
        <f>G32*F35</f>
        <v>0</v>
      </c>
      <c r="H35" s="26">
        <f t="shared" si="3"/>
        <v>0</v>
      </c>
      <c r="I35" s="44" t="str">
        <f t="shared" si="8"/>
        <v>N/A</v>
      </c>
      <c r="J35" s="45">
        <f t="shared" si="10"/>
        <v>0</v>
      </c>
    </row>
    <row r="36" spans="1:10" ht="13.5" thickBot="1" x14ac:dyDescent="0.25">
      <c r="A36" s="46" t="s">
        <v>105</v>
      </c>
      <c r="B36" s="49"/>
      <c r="C36" s="50"/>
      <c r="D36" s="50">
        <f>SUM(D34:D35)</f>
        <v>29642.204580721111</v>
      </c>
      <c r="E36" s="50"/>
      <c r="F36" s="50"/>
      <c r="G36" s="50">
        <f>SUM(G34:G35)</f>
        <v>29701.591712995953</v>
      </c>
      <c r="H36" s="50">
        <f t="shared" si="3"/>
        <v>59.387132274841861</v>
      </c>
      <c r="I36" s="51">
        <f t="shared" si="8"/>
        <v>2.003465434330969E-3</v>
      </c>
      <c r="J36" s="52">
        <f t="shared" si="10"/>
        <v>1</v>
      </c>
    </row>
    <row r="37" spans="1:10" x14ac:dyDescent="0.2">
      <c r="A37" s="168"/>
      <c r="F37" s="69"/>
    </row>
    <row r="38" spans="1:10" x14ac:dyDescent="0.2">
      <c r="A38" s="169"/>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1" tint="0.499984740745262"/>
    <pageSetUpPr fitToPage="1"/>
  </sheetPr>
  <dimension ref="A1:J38"/>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119</v>
      </c>
      <c r="B1" s="186"/>
      <c r="C1" s="186"/>
      <c r="D1" s="186"/>
      <c r="E1" s="186"/>
      <c r="F1" s="186"/>
      <c r="G1" s="186"/>
      <c r="H1" s="186"/>
      <c r="I1" s="186"/>
      <c r="J1" s="187"/>
    </row>
    <row r="3" spans="1:10" x14ac:dyDescent="0.2">
      <c r="A3" s="13" t="s">
        <v>13</v>
      </c>
      <c r="B3" s="13" t="s">
        <v>11</v>
      </c>
    </row>
    <row r="4" spans="1:10" x14ac:dyDescent="0.2">
      <c r="A4" s="15" t="s">
        <v>62</v>
      </c>
      <c r="B4" s="79">
        <f>VLOOKUP(B3,'Data for Bill Impacts'!A22:D34,3,FALSE)</f>
        <v>1601036</v>
      </c>
    </row>
    <row r="5" spans="1:10" x14ac:dyDescent="0.2">
      <c r="A5" s="15" t="s">
        <v>16</v>
      </c>
      <c r="B5" s="79">
        <f>VLOOKUP(B3,'Data for Bill Impacts'!A22:D34,4,FALSE)</f>
        <v>3091</v>
      </c>
    </row>
    <row r="6" spans="1:10" x14ac:dyDescent="0.2">
      <c r="A6" s="15" t="s">
        <v>20</v>
      </c>
      <c r="B6" s="80">
        <f>VLOOKUP($B$3,'Data for Bill Impacts'!$A$6:$Y$18,2,0)</f>
        <v>1.034</v>
      </c>
    </row>
    <row r="7" spans="1:10" x14ac:dyDescent="0.2">
      <c r="A7" s="81" t="s">
        <v>48</v>
      </c>
      <c r="B7" s="82">
        <f>B4/(B5*730)</f>
        <v>0.70954383694597223</v>
      </c>
    </row>
    <row r="8" spans="1:10" x14ac:dyDescent="0.2">
      <c r="A8" s="15" t="s">
        <v>15</v>
      </c>
      <c r="B8" s="79">
        <f>VLOOKUP($B$3,'Data for Bill Impacts'!$A$6:$Y$18,4,0)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1655471.2240000002</v>
      </c>
      <c r="C13" s="103">
        <v>9.0999999999999998E-2</v>
      </c>
      <c r="D13" s="104">
        <f>B13*C13</f>
        <v>150647.88138400001</v>
      </c>
      <c r="E13" s="102">
        <f>B13</f>
        <v>1655471.2240000002</v>
      </c>
      <c r="F13" s="103">
        <f>C13</f>
        <v>9.0999999999999998E-2</v>
      </c>
      <c r="G13" s="104">
        <f>E13*F13</f>
        <v>150647.88138400001</v>
      </c>
      <c r="H13" s="104">
        <f>G13-D13</f>
        <v>0</v>
      </c>
      <c r="I13" s="105">
        <f t="shared" ref="I13:I18" si="0">IF(ISERROR(H13/ABS(D13)),"N/A",(H13/ABS(D13)))</f>
        <v>0</v>
      </c>
      <c r="J13" s="123">
        <f t="shared" ref="J13:J27" si="1">G13/$G$36</f>
        <v>0.68318750221175584</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150647.88138400001</v>
      </c>
      <c r="E15" s="76"/>
      <c r="F15" s="25"/>
      <c r="G15" s="25">
        <f>SUM(G13:G14)</f>
        <v>150647.88138400001</v>
      </c>
      <c r="H15" s="25">
        <f t="shared" si="3"/>
        <v>0</v>
      </c>
      <c r="I15" s="27">
        <f t="shared" si="0"/>
        <v>0</v>
      </c>
      <c r="J15" s="47">
        <f t="shared" si="1"/>
        <v>0.68318750221175584</v>
      </c>
    </row>
    <row r="16" spans="1:10" s="1" customFormat="1" x14ac:dyDescent="0.2">
      <c r="A16" s="107" t="s">
        <v>38</v>
      </c>
      <c r="B16" s="73">
        <v>1</v>
      </c>
      <c r="C16" s="78">
        <f>VLOOKUP($B$3,'Data for Bill Impacts'!$A$6:$Y$18,7,0)</f>
        <v>1199.21</v>
      </c>
      <c r="D16" s="22">
        <f>B16*C16</f>
        <v>1199.21</v>
      </c>
      <c r="E16" s="73">
        <f t="shared" ref="E16:E31" si="4">B16</f>
        <v>1</v>
      </c>
      <c r="F16" s="78">
        <f>VLOOKUP($B$3,'Data for Bill Impacts'!$A$6:$Y$18,17,0)</f>
        <v>1223.97</v>
      </c>
      <c r="G16" s="22">
        <f>E16*F16</f>
        <v>1223.97</v>
      </c>
      <c r="H16" s="22">
        <f t="shared" si="3"/>
        <v>24.759999999999991</v>
      </c>
      <c r="I16" s="23">
        <f t="shared" si="0"/>
        <v>2.0646925892879472E-2</v>
      </c>
      <c r="J16" s="124">
        <f t="shared" si="1"/>
        <v>5.5506987512864816E-3</v>
      </c>
    </row>
    <row r="17" spans="1:10" x14ac:dyDescent="0.2">
      <c r="A17" s="107" t="s">
        <v>85</v>
      </c>
      <c r="B17" s="73">
        <v>1</v>
      </c>
      <c r="C17" s="121">
        <f>VLOOKUP($B$3,'Data for Bill Impacts'!$A$6:$Y$18,13,0)</f>
        <v>3.819</v>
      </c>
      <c r="D17" s="22">
        <f t="shared" ref="D17" si="5">B17*C17</f>
        <v>3.819</v>
      </c>
      <c r="E17" s="73">
        <f t="shared" si="4"/>
        <v>1</v>
      </c>
      <c r="F17" s="121">
        <f>VLOOKUP($B$3,'Data for Bill Impacts'!$A$6:$Y$18,22,0)</f>
        <v>3.819</v>
      </c>
      <c r="G17" s="22">
        <f t="shared" ref="G17" si="6">E17*F17</f>
        <v>3.819</v>
      </c>
      <c r="H17" s="22">
        <f t="shared" si="3"/>
        <v>0</v>
      </c>
      <c r="I17" s="23">
        <f t="shared" si="0"/>
        <v>0</v>
      </c>
      <c r="J17" s="124">
        <f t="shared" si="1"/>
        <v>1.7319148779106573E-5</v>
      </c>
    </row>
    <row r="18" spans="1:10" x14ac:dyDescent="0.2">
      <c r="A18" s="107" t="s">
        <v>39</v>
      </c>
      <c r="B18" s="73">
        <f>IF($B$10="kWh",$B$4,$B$5)</f>
        <v>3091</v>
      </c>
      <c r="C18" s="125">
        <f>VLOOKUP($B$3,'Data for Bill Impacts'!$A$6:$Y$18,10,0)</f>
        <v>1.3102585039311754</v>
      </c>
      <c r="D18" s="22">
        <f>B18*C18</f>
        <v>4050.0090356512633</v>
      </c>
      <c r="E18" s="73">
        <f t="shared" si="4"/>
        <v>3091</v>
      </c>
      <c r="F18" s="125">
        <f>VLOOKUP($B$3,'Data for Bill Impacts'!$A$6:$Y$18,19,0)</f>
        <v>1.365848472559207</v>
      </c>
      <c r="G18" s="22">
        <f>E18*F18</f>
        <v>4221.8376286805087</v>
      </c>
      <c r="H18" s="22">
        <f t="shared" si="3"/>
        <v>171.82859302924544</v>
      </c>
      <c r="I18" s="23">
        <f t="shared" si="0"/>
        <v>4.2426718438571202E-2</v>
      </c>
      <c r="J18" s="124">
        <f t="shared" si="1"/>
        <v>1.9146015714152455E-2</v>
      </c>
    </row>
    <row r="19" spans="1:10" s="1" customFormat="1" x14ac:dyDescent="0.2">
      <c r="A19" s="107" t="s">
        <v>122</v>
      </c>
      <c r="B19" s="73">
        <f>IF($B$10="kWh",$B$4,$B$5)</f>
        <v>3091</v>
      </c>
      <c r="C19" s="125">
        <f>VLOOKUP($B$3,'Data for Bill Impacts'!$A$6:$Y$18,14,0)</f>
        <v>-0.13666999999999996</v>
      </c>
      <c r="D19" s="22">
        <f>B19*C19</f>
        <v>-422.44696999999985</v>
      </c>
      <c r="E19" s="73">
        <f>B19</f>
        <v>3091</v>
      </c>
      <c r="F19" s="125">
        <f>VLOOKUP($B$3,'Data for Bill Impacts'!$A$6:$Y$18,23,0)</f>
        <v>-0.13666999999999996</v>
      </c>
      <c r="G19" s="22">
        <f>E19*F19</f>
        <v>-422.44696999999985</v>
      </c>
      <c r="H19" s="22">
        <f>G19-D19</f>
        <v>0</v>
      </c>
      <c r="I19" s="23">
        <f>IF(ISERROR(H19/ABS(D19)),"N/A",(H19/ABS(D19)))</f>
        <v>0</v>
      </c>
      <c r="J19" s="124">
        <f t="shared" si="1"/>
        <v>-1.9157952146406829E-3</v>
      </c>
    </row>
    <row r="20" spans="1:10" s="1" customFormat="1" x14ac:dyDescent="0.2">
      <c r="A20" s="107" t="s">
        <v>108</v>
      </c>
      <c r="B20" s="73">
        <f>B9</f>
        <v>1655471.2240000002</v>
      </c>
      <c r="C20" s="125">
        <f>VLOOKUP($B$3,'Data for Bill Impacts'!$A$6:$Y$18,20,0)</f>
        <v>0</v>
      </c>
      <c r="D20" s="22">
        <f>B20*C20</f>
        <v>0</v>
      </c>
      <c r="E20" s="73">
        <f t="shared" si="4"/>
        <v>1655471.2240000002</v>
      </c>
      <c r="F20" s="125">
        <f>VLOOKUP($B$3,'Data for Bill Impacts'!$A$6:$Y$18,21,0)</f>
        <v>0</v>
      </c>
      <c r="G20" s="22">
        <f>E20*F20</f>
        <v>0</v>
      </c>
      <c r="H20" s="22">
        <f t="shared" si="3"/>
        <v>0</v>
      </c>
      <c r="I20" s="23">
        <f>IF(ISERROR(H20/D20),0,(H20/D20))</f>
        <v>0</v>
      </c>
      <c r="J20" s="124">
        <f t="shared" si="1"/>
        <v>0</v>
      </c>
    </row>
    <row r="21" spans="1:10" x14ac:dyDescent="0.2">
      <c r="A21" s="110" t="s">
        <v>79</v>
      </c>
      <c r="B21" s="74"/>
      <c r="C21" s="35"/>
      <c r="D21" s="35">
        <f>SUM(D16:D20)</f>
        <v>4830.5910656512633</v>
      </c>
      <c r="E21" s="73"/>
      <c r="F21" s="35"/>
      <c r="G21" s="35">
        <f>SUM(G16:G20)</f>
        <v>5027.1796586805085</v>
      </c>
      <c r="H21" s="35">
        <f t="shared" si="3"/>
        <v>196.5885930292452</v>
      </c>
      <c r="I21" s="36">
        <f t="shared" ref="I21" si="7">IF(ISERROR(H21/D21),0,(H21/D21))</f>
        <v>4.0696591857489597E-2</v>
      </c>
      <c r="J21" s="111">
        <f t="shared" si="1"/>
        <v>2.2798238399577356E-2</v>
      </c>
    </row>
    <row r="22" spans="1:10" x14ac:dyDescent="0.2">
      <c r="A22" s="107" t="s">
        <v>40</v>
      </c>
      <c r="B22" s="73">
        <f>B5</f>
        <v>3091</v>
      </c>
      <c r="C22" s="125">
        <f>VLOOKUP($B$3,'Data for Bill Impacts'!$A$6:$Y$18,15,0)</f>
        <v>3.4866480000000002</v>
      </c>
      <c r="D22" s="22">
        <f>B22*C22</f>
        <v>10777.228968000001</v>
      </c>
      <c r="E22" s="73">
        <f t="shared" si="4"/>
        <v>3091</v>
      </c>
      <c r="F22" s="125">
        <f>VLOOKUP($B$3,'Data for Bill Impacts'!$A$6:$Y$18,24,0)</f>
        <v>3.4866480000000002</v>
      </c>
      <c r="G22" s="22">
        <f>E22*F22</f>
        <v>10777.228968000001</v>
      </c>
      <c r="H22" s="22">
        <f t="shared" si="3"/>
        <v>0</v>
      </c>
      <c r="I22" s="23">
        <f t="shared" ref="I22:I36" si="8">IF(ISERROR(H22/ABS(D22)),"N/A",(H22/ABS(D22)))</f>
        <v>0</v>
      </c>
      <c r="J22" s="124">
        <f t="shared" si="1"/>
        <v>4.8874687594472166E-2</v>
      </c>
    </row>
    <row r="23" spans="1:10" s="1" customFormat="1" x14ac:dyDescent="0.2">
      <c r="A23" s="107" t="s">
        <v>41</v>
      </c>
      <c r="B23" s="73">
        <f>B5</f>
        <v>3091</v>
      </c>
      <c r="C23" s="125">
        <f>VLOOKUP($B$3,'Data for Bill Impacts'!$A$6:$Y$18,16,0)</f>
        <v>2.6021643999999999</v>
      </c>
      <c r="D23" s="22">
        <f>B23*C23</f>
        <v>8043.2901603999999</v>
      </c>
      <c r="E23" s="73">
        <f t="shared" si="4"/>
        <v>3091</v>
      </c>
      <c r="F23" s="125">
        <f>VLOOKUP($B$3,'Data for Bill Impacts'!$A$6:$Y$18,25,0)</f>
        <v>2.6021643999999999</v>
      </c>
      <c r="G23" s="22">
        <f>E23*F23</f>
        <v>8043.2901603999999</v>
      </c>
      <c r="H23" s="22">
        <f t="shared" si="3"/>
        <v>0</v>
      </c>
      <c r="I23" s="23">
        <f t="shared" si="8"/>
        <v>0</v>
      </c>
      <c r="J23" s="124">
        <f t="shared" si="1"/>
        <v>3.6476286714189989E-2</v>
      </c>
    </row>
    <row r="24" spans="1:10" x14ac:dyDescent="0.2">
      <c r="A24" s="110" t="s">
        <v>76</v>
      </c>
      <c r="B24" s="74"/>
      <c r="C24" s="35"/>
      <c r="D24" s="35">
        <f>SUM(D22:D23)</f>
        <v>18820.519128400003</v>
      </c>
      <c r="E24" s="73"/>
      <c r="F24" s="35"/>
      <c r="G24" s="35">
        <f>SUM(G22:G23)</f>
        <v>18820.519128400003</v>
      </c>
      <c r="H24" s="35">
        <f t="shared" si="3"/>
        <v>0</v>
      </c>
      <c r="I24" s="36">
        <f t="shared" si="8"/>
        <v>0</v>
      </c>
      <c r="J24" s="111">
        <f t="shared" si="1"/>
        <v>8.5350974308662161E-2</v>
      </c>
    </row>
    <row r="25" spans="1:10" s="1" customFormat="1" x14ac:dyDescent="0.2">
      <c r="A25" s="110" t="s">
        <v>80</v>
      </c>
      <c r="B25" s="74"/>
      <c r="C25" s="35"/>
      <c r="D25" s="35">
        <f>D21+D24</f>
        <v>23651.110194051267</v>
      </c>
      <c r="E25" s="73"/>
      <c r="F25" s="35"/>
      <c r="G25" s="35">
        <f>G21+G24</f>
        <v>23847.69878708051</v>
      </c>
      <c r="H25" s="35">
        <f t="shared" si="3"/>
        <v>196.58859302924247</v>
      </c>
      <c r="I25" s="36">
        <f t="shared" si="8"/>
        <v>8.312023893013212E-3</v>
      </c>
      <c r="J25" s="111">
        <f t="shared" si="1"/>
        <v>0.10814921270823952</v>
      </c>
    </row>
    <row r="26" spans="1:10" x14ac:dyDescent="0.2">
      <c r="A26" s="107" t="s">
        <v>42</v>
      </c>
      <c r="B26" s="73">
        <f>B9</f>
        <v>1655471.2240000002</v>
      </c>
      <c r="C26" s="34">
        <v>3.5999999999999999E-3</v>
      </c>
      <c r="D26" s="22">
        <f>B26*C26</f>
        <v>5959.6964064000003</v>
      </c>
      <c r="E26" s="73">
        <f t="shared" si="4"/>
        <v>1655471.2240000002</v>
      </c>
      <c r="F26" s="34">
        <v>3.5999999999999999E-3</v>
      </c>
      <c r="G26" s="22">
        <f>E26*F26</f>
        <v>5959.6964064000003</v>
      </c>
      <c r="H26" s="22">
        <f t="shared" si="3"/>
        <v>0</v>
      </c>
      <c r="I26" s="23">
        <f t="shared" si="8"/>
        <v>0</v>
      </c>
      <c r="J26" s="124">
        <f t="shared" si="1"/>
        <v>2.7027197889695834E-2</v>
      </c>
    </row>
    <row r="27" spans="1:10" x14ac:dyDescent="0.2">
      <c r="A27" s="107" t="s">
        <v>43</v>
      </c>
      <c r="B27" s="73">
        <f>B9</f>
        <v>1655471.2240000002</v>
      </c>
      <c r="C27" s="34">
        <v>2.0999999999999999E-3</v>
      </c>
      <c r="D27" s="22">
        <f>B27*C27</f>
        <v>3476.4895704</v>
      </c>
      <c r="E27" s="73">
        <f t="shared" si="4"/>
        <v>1655471.2240000002</v>
      </c>
      <c r="F27" s="34">
        <v>2.0999999999999999E-3</v>
      </c>
      <c r="G27" s="22">
        <f>E27*F27</f>
        <v>3476.4895704</v>
      </c>
      <c r="H27" s="22">
        <f>G27-D27</f>
        <v>0</v>
      </c>
      <c r="I27" s="23">
        <f t="shared" si="8"/>
        <v>0</v>
      </c>
      <c r="J27" s="124">
        <f t="shared" si="1"/>
        <v>1.5765865435655904E-2</v>
      </c>
    </row>
    <row r="28" spans="1:10" x14ac:dyDescent="0.2">
      <c r="A28" s="107" t="s">
        <v>96</v>
      </c>
      <c r="B28" s="73">
        <f>B9</f>
        <v>1655471.2240000002</v>
      </c>
      <c r="C28" s="34">
        <v>0</v>
      </c>
      <c r="D28" s="22">
        <f>B28*C28</f>
        <v>0</v>
      </c>
      <c r="E28" s="73">
        <f t="shared" si="4"/>
        <v>1655471.2240000002</v>
      </c>
      <c r="F28" s="34">
        <v>0</v>
      </c>
      <c r="G28" s="22">
        <f>E28*F28</f>
        <v>0</v>
      </c>
      <c r="H28" s="22">
        <f>G28-D28</f>
        <v>0</v>
      </c>
      <c r="I28" s="23" t="str">
        <f t="shared" si="8"/>
        <v>N/A</v>
      </c>
      <c r="J28" s="124">
        <f t="shared" ref="J28" si="9">G28/$G$36</f>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ref="J29:J36" si="10">G29/$G$36</f>
        <v>1.1337489381452326E-6</v>
      </c>
    </row>
    <row r="30" spans="1:10" x14ac:dyDescent="0.2">
      <c r="A30" s="110" t="s">
        <v>45</v>
      </c>
      <c r="B30" s="74"/>
      <c r="C30" s="35"/>
      <c r="D30" s="35">
        <f>SUM(D26:D29)</f>
        <v>9436.4359767999995</v>
      </c>
      <c r="E30" s="73"/>
      <c r="F30" s="35"/>
      <c r="G30" s="35">
        <f>SUM(G26:G29)</f>
        <v>9436.4359767999995</v>
      </c>
      <c r="H30" s="35">
        <f t="shared" si="3"/>
        <v>0</v>
      </c>
      <c r="I30" s="36">
        <f t="shared" si="8"/>
        <v>0</v>
      </c>
      <c r="J30" s="111">
        <f t="shared" si="10"/>
        <v>4.2794197074289879E-2</v>
      </c>
    </row>
    <row r="31" spans="1:10" ht="13.5" thickBot="1" x14ac:dyDescent="0.25">
      <c r="A31" s="112" t="s">
        <v>46</v>
      </c>
      <c r="B31" s="113">
        <f>B4</f>
        <v>1601036</v>
      </c>
      <c r="C31" s="114">
        <v>7.0000000000000001E-3</v>
      </c>
      <c r="D31" s="115">
        <f>B31*C31</f>
        <v>11207.252</v>
      </c>
      <c r="E31" s="116">
        <f t="shared" si="4"/>
        <v>1601036</v>
      </c>
      <c r="F31" s="114">
        <f>C31</f>
        <v>7.0000000000000001E-3</v>
      </c>
      <c r="G31" s="115">
        <f>E31*F31</f>
        <v>11207.252</v>
      </c>
      <c r="H31" s="115">
        <f t="shared" si="3"/>
        <v>0</v>
      </c>
      <c r="I31" s="117">
        <f t="shared" si="8"/>
        <v>0</v>
      </c>
      <c r="J31" s="118">
        <f t="shared" si="10"/>
        <v>5.0824840218104135E-2</v>
      </c>
    </row>
    <row r="32" spans="1:10" x14ac:dyDescent="0.2">
      <c r="A32" s="37" t="s">
        <v>111</v>
      </c>
      <c r="B32" s="38"/>
      <c r="C32" s="39"/>
      <c r="D32" s="39">
        <f>SUM(D15,D21,D24,D30,D31)</f>
        <v>194942.67955485129</v>
      </c>
      <c r="E32" s="38"/>
      <c r="F32" s="39"/>
      <c r="G32" s="39">
        <f>SUM(G15,G21,G24,G30,G31)</f>
        <v>195139.26814788053</v>
      </c>
      <c r="H32" s="39">
        <f t="shared" si="3"/>
        <v>196.58859302924247</v>
      </c>
      <c r="I32" s="40">
        <f t="shared" si="8"/>
        <v>1.0084430637669986E-3</v>
      </c>
      <c r="J32" s="41">
        <f t="shared" si="10"/>
        <v>0.88495575221238942</v>
      </c>
    </row>
    <row r="33" spans="1:10" x14ac:dyDescent="0.2">
      <c r="A33" s="46" t="s">
        <v>102</v>
      </c>
      <c r="B33" s="43"/>
      <c r="C33" s="26">
        <v>0.13</v>
      </c>
      <c r="D33" s="26">
        <f>D32*C33</f>
        <v>25342.548342130667</v>
      </c>
      <c r="E33" s="26"/>
      <c r="F33" s="26">
        <f>C33</f>
        <v>0.13</v>
      </c>
      <c r="G33" s="26">
        <f>G32*F33</f>
        <v>25368.10485922447</v>
      </c>
      <c r="H33" s="26">
        <f t="shared" si="3"/>
        <v>25.55651709380254</v>
      </c>
      <c r="I33" s="44">
        <f t="shared" si="8"/>
        <v>1.0084430637670389E-3</v>
      </c>
      <c r="J33" s="45">
        <f t="shared" si="10"/>
        <v>0.11504424778761063</v>
      </c>
    </row>
    <row r="34" spans="1:10" x14ac:dyDescent="0.2">
      <c r="A34" s="46" t="s">
        <v>103</v>
      </c>
      <c r="B34" s="24"/>
      <c r="C34" s="25"/>
      <c r="D34" s="25">
        <f>SUM(D32:D33)</f>
        <v>220285.22789698196</v>
      </c>
      <c r="E34" s="25"/>
      <c r="F34" s="25"/>
      <c r="G34" s="25">
        <f>SUM(G32:G33)</f>
        <v>220507.37300710499</v>
      </c>
      <c r="H34" s="25">
        <f t="shared" si="3"/>
        <v>222.1451101230341</v>
      </c>
      <c r="I34" s="27">
        <f t="shared" si="8"/>
        <v>1.0084430637669537E-3</v>
      </c>
      <c r="J34" s="47">
        <f t="shared" si="10"/>
        <v>1</v>
      </c>
    </row>
    <row r="35" spans="1:10" x14ac:dyDescent="0.2">
      <c r="A35" s="46" t="s">
        <v>104</v>
      </c>
      <c r="B35" s="43"/>
      <c r="C35" s="26">
        <v>0</v>
      </c>
      <c r="D35" s="26">
        <f>D32*C35</f>
        <v>0</v>
      </c>
      <c r="E35" s="26"/>
      <c r="F35" s="26">
        <f>C35</f>
        <v>0</v>
      </c>
      <c r="G35" s="26">
        <f>G32*F35</f>
        <v>0</v>
      </c>
      <c r="H35" s="26">
        <f t="shared" si="3"/>
        <v>0</v>
      </c>
      <c r="I35" s="44" t="str">
        <f t="shared" si="8"/>
        <v>N/A</v>
      </c>
      <c r="J35" s="45">
        <f t="shared" si="10"/>
        <v>0</v>
      </c>
    </row>
    <row r="36" spans="1:10" ht="13.5" thickBot="1" x14ac:dyDescent="0.25">
      <c r="A36" s="46" t="s">
        <v>105</v>
      </c>
      <c r="B36" s="49"/>
      <c r="C36" s="50"/>
      <c r="D36" s="50">
        <f>SUM(D34:D35)</f>
        <v>220285.22789698196</v>
      </c>
      <c r="E36" s="50"/>
      <c r="F36" s="50"/>
      <c r="G36" s="50">
        <f>SUM(G34:G35)</f>
        <v>220507.37300710499</v>
      </c>
      <c r="H36" s="50">
        <f t="shared" si="3"/>
        <v>222.1451101230341</v>
      </c>
      <c r="I36" s="51">
        <f t="shared" si="8"/>
        <v>1.0084430637669537E-3</v>
      </c>
      <c r="J36" s="52">
        <f t="shared" si="10"/>
        <v>1</v>
      </c>
    </row>
    <row r="37" spans="1:10" x14ac:dyDescent="0.2">
      <c r="A37" s="168"/>
      <c r="F37" s="69"/>
    </row>
    <row r="38" spans="1:10" x14ac:dyDescent="0.2">
      <c r="A38" s="169"/>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38"/>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121</v>
      </c>
      <c r="B1" s="186"/>
      <c r="C1" s="186"/>
      <c r="D1" s="186"/>
      <c r="E1" s="186"/>
      <c r="F1" s="186"/>
      <c r="G1" s="186"/>
      <c r="H1" s="186"/>
      <c r="I1" s="186"/>
      <c r="J1" s="187"/>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Impacts'!$A$6:$Y$18,2,0)</f>
        <v>1.034</v>
      </c>
    </row>
    <row r="7" spans="1:10" x14ac:dyDescent="0.2">
      <c r="A7" s="81" t="s">
        <v>48</v>
      </c>
      <c r="B7" s="82">
        <f>B4/(B5*730)</f>
        <v>0.54794520547945202</v>
      </c>
    </row>
    <row r="8" spans="1:10" x14ac:dyDescent="0.2">
      <c r="A8" s="15" t="s">
        <v>15</v>
      </c>
      <c r="B8" s="79">
        <f>VLOOKUP($B$3,'Data for Bill Impacts'!$A$6:$Y$18,4,0)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4136000</v>
      </c>
      <c r="C13" s="103">
        <v>9.0999999999999998E-2</v>
      </c>
      <c r="D13" s="104">
        <f>B13*C13</f>
        <v>376376</v>
      </c>
      <c r="E13" s="102">
        <f>B13</f>
        <v>4136000</v>
      </c>
      <c r="F13" s="103">
        <f>C13</f>
        <v>9.0999999999999998E-2</v>
      </c>
      <c r="G13" s="104">
        <f>E13*F13</f>
        <v>376376</v>
      </c>
      <c r="H13" s="104">
        <f>G13-D13</f>
        <v>0</v>
      </c>
      <c r="I13" s="105">
        <f t="shared" ref="I13:I18" si="0">IF(ISERROR(H13/ABS(D13)),"N/A",(H13/ABS(D13)))</f>
        <v>0</v>
      </c>
      <c r="J13" s="123">
        <f t="shared" ref="J13:J27" si="1">G13/$G$36</f>
        <v>0.66302386988009876</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376376</v>
      </c>
      <c r="E15" s="76"/>
      <c r="F15" s="25"/>
      <c r="G15" s="25">
        <f>SUM(G13:G14)</f>
        <v>376376</v>
      </c>
      <c r="H15" s="25">
        <f t="shared" si="3"/>
        <v>0</v>
      </c>
      <c r="I15" s="27">
        <f t="shared" si="0"/>
        <v>0</v>
      </c>
      <c r="J15" s="47">
        <f t="shared" si="1"/>
        <v>0.66302386988009876</v>
      </c>
    </row>
    <row r="16" spans="1:10" s="1" customFormat="1" x14ac:dyDescent="0.2">
      <c r="A16" s="107" t="s">
        <v>38</v>
      </c>
      <c r="B16" s="73">
        <v>1</v>
      </c>
      <c r="C16" s="78">
        <f>VLOOKUP($B$3,'Data for Bill Impacts'!$A$6:$Y$18,7,0)</f>
        <v>1199.21</v>
      </c>
      <c r="D16" s="22">
        <f>B16*C16</f>
        <v>1199.21</v>
      </c>
      <c r="E16" s="73">
        <f t="shared" ref="E16:E31" si="4">B16</f>
        <v>1</v>
      </c>
      <c r="F16" s="78">
        <f>VLOOKUP($B$3,'Data for Bill Impacts'!$A$6:$Y$18,17,0)</f>
        <v>1223.97</v>
      </c>
      <c r="G16" s="22">
        <f>E16*F16</f>
        <v>1223.97</v>
      </c>
      <c r="H16" s="22">
        <f t="shared" si="3"/>
        <v>24.759999999999991</v>
      </c>
      <c r="I16" s="23">
        <f t="shared" si="0"/>
        <v>2.0646925892879472E-2</v>
      </c>
      <c r="J16" s="124">
        <f t="shared" si="1"/>
        <v>2.1561452537280389E-3</v>
      </c>
    </row>
    <row r="17" spans="1:10" x14ac:dyDescent="0.2">
      <c r="A17" s="107" t="s">
        <v>85</v>
      </c>
      <c r="B17" s="73">
        <v>1</v>
      </c>
      <c r="C17" s="121">
        <f>VLOOKUP($B$3,'Data for Bill Impacts'!$A$6:$Y$18,13,0)</f>
        <v>3.819</v>
      </c>
      <c r="D17" s="22">
        <f t="shared" ref="D17" si="5">B17*C17</f>
        <v>3.819</v>
      </c>
      <c r="E17" s="73">
        <f t="shared" si="4"/>
        <v>1</v>
      </c>
      <c r="F17" s="121">
        <f>VLOOKUP($B$3,'Data for Bill Impacts'!$A$6:$Y$18,22,0)</f>
        <v>3.819</v>
      </c>
      <c r="G17" s="22">
        <f t="shared" ref="G17" si="6">E17*F17</f>
        <v>3.819</v>
      </c>
      <c r="H17" s="22">
        <f t="shared" si="3"/>
        <v>0</v>
      </c>
      <c r="I17" s="23">
        <f t="shared" si="0"/>
        <v>0</v>
      </c>
      <c r="J17" s="124">
        <f t="shared" si="1"/>
        <v>6.7275494693394291E-6</v>
      </c>
    </row>
    <row r="18" spans="1:10" x14ac:dyDescent="0.2">
      <c r="A18" s="107" t="s">
        <v>39</v>
      </c>
      <c r="B18" s="73">
        <f>IF($B$10="kWh",$B$4,$B$5)</f>
        <v>10000</v>
      </c>
      <c r="C18" s="125">
        <f>VLOOKUP($B$3,'Data for Bill Impacts'!$A$6:$Y$18,10,0)</f>
        <v>1.3102585039311754</v>
      </c>
      <c r="D18" s="22">
        <f>B18*C18</f>
        <v>13102.585039311754</v>
      </c>
      <c r="E18" s="73">
        <f t="shared" si="4"/>
        <v>10000</v>
      </c>
      <c r="F18" s="125">
        <f>VLOOKUP($B$3,'Data for Bill Impacts'!$A$6:$Y$18,19,0)</f>
        <v>1.365848472559207</v>
      </c>
      <c r="G18" s="22">
        <f>E18*F18</f>
        <v>13658.48472559207</v>
      </c>
      <c r="H18" s="22">
        <f t="shared" si="3"/>
        <v>555.89968628031602</v>
      </c>
      <c r="I18" s="23">
        <f t="shared" si="0"/>
        <v>4.2426718438571265E-2</v>
      </c>
      <c r="J18" s="124">
        <f t="shared" si="1"/>
        <v>2.4060783364136588E-2</v>
      </c>
    </row>
    <row r="19" spans="1:10" s="1" customFormat="1" x14ac:dyDescent="0.2">
      <c r="A19" s="107" t="s">
        <v>122</v>
      </c>
      <c r="B19" s="73">
        <f>IF($B$10="kWh",$B$4,$B$5)</f>
        <v>10000</v>
      </c>
      <c r="C19" s="125">
        <f>VLOOKUP($B$3,'Data for Bill Impacts'!$A$6:$Y$18,14,0)</f>
        <v>-0.13666999999999996</v>
      </c>
      <c r="D19" s="22">
        <f>B19*C19</f>
        <v>-1366.6999999999996</v>
      </c>
      <c r="E19" s="73">
        <f>B19</f>
        <v>10000</v>
      </c>
      <c r="F19" s="125">
        <f>VLOOKUP($B$3,'Data for Bill Impacts'!$A$6:$Y$18,23,0)</f>
        <v>-0.13666999999999996</v>
      </c>
      <c r="G19" s="22">
        <f>E19*F19</f>
        <v>-1366.6999999999996</v>
      </c>
      <c r="H19" s="22">
        <f>G19-D19</f>
        <v>0</v>
      </c>
      <c r="I19" s="23">
        <f>IF(ISERROR(H19/ABS(D19)),"N/A",(H19/ABS(D19)))</f>
        <v>0</v>
      </c>
      <c r="J19" s="124">
        <f t="shared" si="1"/>
        <v>-2.4075783869458483E-3</v>
      </c>
    </row>
    <row r="20" spans="1:10" s="1" customFormat="1" x14ac:dyDescent="0.2">
      <c r="A20" s="107" t="s">
        <v>108</v>
      </c>
      <c r="B20" s="73">
        <f>B9</f>
        <v>4136000</v>
      </c>
      <c r="C20" s="125">
        <f>VLOOKUP($B$3,'Data for Bill Impacts'!$A$6:$Y$18,20,0)</f>
        <v>0</v>
      </c>
      <c r="D20" s="22">
        <f>B20*C20</f>
        <v>0</v>
      </c>
      <c r="E20" s="73">
        <f t="shared" si="4"/>
        <v>4136000</v>
      </c>
      <c r="F20" s="125">
        <f>VLOOKUP($B$3,'Data for Bill Impacts'!$A$6:$Y$18,21,0)</f>
        <v>0</v>
      </c>
      <c r="G20" s="22">
        <f>E20*F20</f>
        <v>0</v>
      </c>
      <c r="H20" s="22">
        <f t="shared" si="3"/>
        <v>0</v>
      </c>
      <c r="I20" s="23">
        <f>IF(ISERROR(H20/D20),0,(H20/D20))</f>
        <v>0</v>
      </c>
      <c r="J20" s="124">
        <f t="shared" si="1"/>
        <v>0</v>
      </c>
    </row>
    <row r="21" spans="1:10" x14ac:dyDescent="0.2">
      <c r="A21" s="110" t="s">
        <v>93</v>
      </c>
      <c r="B21" s="74"/>
      <c r="C21" s="35"/>
      <c r="D21" s="35">
        <f>SUM(D16:D20)</f>
        <v>12938.914039311756</v>
      </c>
      <c r="E21" s="73"/>
      <c r="F21" s="35"/>
      <c r="G21" s="35">
        <f>SUM(G16:G20)</f>
        <v>13519.573725592072</v>
      </c>
      <c r="H21" s="35">
        <f t="shared" si="3"/>
        <v>580.65968628031624</v>
      </c>
      <c r="I21" s="36">
        <f t="shared" ref="I21" si="7">IF(ISERROR(H21/D21),0,(H21/D21))</f>
        <v>4.4877003163953516E-2</v>
      </c>
      <c r="J21" s="111">
        <f t="shared" si="1"/>
        <v>2.381607778038812E-2</v>
      </c>
    </row>
    <row r="22" spans="1:10" x14ac:dyDescent="0.2">
      <c r="A22" s="107" t="s">
        <v>40</v>
      </c>
      <c r="B22" s="73">
        <f>B5</f>
        <v>10000</v>
      </c>
      <c r="C22" s="125">
        <f>VLOOKUP($B$3,'Data for Bill Impacts'!$A$6:$Y$18,15,0)</f>
        <v>3.4866480000000002</v>
      </c>
      <c r="D22" s="22">
        <f>B22*C22</f>
        <v>34866.480000000003</v>
      </c>
      <c r="E22" s="73">
        <f t="shared" si="4"/>
        <v>10000</v>
      </c>
      <c r="F22" s="125">
        <f>VLOOKUP($B$3,'Data for Bill Impacts'!$A$6:$Y$18,24,0)</f>
        <v>3.4866480000000002</v>
      </c>
      <c r="G22" s="22">
        <f>E22*F22</f>
        <v>34866.480000000003</v>
      </c>
      <c r="H22" s="22">
        <f t="shared" si="3"/>
        <v>0</v>
      </c>
      <c r="I22" s="23">
        <f t="shared" ref="I22:I36" si="8">IF(ISERROR(H22/ABS(D22)),"N/A",(H22/ABS(D22)))</f>
        <v>0</v>
      </c>
      <c r="J22" s="124">
        <f t="shared" si="1"/>
        <v>6.1420782671310251E-2</v>
      </c>
    </row>
    <row r="23" spans="1:10" s="1" customFormat="1" x14ac:dyDescent="0.2">
      <c r="A23" s="107" t="s">
        <v>41</v>
      </c>
      <c r="B23" s="73">
        <f>B5</f>
        <v>10000</v>
      </c>
      <c r="C23" s="125">
        <f>VLOOKUP($B$3,'Data for Bill Impacts'!$A$6:$Y$18,16,0)</f>
        <v>2.6021643999999999</v>
      </c>
      <c r="D23" s="22">
        <f>B23*C23</f>
        <v>26021.644</v>
      </c>
      <c r="E23" s="73">
        <f t="shared" si="4"/>
        <v>10000</v>
      </c>
      <c r="F23" s="125">
        <f>VLOOKUP($B$3,'Data for Bill Impacts'!$A$6:$Y$18,25,0)</f>
        <v>2.6021643999999999</v>
      </c>
      <c r="G23" s="22">
        <f>E23*F23</f>
        <v>26021.644</v>
      </c>
      <c r="H23" s="22">
        <f t="shared" si="3"/>
        <v>0</v>
      </c>
      <c r="I23" s="23">
        <f t="shared" si="8"/>
        <v>0</v>
      </c>
      <c r="J23" s="124">
        <f t="shared" si="1"/>
        <v>4.5839721729127925E-2</v>
      </c>
    </row>
    <row r="24" spans="1:10" x14ac:dyDescent="0.2">
      <c r="A24" s="110" t="s">
        <v>76</v>
      </c>
      <c r="B24" s="74"/>
      <c r="C24" s="35"/>
      <c r="D24" s="35">
        <f>SUM(D22:D23)</f>
        <v>60888.124000000003</v>
      </c>
      <c r="E24" s="73"/>
      <c r="F24" s="35"/>
      <c r="G24" s="35">
        <f>SUM(G22:G23)</f>
        <v>60888.124000000003</v>
      </c>
      <c r="H24" s="35">
        <f t="shared" si="3"/>
        <v>0</v>
      </c>
      <c r="I24" s="36">
        <f t="shared" si="8"/>
        <v>0</v>
      </c>
      <c r="J24" s="111">
        <f t="shared" si="1"/>
        <v>0.10726050440043818</v>
      </c>
    </row>
    <row r="25" spans="1:10" s="1" customFormat="1" x14ac:dyDescent="0.2">
      <c r="A25" s="110" t="s">
        <v>80</v>
      </c>
      <c r="B25" s="74"/>
      <c r="C25" s="35"/>
      <c r="D25" s="35">
        <f>D21+D24</f>
        <v>73827.038039311767</v>
      </c>
      <c r="E25" s="73"/>
      <c r="F25" s="35"/>
      <c r="G25" s="35">
        <f>G21+G24</f>
        <v>74407.697725592079</v>
      </c>
      <c r="H25" s="35">
        <f t="shared" si="3"/>
        <v>580.6596862803126</v>
      </c>
      <c r="I25" s="36">
        <f t="shared" si="8"/>
        <v>7.8651358865449838E-3</v>
      </c>
      <c r="J25" s="111">
        <f t="shared" si="1"/>
        <v>0.1310765821808263</v>
      </c>
    </row>
    <row r="26" spans="1:10" x14ac:dyDescent="0.2">
      <c r="A26" s="107" t="s">
        <v>42</v>
      </c>
      <c r="B26" s="73">
        <f>B9</f>
        <v>4136000</v>
      </c>
      <c r="C26" s="34">
        <v>3.5999999999999999E-3</v>
      </c>
      <c r="D26" s="22">
        <f>B26*C26</f>
        <v>14889.6</v>
      </c>
      <c r="E26" s="73">
        <f t="shared" si="4"/>
        <v>4136000</v>
      </c>
      <c r="F26" s="34">
        <v>3.5999999999999999E-3</v>
      </c>
      <c r="G26" s="22">
        <f>E26*F26</f>
        <v>14889.6</v>
      </c>
      <c r="H26" s="22">
        <f t="shared" si="3"/>
        <v>0</v>
      </c>
      <c r="I26" s="23">
        <f t="shared" si="8"/>
        <v>0</v>
      </c>
      <c r="J26" s="124">
        <f t="shared" si="1"/>
        <v>2.6229515731520388E-2</v>
      </c>
    </row>
    <row r="27" spans="1:10" x14ac:dyDescent="0.2">
      <c r="A27" s="107" t="s">
        <v>43</v>
      </c>
      <c r="B27" s="73">
        <f>B9</f>
        <v>4136000</v>
      </c>
      <c r="C27" s="34">
        <v>2.0999999999999999E-3</v>
      </c>
      <c r="D27" s="22">
        <f>B27*C27</f>
        <v>8685.6</v>
      </c>
      <c r="E27" s="73">
        <f t="shared" si="4"/>
        <v>4136000</v>
      </c>
      <c r="F27" s="34">
        <v>2.0999999999999999E-3</v>
      </c>
      <c r="G27" s="22">
        <f>E27*F27</f>
        <v>8685.6</v>
      </c>
      <c r="H27" s="22">
        <f>G27-D27</f>
        <v>0</v>
      </c>
      <c r="I27" s="23">
        <f t="shared" si="8"/>
        <v>0</v>
      </c>
      <c r="J27" s="124">
        <f t="shared" si="1"/>
        <v>1.5300550843386895E-2</v>
      </c>
    </row>
    <row r="28" spans="1:10" x14ac:dyDescent="0.2">
      <c r="A28" s="107" t="s">
        <v>96</v>
      </c>
      <c r="B28" s="73">
        <f>B9</f>
        <v>4136000</v>
      </c>
      <c r="C28" s="34">
        <v>0</v>
      </c>
      <c r="D28" s="22">
        <f>B28*C28</f>
        <v>0</v>
      </c>
      <c r="E28" s="73">
        <f t="shared" si="4"/>
        <v>4136000</v>
      </c>
      <c r="F28" s="34">
        <v>0</v>
      </c>
      <c r="G28" s="22">
        <f>E28*F28</f>
        <v>0</v>
      </c>
      <c r="H28" s="22">
        <f>G28-D28</f>
        <v>0</v>
      </c>
      <c r="I28" s="23" t="str">
        <f t="shared" si="8"/>
        <v>N/A</v>
      </c>
      <c r="J28" s="124">
        <f t="shared" ref="J28" si="9">G28/$G$36</f>
        <v>0</v>
      </c>
    </row>
    <row r="29" spans="1:10" x14ac:dyDescent="0.2">
      <c r="A29" s="107" t="s">
        <v>44</v>
      </c>
      <c r="B29" s="73">
        <v>1</v>
      </c>
      <c r="C29" s="22">
        <v>0.25</v>
      </c>
      <c r="D29" s="22">
        <f>B29*C29</f>
        <v>0.25</v>
      </c>
      <c r="E29" s="73">
        <f t="shared" si="4"/>
        <v>1</v>
      </c>
      <c r="F29" s="22">
        <f>C29</f>
        <v>0.25</v>
      </c>
      <c r="G29" s="22">
        <f>E29*F29</f>
        <v>0.25</v>
      </c>
      <c r="H29" s="22">
        <f t="shared" si="3"/>
        <v>0</v>
      </c>
      <c r="I29" s="23">
        <f t="shared" si="8"/>
        <v>0</v>
      </c>
      <c r="J29" s="124">
        <f t="shared" ref="J29:J36" si="10">G29/$G$36</f>
        <v>4.403999390769461E-7</v>
      </c>
    </row>
    <row r="30" spans="1:10" x14ac:dyDescent="0.2">
      <c r="A30" s="110" t="s">
        <v>45</v>
      </c>
      <c r="B30" s="74"/>
      <c r="C30" s="35"/>
      <c r="D30" s="35">
        <f>SUM(D26:D29)</f>
        <v>23575.45</v>
      </c>
      <c r="E30" s="73"/>
      <c r="F30" s="35"/>
      <c r="G30" s="35">
        <f>SUM(G26:G29)</f>
        <v>23575.45</v>
      </c>
      <c r="H30" s="35">
        <f t="shared" si="3"/>
        <v>0</v>
      </c>
      <c r="I30" s="36">
        <f t="shared" si="8"/>
        <v>0</v>
      </c>
      <c r="J30" s="111">
        <f t="shared" si="10"/>
        <v>4.1530506974846358E-2</v>
      </c>
    </row>
    <row r="31" spans="1:10" ht="13.5" thickBot="1" x14ac:dyDescent="0.25">
      <c r="A31" s="112" t="s">
        <v>46</v>
      </c>
      <c r="B31" s="113">
        <f>B4</f>
        <v>4000000</v>
      </c>
      <c r="C31" s="114">
        <v>7.0000000000000001E-3</v>
      </c>
      <c r="D31" s="115">
        <f>B31*C31</f>
        <v>28000</v>
      </c>
      <c r="E31" s="116">
        <f t="shared" si="4"/>
        <v>4000000</v>
      </c>
      <c r="F31" s="114">
        <f>C31</f>
        <v>7.0000000000000001E-3</v>
      </c>
      <c r="G31" s="115">
        <f>E31*F31</f>
        <v>28000</v>
      </c>
      <c r="H31" s="115">
        <f t="shared" si="3"/>
        <v>0</v>
      </c>
      <c r="I31" s="117">
        <f t="shared" si="8"/>
        <v>0</v>
      </c>
      <c r="J31" s="118">
        <f t="shared" si="10"/>
        <v>4.9324793176617969E-2</v>
      </c>
    </row>
    <row r="32" spans="1:10" x14ac:dyDescent="0.2">
      <c r="A32" s="37" t="s">
        <v>111</v>
      </c>
      <c r="B32" s="38"/>
      <c r="C32" s="39"/>
      <c r="D32" s="39">
        <f>SUM(D15,D21,D24,D30,D31)</f>
        <v>501778.48803931178</v>
      </c>
      <c r="E32" s="38"/>
      <c r="F32" s="39"/>
      <c r="G32" s="39">
        <f>SUM(G15,G21,G24,G30,G31)</f>
        <v>502359.14772559208</v>
      </c>
      <c r="H32" s="39">
        <f t="shared" si="3"/>
        <v>580.65968628029805</v>
      </c>
      <c r="I32" s="40">
        <f t="shared" si="8"/>
        <v>1.1572032283592164E-3</v>
      </c>
      <c r="J32" s="41">
        <f t="shared" si="10"/>
        <v>0.88495575221238931</v>
      </c>
    </row>
    <row r="33" spans="1:10" x14ac:dyDescent="0.2">
      <c r="A33" s="46" t="s">
        <v>102</v>
      </c>
      <c r="B33" s="43"/>
      <c r="C33" s="26">
        <v>0.13</v>
      </c>
      <c r="D33" s="26">
        <f>D32*C33</f>
        <v>65231.203445110536</v>
      </c>
      <c r="E33" s="26"/>
      <c r="F33" s="26">
        <f>C33</f>
        <v>0.13</v>
      </c>
      <c r="G33" s="26">
        <f>G32*F33</f>
        <v>65306.689204326969</v>
      </c>
      <c r="H33" s="26">
        <f t="shared" si="3"/>
        <v>75.485759216433507</v>
      </c>
      <c r="I33" s="44">
        <f t="shared" si="8"/>
        <v>1.1572032283591359E-3</v>
      </c>
      <c r="J33" s="45">
        <f t="shared" si="10"/>
        <v>0.1150442477876106</v>
      </c>
    </row>
    <row r="34" spans="1:10" x14ac:dyDescent="0.2">
      <c r="A34" s="46" t="s">
        <v>103</v>
      </c>
      <c r="B34" s="24"/>
      <c r="C34" s="25"/>
      <c r="D34" s="25">
        <f>SUM(D32:D33)</f>
        <v>567009.69148442231</v>
      </c>
      <c r="E34" s="25"/>
      <c r="F34" s="25"/>
      <c r="G34" s="25">
        <f>SUM(G32:G33)</f>
        <v>567665.83692991908</v>
      </c>
      <c r="H34" s="25">
        <f t="shared" si="3"/>
        <v>656.14544549677521</v>
      </c>
      <c r="I34" s="27">
        <f t="shared" si="8"/>
        <v>1.1572032283592843E-3</v>
      </c>
      <c r="J34" s="47">
        <f t="shared" si="10"/>
        <v>1</v>
      </c>
    </row>
    <row r="35" spans="1:10" x14ac:dyDescent="0.2">
      <c r="A35" s="46" t="s">
        <v>104</v>
      </c>
      <c r="B35" s="43"/>
      <c r="C35" s="26">
        <v>0</v>
      </c>
      <c r="D35" s="26">
        <f>D32*C35</f>
        <v>0</v>
      </c>
      <c r="E35" s="26"/>
      <c r="F35" s="26">
        <f>C35</f>
        <v>0</v>
      </c>
      <c r="G35" s="26">
        <f>G32*F35</f>
        <v>0</v>
      </c>
      <c r="H35" s="26">
        <f t="shared" si="3"/>
        <v>0</v>
      </c>
      <c r="I35" s="44" t="str">
        <f t="shared" si="8"/>
        <v>N/A</v>
      </c>
      <c r="J35" s="45">
        <f t="shared" si="10"/>
        <v>0</v>
      </c>
    </row>
    <row r="36" spans="1:10" ht="13.5" thickBot="1" x14ac:dyDescent="0.25">
      <c r="A36" s="46" t="s">
        <v>105</v>
      </c>
      <c r="B36" s="49"/>
      <c r="C36" s="50"/>
      <c r="D36" s="50">
        <f>SUM(D34:D35)</f>
        <v>567009.69148442231</v>
      </c>
      <c r="E36" s="50"/>
      <c r="F36" s="50"/>
      <c r="G36" s="50">
        <f>SUM(G34:G35)</f>
        <v>567665.83692991908</v>
      </c>
      <c r="H36" s="50">
        <f t="shared" si="3"/>
        <v>656.14544549677521</v>
      </c>
      <c r="I36" s="51">
        <f t="shared" si="8"/>
        <v>1.1572032283592843E-3</v>
      </c>
      <c r="J36" s="52">
        <f t="shared" si="10"/>
        <v>1</v>
      </c>
    </row>
    <row r="37" spans="1:10" x14ac:dyDescent="0.2">
      <c r="A37" s="168"/>
      <c r="F37" s="69"/>
    </row>
    <row r="38" spans="1:10" x14ac:dyDescent="0.2">
      <c r="A38" s="169"/>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48"/>
  <sheetViews>
    <sheetView tabSelected="1" view="pageLayout" topLeftCell="A7"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118</v>
      </c>
      <c r="B1" s="186"/>
      <c r="C1" s="186"/>
      <c r="D1" s="186"/>
      <c r="E1" s="186"/>
      <c r="F1" s="186"/>
      <c r="G1" s="186"/>
      <c r="H1" s="186"/>
      <c r="I1" s="186"/>
      <c r="J1" s="187"/>
    </row>
    <row r="3" spans="1:10" x14ac:dyDescent="0.2">
      <c r="A3" s="13" t="s">
        <v>13</v>
      </c>
      <c r="B3" s="13" t="s">
        <v>12</v>
      </c>
    </row>
    <row r="4" spans="1:10" x14ac:dyDescent="0.2">
      <c r="A4" s="15" t="s">
        <v>62</v>
      </c>
      <c r="B4" s="15">
        <v>100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109.2</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28" si="1">G12/$G$37</f>
        <v>0.1704394822693576</v>
      </c>
    </row>
    <row r="13" spans="1:10" x14ac:dyDescent="0.2">
      <c r="A13" s="107" t="s">
        <v>32</v>
      </c>
      <c r="B13" s="73">
        <f>IF(B4&gt;B7,(B4)-B7,0)</f>
        <v>0</v>
      </c>
      <c r="C13" s="21">
        <v>0.106</v>
      </c>
      <c r="D13" s="22">
        <f>B13*C13</f>
        <v>0</v>
      </c>
      <c r="E13" s="73">
        <f t="shared" ref="E13" si="2">B13</f>
        <v>0</v>
      </c>
      <c r="F13" s="21">
        <f>C13</f>
        <v>0.106</v>
      </c>
      <c r="G13" s="22">
        <f>E13*F13</f>
        <v>0</v>
      </c>
      <c r="H13" s="22">
        <f t="shared" ref="H13:H37" si="3">G13-D13</f>
        <v>0</v>
      </c>
      <c r="I13" s="23" t="str">
        <f t="shared" si="0"/>
        <v>N/A</v>
      </c>
      <c r="J13" s="124">
        <f t="shared" si="1"/>
        <v>0</v>
      </c>
    </row>
    <row r="14" spans="1:10" s="1" customFormat="1" x14ac:dyDescent="0.2">
      <c r="A14" s="46" t="s">
        <v>33</v>
      </c>
      <c r="B14" s="24"/>
      <c r="C14" s="25"/>
      <c r="D14" s="25">
        <f>SUM(D12:D13)</f>
        <v>9.1</v>
      </c>
      <c r="E14" s="76"/>
      <c r="F14" s="25"/>
      <c r="G14" s="25">
        <f>SUM(G12:G13)</f>
        <v>9.1</v>
      </c>
      <c r="H14" s="25">
        <f t="shared" si="3"/>
        <v>0</v>
      </c>
      <c r="I14" s="27">
        <f t="shared" si="0"/>
        <v>0</v>
      </c>
      <c r="J14" s="47">
        <f t="shared" si="1"/>
        <v>0.1704394822693576</v>
      </c>
    </row>
    <row r="15" spans="1:10" x14ac:dyDescent="0.2">
      <c r="A15" s="107" t="s">
        <v>38</v>
      </c>
      <c r="B15" s="73">
        <v>1</v>
      </c>
      <c r="C15" s="78">
        <f>VLOOKUP($B$3,'Data for Bill Impacts'!$A$6:$Y$18,7,0)</f>
        <v>34.76</v>
      </c>
      <c r="D15" s="22">
        <f>B15*C15</f>
        <v>34.76</v>
      </c>
      <c r="E15" s="73">
        <f t="shared" ref="E15:E32" si="4">B15</f>
        <v>1</v>
      </c>
      <c r="F15" s="78">
        <f>VLOOKUP($B$3,'Data for Bill Impacts'!$A$6:$Y$18,17,0)</f>
        <v>35.49</v>
      </c>
      <c r="G15" s="22">
        <f>E15*F15</f>
        <v>35.49</v>
      </c>
      <c r="H15" s="22">
        <f t="shared" si="3"/>
        <v>0.73000000000000398</v>
      </c>
      <c r="I15" s="23">
        <f t="shared" si="0"/>
        <v>2.1001150747986308E-2</v>
      </c>
      <c r="J15" s="124">
        <f t="shared" si="1"/>
        <v>0.66471398085049471</v>
      </c>
    </row>
    <row r="16" spans="1:10" x14ac:dyDescent="0.2">
      <c r="A16" s="107" t="s">
        <v>85</v>
      </c>
      <c r="B16" s="73">
        <v>1</v>
      </c>
      <c r="C16" s="121">
        <f>VLOOKUP($B$3,'Data for Bill Impacts'!$A$6:$Y$18,13,0)</f>
        <v>2E-3</v>
      </c>
      <c r="D16" s="22">
        <f t="shared" ref="D16" si="5">B16*C16</f>
        <v>2E-3</v>
      </c>
      <c r="E16" s="73">
        <f t="shared" si="4"/>
        <v>1</v>
      </c>
      <c r="F16" s="121">
        <f>VLOOKUP($B$3,'Data for Bill Impacts'!$A$6:$Y$18,22,0)</f>
        <v>2E-3</v>
      </c>
      <c r="G16" s="22">
        <f t="shared" ref="G16" si="6">E16*F16</f>
        <v>2E-3</v>
      </c>
      <c r="H16" s="22">
        <f t="shared" si="3"/>
        <v>0</v>
      </c>
      <c r="I16" s="23">
        <f t="shared" si="0"/>
        <v>0</v>
      </c>
      <c r="J16" s="124">
        <f t="shared" si="1"/>
        <v>3.745922687238629E-5</v>
      </c>
    </row>
    <row r="17" spans="1:10" x14ac:dyDescent="0.2">
      <c r="A17" s="107" t="s">
        <v>39</v>
      </c>
      <c r="B17" s="73">
        <f>IF($B$9="kWh",$B$4,$B$5)</f>
        <v>100</v>
      </c>
      <c r="C17" s="78">
        <f>VLOOKUP($B$3,'Data for Bill Impacts'!$A$6:$Y$18,10,0)</f>
        <v>2.8400000000000002E-2</v>
      </c>
      <c r="D17" s="22">
        <f>B17*C17</f>
        <v>2.8400000000000003</v>
      </c>
      <c r="E17" s="73">
        <f t="shared" si="4"/>
        <v>100</v>
      </c>
      <c r="F17" s="78">
        <f>VLOOKUP($B$3,'Data for Bill Impacts'!$A$6:$Y$18,19,0)</f>
        <v>2.9100000000000001E-2</v>
      </c>
      <c r="G17" s="22">
        <f>E17*F17</f>
        <v>2.91</v>
      </c>
      <c r="H17" s="22">
        <f t="shared" si="3"/>
        <v>6.999999999999984E-2</v>
      </c>
      <c r="I17" s="23">
        <f t="shared" si="0"/>
        <v>2.4647887323943601E-2</v>
      </c>
      <c r="J17" s="124">
        <f t="shared" si="1"/>
        <v>5.4503175099322052E-2</v>
      </c>
    </row>
    <row r="18" spans="1:10" s="1" customFormat="1" x14ac:dyDescent="0.2">
      <c r="A18" s="107" t="s">
        <v>122</v>
      </c>
      <c r="B18" s="73">
        <f>IF($B$9="kWh",$B$4,$B$5)</f>
        <v>100</v>
      </c>
      <c r="C18" s="125">
        <f>VLOOKUP($B$3,'Data for Bill Impacts'!$A$6:$Y$18,14,0)</f>
        <v>2.0000000000000002E-5</v>
      </c>
      <c r="D18" s="22">
        <f>B18*C18</f>
        <v>2E-3</v>
      </c>
      <c r="E18" s="73">
        <f>B18</f>
        <v>100</v>
      </c>
      <c r="F18" s="125">
        <f>VLOOKUP($B$3,'Data for Bill Impacts'!$A$6:$Y$18,23,0)</f>
        <v>2.0000000000000002E-5</v>
      </c>
      <c r="G18" s="22">
        <f>E18*F18</f>
        <v>2E-3</v>
      </c>
      <c r="H18" s="22">
        <f>G18-D18</f>
        <v>0</v>
      </c>
      <c r="I18" s="23">
        <f t="shared" si="0"/>
        <v>0</v>
      </c>
      <c r="J18" s="124">
        <f t="shared" si="1"/>
        <v>3.745922687238629E-5</v>
      </c>
    </row>
    <row r="19" spans="1:10" hidden="1" x14ac:dyDescent="0.2">
      <c r="A19" s="107" t="s">
        <v>108</v>
      </c>
      <c r="B19" s="73">
        <f>B8</f>
        <v>109.2</v>
      </c>
      <c r="C19" s="78">
        <v>0</v>
      </c>
      <c r="D19" s="22">
        <f>B19*C19</f>
        <v>0</v>
      </c>
      <c r="E19" s="73">
        <f t="shared" si="4"/>
        <v>109.2</v>
      </c>
      <c r="F19" s="78">
        <v>0</v>
      </c>
      <c r="G19" s="22">
        <f>E19*F19</f>
        <v>0</v>
      </c>
      <c r="H19" s="22">
        <f t="shared" si="3"/>
        <v>0</v>
      </c>
      <c r="I19" s="23" t="str">
        <f>IF(ISERROR(H19/ABS(D19)),"N/A",(H19/ABS(D19)))</f>
        <v>N/A</v>
      </c>
      <c r="J19" s="124">
        <f t="shared" si="1"/>
        <v>0</v>
      </c>
    </row>
    <row r="20" spans="1:10" x14ac:dyDescent="0.2">
      <c r="A20" s="110" t="s">
        <v>72</v>
      </c>
      <c r="B20" s="74"/>
      <c r="C20" s="35"/>
      <c r="D20" s="35">
        <f>SUM(D15:D19)</f>
        <v>37.604000000000006</v>
      </c>
      <c r="E20" s="73"/>
      <c r="F20" s="35"/>
      <c r="G20" s="35">
        <f>SUM(G15:G19)</f>
        <v>38.404000000000003</v>
      </c>
      <c r="H20" s="35">
        <f t="shared" si="3"/>
        <v>0.79999999999999716</v>
      </c>
      <c r="I20" s="36">
        <f t="shared" ref="I20" si="7">IF(ISERROR(H20/D20),0,(H20/D20))</f>
        <v>2.1274332517817175E-2</v>
      </c>
      <c r="J20" s="111">
        <f t="shared" si="1"/>
        <v>0.71929207440356158</v>
      </c>
    </row>
    <row r="21" spans="1:10" s="1" customFormat="1" x14ac:dyDescent="0.2">
      <c r="A21" s="119" t="s">
        <v>81</v>
      </c>
      <c r="B21" s="120">
        <f>B8-B4</f>
        <v>9.2000000000000028</v>
      </c>
      <c r="C21" s="170">
        <f>IF(B4&gt;B7,C13,C12)</f>
        <v>9.0999999999999998E-2</v>
      </c>
      <c r="D21" s="22">
        <f>B21*C21</f>
        <v>0.83720000000000028</v>
      </c>
      <c r="E21" s="73">
        <f>B21</f>
        <v>9.2000000000000028</v>
      </c>
      <c r="F21" s="170">
        <f>C21</f>
        <v>9.0999999999999998E-2</v>
      </c>
      <c r="G21" s="22">
        <f>E21*F21</f>
        <v>0.83720000000000028</v>
      </c>
      <c r="H21" s="22">
        <f t="shared" si="3"/>
        <v>0</v>
      </c>
      <c r="I21" s="23">
        <f>IF(ISERROR(H21/D21),0,(H21/D21))</f>
        <v>0</v>
      </c>
      <c r="J21" s="124">
        <f t="shared" si="1"/>
        <v>1.5680432368780906E-2</v>
      </c>
    </row>
    <row r="22" spans="1:10" x14ac:dyDescent="0.2">
      <c r="A22" s="110" t="s">
        <v>79</v>
      </c>
      <c r="B22" s="74"/>
      <c r="C22" s="35"/>
      <c r="D22" s="35">
        <f>SUM(D20,D21:D21)</f>
        <v>38.441200000000009</v>
      </c>
      <c r="E22" s="73"/>
      <c r="F22" s="35"/>
      <c r="G22" s="35">
        <f>SUM(G20,G21:G21)</f>
        <v>39.241200000000006</v>
      </c>
      <c r="H22" s="35">
        <f t="shared" si="3"/>
        <v>0.79999999999999716</v>
      </c>
      <c r="I22" s="36">
        <f t="shared" ref="I22:I37" si="8">IF(ISERROR(H22/ABS(D22)),"N/A",(H22/ABS(D22)))</f>
        <v>2.0811004859369556E-2</v>
      </c>
      <c r="J22" s="111">
        <f t="shared" si="1"/>
        <v>0.73497250677234249</v>
      </c>
    </row>
    <row r="23" spans="1:10" x14ac:dyDescent="0.2">
      <c r="A23" s="107" t="s">
        <v>40</v>
      </c>
      <c r="B23" s="73">
        <f>B8</f>
        <v>109.2</v>
      </c>
      <c r="C23" s="78">
        <f>VLOOKUP($B$3,'Data for Bill Impacts'!$A$6:$Y$18,15,0)</f>
        <v>4.7699999999999999E-3</v>
      </c>
      <c r="D23" s="22">
        <f>B23*C23</f>
        <v>0.52088400000000001</v>
      </c>
      <c r="E23" s="73">
        <f t="shared" si="4"/>
        <v>109.2</v>
      </c>
      <c r="F23" s="125">
        <f>VLOOKUP($B$3,'Data for Bill Impacts'!$A$6:$Y$18,24,0)</f>
        <v>4.7699999999999999E-3</v>
      </c>
      <c r="G23" s="22">
        <f>E23*F23</f>
        <v>0.52088400000000001</v>
      </c>
      <c r="H23" s="22">
        <f t="shared" si="3"/>
        <v>0</v>
      </c>
      <c r="I23" s="23">
        <f t="shared" si="8"/>
        <v>0</v>
      </c>
      <c r="J23" s="124">
        <f t="shared" si="1"/>
        <v>9.7559559650980295E-3</v>
      </c>
    </row>
    <row r="24" spans="1:10" s="1" customFormat="1" x14ac:dyDescent="0.2">
      <c r="A24" s="107" t="s">
        <v>41</v>
      </c>
      <c r="B24" s="73">
        <f>B8</f>
        <v>109.2</v>
      </c>
      <c r="C24" s="78">
        <f>VLOOKUP($B$3,'Data for Bill Impacts'!$A$6:$Y$18,16,0)</f>
        <v>3.7950000000000002E-3</v>
      </c>
      <c r="D24" s="22">
        <f>B24*C24</f>
        <v>0.414414</v>
      </c>
      <c r="E24" s="73">
        <f t="shared" si="4"/>
        <v>109.2</v>
      </c>
      <c r="F24" s="125">
        <f>VLOOKUP($B$3,'Data for Bill Impacts'!$A$6:$Y$18,25,0)</f>
        <v>3.7950000000000002E-3</v>
      </c>
      <c r="G24" s="22">
        <f>E24*F24</f>
        <v>0.414414</v>
      </c>
      <c r="H24" s="22">
        <f t="shared" si="3"/>
        <v>0</v>
      </c>
      <c r="I24" s="23">
        <f t="shared" si="8"/>
        <v>0</v>
      </c>
      <c r="J24" s="124">
        <f t="shared" si="1"/>
        <v>7.7618140225465459E-3</v>
      </c>
    </row>
    <row r="25" spans="1:10" s="1" customFormat="1" x14ac:dyDescent="0.2">
      <c r="A25" s="110" t="s">
        <v>76</v>
      </c>
      <c r="B25" s="74"/>
      <c r="C25" s="35"/>
      <c r="D25" s="35">
        <f>SUM(D23:D24)</f>
        <v>0.93529799999999996</v>
      </c>
      <c r="E25" s="73"/>
      <c r="F25" s="35"/>
      <c r="G25" s="35">
        <f>SUM(G23:G24)</f>
        <v>0.93529799999999996</v>
      </c>
      <c r="H25" s="35">
        <f t="shared" si="3"/>
        <v>0</v>
      </c>
      <c r="I25" s="36">
        <f t="shared" si="8"/>
        <v>0</v>
      </c>
      <c r="J25" s="111">
        <f t="shared" si="1"/>
        <v>1.7517769987644576E-2</v>
      </c>
    </row>
    <row r="26" spans="1:10" s="1" customFormat="1" x14ac:dyDescent="0.2">
      <c r="A26" s="110" t="s">
        <v>80</v>
      </c>
      <c r="B26" s="74"/>
      <c r="C26" s="35"/>
      <c r="D26" s="35">
        <f>D22+D25</f>
        <v>39.376498000000012</v>
      </c>
      <c r="E26" s="73"/>
      <c r="F26" s="35"/>
      <c r="G26" s="35">
        <f>G22+G25</f>
        <v>40.176498000000009</v>
      </c>
      <c r="H26" s="35">
        <f t="shared" si="3"/>
        <v>0.79999999999999716</v>
      </c>
      <c r="I26" s="36">
        <f t="shared" si="8"/>
        <v>2.0316687380375901E-2</v>
      </c>
      <c r="J26" s="111">
        <f t="shared" si="1"/>
        <v>0.75249027675998714</v>
      </c>
    </row>
    <row r="27" spans="1:10" x14ac:dyDescent="0.2">
      <c r="A27" s="107" t="s">
        <v>42</v>
      </c>
      <c r="B27" s="73">
        <f>B8</f>
        <v>109.2</v>
      </c>
      <c r="C27" s="34">
        <v>3.5999999999999999E-3</v>
      </c>
      <c r="D27" s="22">
        <f>B27*C27</f>
        <v>0.39312000000000002</v>
      </c>
      <c r="E27" s="73">
        <f t="shared" si="4"/>
        <v>109.2</v>
      </c>
      <c r="F27" s="34">
        <v>3.5999999999999999E-3</v>
      </c>
      <c r="G27" s="22">
        <f>E27*F27</f>
        <v>0.39312000000000002</v>
      </c>
      <c r="H27" s="22">
        <f t="shared" si="3"/>
        <v>0</v>
      </c>
      <c r="I27" s="23">
        <f t="shared" si="8"/>
        <v>0</v>
      </c>
      <c r="J27" s="124">
        <f t="shared" si="1"/>
        <v>7.3629856340362496E-3</v>
      </c>
    </row>
    <row r="28" spans="1:10" s="1" customFormat="1" x14ac:dyDescent="0.2">
      <c r="A28" s="107" t="s">
        <v>43</v>
      </c>
      <c r="B28" s="73">
        <f>B8</f>
        <v>109.2</v>
      </c>
      <c r="C28" s="34">
        <v>2.0999999999999999E-3</v>
      </c>
      <c r="D28" s="22">
        <f>B28*C28</f>
        <v>0.22932</v>
      </c>
      <c r="E28" s="73">
        <f t="shared" si="4"/>
        <v>109.2</v>
      </c>
      <c r="F28" s="34">
        <v>2.0999999999999999E-3</v>
      </c>
      <c r="G28" s="22">
        <f>E28*F28</f>
        <v>0.22932</v>
      </c>
      <c r="H28" s="22">
        <f>G28-D28</f>
        <v>0</v>
      </c>
      <c r="I28" s="23">
        <f t="shared" si="8"/>
        <v>0</v>
      </c>
      <c r="J28" s="124">
        <f t="shared" si="1"/>
        <v>4.295074953187812E-3</v>
      </c>
    </row>
    <row r="29" spans="1:10" s="1" customFormat="1" x14ac:dyDescent="0.2">
      <c r="A29" s="107" t="s">
        <v>96</v>
      </c>
      <c r="B29" s="73">
        <f>B8</f>
        <v>109.2</v>
      </c>
      <c r="C29" s="34">
        <v>0</v>
      </c>
      <c r="D29" s="22">
        <f>B29*C29</f>
        <v>0</v>
      </c>
      <c r="E29" s="73">
        <f t="shared" si="4"/>
        <v>109.2</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4.6824033590482858E-3</v>
      </c>
    </row>
    <row r="31" spans="1:10" s="1" customFormat="1" x14ac:dyDescent="0.2">
      <c r="A31" s="110" t="s">
        <v>45</v>
      </c>
      <c r="B31" s="74"/>
      <c r="C31" s="35"/>
      <c r="D31" s="35">
        <f>SUM(D27:D30)</f>
        <v>0.87243999999999999</v>
      </c>
      <c r="E31" s="73"/>
      <c r="F31" s="35"/>
      <c r="G31" s="35">
        <f>SUM(G27:G30)</f>
        <v>0.87243999999999999</v>
      </c>
      <c r="H31" s="35">
        <f t="shared" si="3"/>
        <v>0</v>
      </c>
      <c r="I31" s="36">
        <f t="shared" si="8"/>
        <v>0</v>
      </c>
      <c r="J31" s="111">
        <f t="shared" si="10"/>
        <v>1.6340463946272348E-2</v>
      </c>
    </row>
    <row r="32" spans="1:10" ht="13.5" thickBot="1" x14ac:dyDescent="0.25">
      <c r="A32" s="112" t="s">
        <v>46</v>
      </c>
      <c r="B32" s="113">
        <f>B4</f>
        <v>100</v>
      </c>
      <c r="C32" s="114">
        <v>7.0000000000000001E-3</v>
      </c>
      <c r="D32" s="115">
        <f>B32*C32</f>
        <v>0.70000000000000007</v>
      </c>
      <c r="E32" s="116">
        <f t="shared" si="4"/>
        <v>100</v>
      </c>
      <c r="F32" s="114">
        <f>C32</f>
        <v>7.0000000000000001E-3</v>
      </c>
      <c r="G32" s="115">
        <f>E32*F32</f>
        <v>0.70000000000000007</v>
      </c>
      <c r="H32" s="115">
        <f t="shared" si="3"/>
        <v>0</v>
      </c>
      <c r="I32" s="117">
        <f t="shared" si="8"/>
        <v>0</v>
      </c>
      <c r="J32" s="118">
        <f t="shared" si="10"/>
        <v>1.3110729405335203E-2</v>
      </c>
    </row>
    <row r="33" spans="1:10" x14ac:dyDescent="0.2">
      <c r="A33" s="37" t="s">
        <v>111</v>
      </c>
      <c r="B33" s="38"/>
      <c r="C33" s="39"/>
      <c r="D33" s="39">
        <f>SUM(D14,D22,D25,D31,D32)</f>
        <v>50.048938000000014</v>
      </c>
      <c r="E33" s="38"/>
      <c r="F33" s="39"/>
      <c r="G33" s="39">
        <f>SUM(G14,G22,G25,G31,G32)</f>
        <v>50.848938000000011</v>
      </c>
      <c r="H33" s="39">
        <f t="shared" si="3"/>
        <v>0.79999999999999716</v>
      </c>
      <c r="I33" s="40">
        <f t="shared" si="8"/>
        <v>1.5984355152550828E-2</v>
      </c>
      <c r="J33" s="41">
        <f t="shared" si="10"/>
        <v>0.95238095238095233</v>
      </c>
    </row>
    <row r="34" spans="1:10" x14ac:dyDescent="0.2">
      <c r="A34" s="46" t="s">
        <v>102</v>
      </c>
      <c r="B34" s="43"/>
      <c r="C34" s="26">
        <v>0.13</v>
      </c>
      <c r="D34" s="26">
        <f>D33*C34</f>
        <v>6.5063619400000023</v>
      </c>
      <c r="E34" s="26"/>
      <c r="F34" s="26">
        <f>C34</f>
        <v>0.13</v>
      </c>
      <c r="G34" s="26">
        <f>G33*F34</f>
        <v>6.6103619400000015</v>
      </c>
      <c r="H34" s="26">
        <f t="shared" si="3"/>
        <v>0.1039999999999992</v>
      </c>
      <c r="I34" s="44">
        <f t="shared" si="8"/>
        <v>1.5984355152550762E-2</v>
      </c>
      <c r="J34" s="45">
        <f t="shared" si="10"/>
        <v>0.12380952380952381</v>
      </c>
    </row>
    <row r="35" spans="1:10" x14ac:dyDescent="0.2">
      <c r="A35" s="46" t="s">
        <v>103</v>
      </c>
      <c r="B35" s="24"/>
      <c r="C35" s="25"/>
      <c r="D35" s="25">
        <f>SUM(D33:D34)</f>
        <v>56.555299940000019</v>
      </c>
      <c r="E35" s="25"/>
      <c r="F35" s="25"/>
      <c r="G35" s="25">
        <f>SUM(G33:G34)</f>
        <v>57.459299940000015</v>
      </c>
      <c r="H35" s="25">
        <f t="shared" si="3"/>
        <v>0.90399999999999636</v>
      </c>
      <c r="I35" s="27">
        <f t="shared" si="8"/>
        <v>1.5984355152550818E-2</v>
      </c>
      <c r="J35" s="47">
        <f t="shared" si="10"/>
        <v>1.0761904761904761</v>
      </c>
    </row>
    <row r="36" spans="1:10" x14ac:dyDescent="0.2">
      <c r="A36" s="46" t="s">
        <v>104</v>
      </c>
      <c r="B36" s="43"/>
      <c r="C36" s="26">
        <v>-0.08</v>
      </c>
      <c r="D36" s="26">
        <f>D33*C36</f>
        <v>-4.0039150400000008</v>
      </c>
      <c r="E36" s="26"/>
      <c r="F36" s="26">
        <f>C36</f>
        <v>-0.08</v>
      </c>
      <c r="G36" s="26">
        <f>G33*F36</f>
        <v>-4.0679150400000008</v>
      </c>
      <c r="H36" s="26">
        <f t="shared" si="3"/>
        <v>-6.4000000000000057E-2</v>
      </c>
      <c r="I36" s="44">
        <f t="shared" si="8"/>
        <v>-1.5984355152550901E-2</v>
      </c>
      <c r="J36" s="45">
        <f t="shared" si="10"/>
        <v>-7.6190476190476183E-2</v>
      </c>
    </row>
    <row r="37" spans="1:10" ht="13.5" thickBot="1" x14ac:dyDescent="0.25">
      <c r="A37" s="46" t="s">
        <v>105</v>
      </c>
      <c r="B37" s="49"/>
      <c r="C37" s="50"/>
      <c r="D37" s="50">
        <f>SUM(D35:D36)</f>
        <v>52.551384900000016</v>
      </c>
      <c r="E37" s="50"/>
      <c r="F37" s="50"/>
      <c r="G37" s="50">
        <f>SUM(G35:G36)</f>
        <v>53.391384900000013</v>
      </c>
      <c r="H37" s="50">
        <f t="shared" si="3"/>
        <v>0.83999999999999631</v>
      </c>
      <c r="I37" s="51">
        <f t="shared" si="8"/>
        <v>1.5984355152550814E-2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48"/>
  <sheetViews>
    <sheetView tabSelected="1" view="pageLayout" topLeftCell="A4"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119</v>
      </c>
      <c r="B1" s="186"/>
      <c r="C1" s="186"/>
      <c r="D1" s="186"/>
      <c r="E1" s="186"/>
      <c r="F1" s="186"/>
      <c r="G1" s="186"/>
      <c r="H1" s="186"/>
      <c r="I1" s="186"/>
      <c r="J1" s="187"/>
    </row>
    <row r="3" spans="1:10" x14ac:dyDescent="0.2">
      <c r="A3" s="13" t="s">
        <v>13</v>
      </c>
      <c r="B3" s="13" t="s">
        <v>12</v>
      </c>
    </row>
    <row r="4" spans="1:10" x14ac:dyDescent="0.2">
      <c r="A4" s="15" t="s">
        <v>62</v>
      </c>
      <c r="B4" s="167">
        <f>VLOOKUP(B3,'Data for Bill Impacts'!A21:D34,3,FALSE)</f>
        <v>364</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67">
        <f>B4*B6</f>
        <v>397.48800000000006</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364</v>
      </c>
      <c r="C12" s="103">
        <v>9.0999999999999998E-2</v>
      </c>
      <c r="D12" s="104">
        <f>B12*C12</f>
        <v>33.124000000000002</v>
      </c>
      <c r="E12" s="102">
        <f>B12</f>
        <v>364</v>
      </c>
      <c r="F12" s="103">
        <f>C12</f>
        <v>9.0999999999999998E-2</v>
      </c>
      <c r="G12" s="104">
        <f>E12*F12</f>
        <v>33.124000000000002</v>
      </c>
      <c r="H12" s="104">
        <f>G12-D12</f>
        <v>0</v>
      </c>
      <c r="I12" s="105">
        <f t="shared" ref="I12:I18" si="0">IF(ISERROR(H12/ABS(D12)),"N/A",(H12/ABS(D12)))</f>
        <v>0</v>
      </c>
      <c r="J12" s="123">
        <f t="shared" ref="J12:J28" si="1">G12/$G$37</f>
        <v>0.34769349220506474</v>
      </c>
    </row>
    <row r="13" spans="1:10" x14ac:dyDescent="0.2">
      <c r="A13" s="107" t="s">
        <v>32</v>
      </c>
      <c r="B13" s="73">
        <f>IF(B4&gt;B7,(B4)-B7,0)</f>
        <v>0</v>
      </c>
      <c r="C13" s="21">
        <v>0.106</v>
      </c>
      <c r="D13" s="22">
        <f>B13*C13</f>
        <v>0</v>
      </c>
      <c r="E13" s="73">
        <f t="shared" ref="E13" si="2">B13</f>
        <v>0</v>
      </c>
      <c r="F13" s="21">
        <f>C13</f>
        <v>0.106</v>
      </c>
      <c r="G13" s="22">
        <f>E13*F13</f>
        <v>0</v>
      </c>
      <c r="H13" s="22">
        <f t="shared" ref="H13:H37" si="3">G13-D13</f>
        <v>0</v>
      </c>
      <c r="I13" s="23" t="str">
        <f t="shared" si="0"/>
        <v>N/A</v>
      </c>
      <c r="J13" s="124">
        <f t="shared" si="1"/>
        <v>0</v>
      </c>
    </row>
    <row r="14" spans="1:10" s="1" customFormat="1" x14ac:dyDescent="0.2">
      <c r="A14" s="46" t="s">
        <v>33</v>
      </c>
      <c r="B14" s="24"/>
      <c r="C14" s="25"/>
      <c r="D14" s="25">
        <f>SUM(D12:D13)</f>
        <v>33.124000000000002</v>
      </c>
      <c r="E14" s="76"/>
      <c r="F14" s="25"/>
      <c r="G14" s="25">
        <f>SUM(G12:G13)</f>
        <v>33.124000000000002</v>
      </c>
      <c r="H14" s="25">
        <f t="shared" si="3"/>
        <v>0</v>
      </c>
      <c r="I14" s="27">
        <f t="shared" si="0"/>
        <v>0</v>
      </c>
      <c r="J14" s="47">
        <f t="shared" si="1"/>
        <v>0.34769349220506474</v>
      </c>
    </row>
    <row r="15" spans="1:10" x14ac:dyDescent="0.2">
      <c r="A15" s="107" t="s">
        <v>38</v>
      </c>
      <c r="B15" s="73">
        <v>1</v>
      </c>
      <c r="C15" s="78">
        <f>VLOOKUP($B$3,'Data for Bill Impacts'!$A$6:$Y$18,7,0)</f>
        <v>34.76</v>
      </c>
      <c r="D15" s="22">
        <f>B15*C15</f>
        <v>34.76</v>
      </c>
      <c r="E15" s="73">
        <f t="shared" ref="E15:E32" si="4">B15</f>
        <v>1</v>
      </c>
      <c r="F15" s="78">
        <f>VLOOKUP($B$3,'Data for Bill Impacts'!$A$6:$Y$18,17,0)</f>
        <v>35.49</v>
      </c>
      <c r="G15" s="22">
        <f>E15*F15</f>
        <v>35.49</v>
      </c>
      <c r="H15" s="22">
        <f t="shared" si="3"/>
        <v>0.73000000000000398</v>
      </c>
      <c r="I15" s="23">
        <f t="shared" si="0"/>
        <v>2.1001150747986308E-2</v>
      </c>
      <c r="J15" s="124">
        <f t="shared" si="1"/>
        <v>0.37252874164828365</v>
      </c>
    </row>
    <row r="16" spans="1:10" x14ac:dyDescent="0.2">
      <c r="A16" s="107" t="s">
        <v>85</v>
      </c>
      <c r="B16" s="73">
        <v>1</v>
      </c>
      <c r="C16" s="121">
        <f>VLOOKUP($B$3,'Data for Bill Impacts'!$A$6:$Y$18,13,0)</f>
        <v>2E-3</v>
      </c>
      <c r="D16" s="22">
        <f t="shared" ref="D16" si="5">B16*C16</f>
        <v>2E-3</v>
      </c>
      <c r="E16" s="73">
        <f t="shared" si="4"/>
        <v>1</v>
      </c>
      <c r="F16" s="121">
        <f>VLOOKUP($B$3,'Data for Bill Impacts'!$A$6:$Y$18,22,0)</f>
        <v>2E-3</v>
      </c>
      <c r="G16" s="22">
        <f t="shared" ref="G16" si="6">E16*F16</f>
        <v>2E-3</v>
      </c>
      <c r="H16" s="22">
        <f t="shared" si="3"/>
        <v>0</v>
      </c>
      <c r="I16" s="23">
        <f t="shared" si="0"/>
        <v>0</v>
      </c>
      <c r="J16" s="124">
        <f t="shared" si="1"/>
        <v>2.0993448388181663E-5</v>
      </c>
    </row>
    <row r="17" spans="1:10" x14ac:dyDescent="0.2">
      <c r="A17" s="107" t="s">
        <v>39</v>
      </c>
      <c r="B17" s="73">
        <f>IF($B$9="kWh",$B$4,$B$5)</f>
        <v>364</v>
      </c>
      <c r="C17" s="78">
        <f>VLOOKUP($B$3,'Data for Bill Impacts'!$A$6:$Y$18,10,0)</f>
        <v>2.8400000000000002E-2</v>
      </c>
      <c r="D17" s="22">
        <f>B17*C17</f>
        <v>10.3376</v>
      </c>
      <c r="E17" s="73">
        <f t="shared" si="4"/>
        <v>364</v>
      </c>
      <c r="F17" s="78">
        <f>VLOOKUP($B$3,'Data for Bill Impacts'!$A$6:$Y$18,19,0)</f>
        <v>2.9100000000000001E-2</v>
      </c>
      <c r="G17" s="22">
        <f>E17*F17</f>
        <v>10.5924</v>
      </c>
      <c r="H17" s="22">
        <f t="shared" si="3"/>
        <v>0.25479999999999947</v>
      </c>
      <c r="I17" s="23">
        <f t="shared" si="0"/>
        <v>2.4647887323943612E-2</v>
      </c>
      <c r="J17" s="124">
        <f t="shared" si="1"/>
        <v>0.11118550135348772</v>
      </c>
    </row>
    <row r="18" spans="1:10" s="1" customFormat="1" x14ac:dyDescent="0.2">
      <c r="A18" s="107" t="s">
        <v>122</v>
      </c>
      <c r="B18" s="73">
        <f>IF($B$9="kWh",$B$4,$B$5)</f>
        <v>364</v>
      </c>
      <c r="C18" s="125">
        <f>VLOOKUP($B$3,'Data for Bill Impacts'!$A$6:$Y$18,14,0)</f>
        <v>2.0000000000000002E-5</v>
      </c>
      <c r="D18" s="22">
        <f>B18*C18</f>
        <v>7.2800000000000009E-3</v>
      </c>
      <c r="E18" s="73">
        <f>B18</f>
        <v>364</v>
      </c>
      <c r="F18" s="125">
        <f>VLOOKUP($B$3,'Data for Bill Impacts'!$A$6:$Y$18,23,0)</f>
        <v>2.0000000000000002E-5</v>
      </c>
      <c r="G18" s="22">
        <f>E18*F18</f>
        <v>7.2800000000000009E-3</v>
      </c>
      <c r="H18" s="22">
        <f>G18-D18</f>
        <v>0</v>
      </c>
      <c r="I18" s="23">
        <f t="shared" si="0"/>
        <v>0</v>
      </c>
      <c r="J18" s="124">
        <f t="shared" si="1"/>
        <v>7.6416152132981256E-5</v>
      </c>
    </row>
    <row r="19" spans="1:10" hidden="1" x14ac:dyDescent="0.2">
      <c r="A19" s="107" t="s">
        <v>108</v>
      </c>
      <c r="B19" s="73">
        <f>B8</f>
        <v>397.48800000000006</v>
      </c>
      <c r="C19" s="78">
        <v>0</v>
      </c>
      <c r="D19" s="22">
        <f>B19*C19</f>
        <v>0</v>
      </c>
      <c r="E19" s="73">
        <f t="shared" si="4"/>
        <v>397.48800000000006</v>
      </c>
      <c r="F19" s="78">
        <v>0</v>
      </c>
      <c r="G19" s="22">
        <f>E19*F19</f>
        <v>0</v>
      </c>
      <c r="H19" s="22">
        <f t="shared" si="3"/>
        <v>0</v>
      </c>
      <c r="I19" s="23" t="str">
        <f>IF(ISERROR(H19/ABS(D19)),"N/A",(H19/ABS(D19)))</f>
        <v>N/A</v>
      </c>
      <c r="J19" s="124">
        <f t="shared" si="1"/>
        <v>0</v>
      </c>
    </row>
    <row r="20" spans="1:10" x14ac:dyDescent="0.2">
      <c r="A20" s="110" t="s">
        <v>72</v>
      </c>
      <c r="B20" s="74"/>
      <c r="C20" s="35"/>
      <c r="D20" s="35">
        <f>SUM(D15:D19)</f>
        <v>45.106880000000004</v>
      </c>
      <c r="E20" s="73"/>
      <c r="F20" s="35"/>
      <c r="G20" s="35">
        <f>SUM(G15:G19)</f>
        <v>46.091680000000004</v>
      </c>
      <c r="H20" s="35">
        <f t="shared" si="3"/>
        <v>0.9847999999999999</v>
      </c>
      <c r="I20" s="36">
        <f t="shared" ref="I20" si="7">IF(ISERROR(H20/D20),0,(H20/D20))</f>
        <v>2.1832589618257788E-2</v>
      </c>
      <c r="J20" s="111">
        <f t="shared" si="1"/>
        <v>0.48381165260229253</v>
      </c>
    </row>
    <row r="21" spans="1:10" s="1" customFormat="1" x14ac:dyDescent="0.2">
      <c r="A21" s="119" t="s">
        <v>81</v>
      </c>
      <c r="B21" s="120">
        <f>B8-B4</f>
        <v>33.488000000000056</v>
      </c>
      <c r="C21" s="170">
        <f>IF(B4&gt;B7,C13,C12)</f>
        <v>9.0999999999999998E-2</v>
      </c>
      <c r="D21" s="22">
        <f>B21*C21</f>
        <v>3.0474080000000052</v>
      </c>
      <c r="E21" s="73">
        <f>B21</f>
        <v>33.488000000000056</v>
      </c>
      <c r="F21" s="170">
        <f>C21</f>
        <v>9.0999999999999998E-2</v>
      </c>
      <c r="G21" s="22">
        <f>E21*F21</f>
        <v>3.0474080000000052</v>
      </c>
      <c r="H21" s="22">
        <f t="shared" si="3"/>
        <v>0</v>
      </c>
      <c r="I21" s="23">
        <f>IF(ISERROR(H21/D21),0,(H21/D21))</f>
        <v>0</v>
      </c>
      <c r="J21" s="124">
        <f t="shared" si="1"/>
        <v>3.1987801282866005E-2</v>
      </c>
    </row>
    <row r="22" spans="1:10" x14ac:dyDescent="0.2">
      <c r="A22" s="110" t="s">
        <v>79</v>
      </c>
      <c r="B22" s="74"/>
      <c r="C22" s="35"/>
      <c r="D22" s="35">
        <f>SUM(D20,D21:D21)</f>
        <v>48.154288000000008</v>
      </c>
      <c r="E22" s="73"/>
      <c r="F22" s="35"/>
      <c r="G22" s="35">
        <f>SUM(G20,G21:G21)</f>
        <v>49.139088000000008</v>
      </c>
      <c r="H22" s="35">
        <f t="shared" si="3"/>
        <v>0.9847999999999999</v>
      </c>
      <c r="I22" s="36">
        <f t="shared" ref="I22:I37" si="8">IF(ISERROR(H22/ABS(D22)),"N/A",(H22/ABS(D22)))</f>
        <v>2.0450930558873589E-2</v>
      </c>
      <c r="J22" s="111">
        <f t="shared" si="1"/>
        <v>0.51579945388515858</v>
      </c>
    </row>
    <row r="23" spans="1:10" x14ac:dyDescent="0.2">
      <c r="A23" s="107" t="s">
        <v>40</v>
      </c>
      <c r="B23" s="73">
        <f>B8</f>
        <v>397.48800000000006</v>
      </c>
      <c r="C23" s="78">
        <f>VLOOKUP($B$3,'Data for Bill Impacts'!$A$6:$Y$18,15,0)</f>
        <v>4.7699999999999999E-3</v>
      </c>
      <c r="D23" s="22">
        <f>B23*C23</f>
        <v>1.8960177600000003</v>
      </c>
      <c r="E23" s="73">
        <f t="shared" si="4"/>
        <v>397.48800000000006</v>
      </c>
      <c r="F23" s="125">
        <f>VLOOKUP($B$3,'Data for Bill Impacts'!$A$6:$Y$18,24,0)</f>
        <v>4.7699999999999999E-3</v>
      </c>
      <c r="G23" s="22">
        <f>E23*F23</f>
        <v>1.8960177600000003</v>
      </c>
      <c r="H23" s="22">
        <f t="shared" si="3"/>
        <v>0</v>
      </c>
      <c r="I23" s="23">
        <f t="shared" si="8"/>
        <v>0</v>
      </c>
      <c r="J23" s="124">
        <f t="shared" si="1"/>
        <v>1.9901975493817906E-2</v>
      </c>
    </row>
    <row r="24" spans="1:10" s="1" customFormat="1" x14ac:dyDescent="0.2">
      <c r="A24" s="107" t="s">
        <v>41</v>
      </c>
      <c r="B24" s="73">
        <f>B8</f>
        <v>397.48800000000006</v>
      </c>
      <c r="C24" s="78">
        <f>VLOOKUP($B$3,'Data for Bill Impacts'!$A$6:$Y$18,16,0)</f>
        <v>3.7950000000000002E-3</v>
      </c>
      <c r="D24" s="22">
        <f>B24*C24</f>
        <v>1.5084669600000002</v>
      </c>
      <c r="E24" s="73">
        <f t="shared" si="4"/>
        <v>397.48800000000006</v>
      </c>
      <c r="F24" s="125">
        <f>VLOOKUP($B$3,'Data for Bill Impacts'!$A$6:$Y$18,25,0)</f>
        <v>3.7950000000000002E-3</v>
      </c>
      <c r="G24" s="22">
        <f>E24*F24</f>
        <v>1.5084669600000002</v>
      </c>
      <c r="H24" s="22">
        <f t="shared" si="3"/>
        <v>0</v>
      </c>
      <c r="I24" s="23">
        <f t="shared" si="8"/>
        <v>0</v>
      </c>
      <c r="J24" s="124">
        <f t="shared" si="1"/>
        <v>1.5833961635018649E-2</v>
      </c>
    </row>
    <row r="25" spans="1:10" s="1" customFormat="1" x14ac:dyDescent="0.2">
      <c r="A25" s="110" t="s">
        <v>76</v>
      </c>
      <c r="B25" s="74"/>
      <c r="C25" s="35"/>
      <c r="D25" s="35">
        <f>SUM(D23:D24)</f>
        <v>3.4044847200000006</v>
      </c>
      <c r="E25" s="73"/>
      <c r="F25" s="35"/>
      <c r="G25" s="35">
        <f>SUM(G23:G24)</f>
        <v>3.4044847200000006</v>
      </c>
      <c r="H25" s="35">
        <f t="shared" si="3"/>
        <v>0</v>
      </c>
      <c r="I25" s="36">
        <f t="shared" si="8"/>
        <v>0</v>
      </c>
      <c r="J25" s="111">
        <f t="shared" si="1"/>
        <v>3.5735937128836555E-2</v>
      </c>
    </row>
    <row r="26" spans="1:10" s="1" customFormat="1" x14ac:dyDescent="0.2">
      <c r="A26" s="110" t="s">
        <v>80</v>
      </c>
      <c r="B26" s="74"/>
      <c r="C26" s="35"/>
      <c r="D26" s="35">
        <f>D22+D25</f>
        <v>51.558772720000007</v>
      </c>
      <c r="E26" s="73"/>
      <c r="F26" s="35"/>
      <c r="G26" s="35">
        <f>G22+G25</f>
        <v>52.543572720000007</v>
      </c>
      <c r="H26" s="35">
        <f t="shared" si="3"/>
        <v>0.9847999999999999</v>
      </c>
      <c r="I26" s="36">
        <f t="shared" si="8"/>
        <v>1.9100532228494824E-2</v>
      </c>
      <c r="J26" s="111">
        <f t="shared" si="1"/>
        <v>0.55153539101399507</v>
      </c>
    </row>
    <row r="27" spans="1:10" x14ac:dyDescent="0.2">
      <c r="A27" s="107" t="s">
        <v>42</v>
      </c>
      <c r="B27" s="73">
        <f>B8</f>
        <v>397.48800000000006</v>
      </c>
      <c r="C27" s="34">
        <v>3.5999999999999999E-3</v>
      </c>
      <c r="D27" s="22">
        <f>B27*C27</f>
        <v>1.4309568000000001</v>
      </c>
      <c r="E27" s="73">
        <f t="shared" si="4"/>
        <v>397.48800000000006</v>
      </c>
      <c r="F27" s="34">
        <v>3.5999999999999999E-3</v>
      </c>
      <c r="G27" s="22">
        <f>E27*F27</f>
        <v>1.4309568000000001</v>
      </c>
      <c r="H27" s="22">
        <f t="shared" si="3"/>
        <v>0</v>
      </c>
      <c r="I27" s="23">
        <f t="shared" si="8"/>
        <v>0</v>
      </c>
      <c r="J27" s="124">
        <f t="shared" si="1"/>
        <v>1.5020358863258797E-2</v>
      </c>
    </row>
    <row r="28" spans="1:10" s="1" customFormat="1" x14ac:dyDescent="0.2">
      <c r="A28" s="107" t="s">
        <v>43</v>
      </c>
      <c r="B28" s="73">
        <f>B8</f>
        <v>397.48800000000006</v>
      </c>
      <c r="C28" s="34">
        <v>2.0999999999999999E-3</v>
      </c>
      <c r="D28" s="22">
        <f>B28*C28</f>
        <v>0.83472480000000004</v>
      </c>
      <c r="E28" s="73">
        <f t="shared" si="4"/>
        <v>397.48800000000006</v>
      </c>
      <c r="F28" s="34">
        <v>2.0999999999999999E-3</v>
      </c>
      <c r="G28" s="22">
        <f>E28*F28</f>
        <v>0.83472480000000004</v>
      </c>
      <c r="H28" s="22">
        <f>G28-D28</f>
        <v>0</v>
      </c>
      <c r="I28" s="23">
        <f t="shared" si="8"/>
        <v>0</v>
      </c>
      <c r="J28" s="124">
        <f t="shared" si="1"/>
        <v>8.7618760035676306E-3</v>
      </c>
    </row>
    <row r="29" spans="1:10" s="1" customFormat="1" x14ac:dyDescent="0.2">
      <c r="A29" s="107" t="s">
        <v>96</v>
      </c>
      <c r="B29" s="73">
        <f>B8</f>
        <v>397.48800000000006</v>
      </c>
      <c r="C29" s="34">
        <v>0</v>
      </c>
      <c r="D29" s="22">
        <f>B29*C29</f>
        <v>0</v>
      </c>
      <c r="E29" s="73">
        <f t="shared" si="4"/>
        <v>397.48800000000006</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2.6241810485227077E-3</v>
      </c>
    </row>
    <row r="31" spans="1:10" s="1" customFormat="1" x14ac:dyDescent="0.2">
      <c r="A31" s="110" t="s">
        <v>45</v>
      </c>
      <c r="B31" s="74"/>
      <c r="C31" s="35"/>
      <c r="D31" s="35">
        <f>SUM(D27:D30)</f>
        <v>2.5156816000000002</v>
      </c>
      <c r="E31" s="73"/>
      <c r="F31" s="35"/>
      <c r="G31" s="35">
        <f>SUM(G27:G30)</f>
        <v>2.5156816000000002</v>
      </c>
      <c r="H31" s="35">
        <f t="shared" si="3"/>
        <v>0</v>
      </c>
      <c r="I31" s="36">
        <f t="shared" si="8"/>
        <v>0</v>
      </c>
      <c r="J31" s="111">
        <f t="shared" si="10"/>
        <v>2.6406415915349136E-2</v>
      </c>
    </row>
    <row r="32" spans="1:10" ht="13.5" thickBot="1" x14ac:dyDescent="0.25">
      <c r="A32" s="112" t="s">
        <v>46</v>
      </c>
      <c r="B32" s="113">
        <f>B4</f>
        <v>364</v>
      </c>
      <c r="C32" s="114">
        <v>7.0000000000000001E-3</v>
      </c>
      <c r="D32" s="115">
        <f>B32*C32</f>
        <v>2.548</v>
      </c>
      <c r="E32" s="116">
        <f t="shared" si="4"/>
        <v>364</v>
      </c>
      <c r="F32" s="114">
        <f>C32</f>
        <v>7.0000000000000001E-3</v>
      </c>
      <c r="G32" s="115">
        <f>E32*F32</f>
        <v>2.548</v>
      </c>
      <c r="H32" s="115">
        <f t="shared" si="3"/>
        <v>0</v>
      </c>
      <c r="I32" s="117">
        <f t="shared" si="8"/>
        <v>0</v>
      </c>
      <c r="J32" s="118">
        <f t="shared" si="10"/>
        <v>2.674565324654344E-2</v>
      </c>
    </row>
    <row r="33" spans="1:10" x14ac:dyDescent="0.2">
      <c r="A33" s="37" t="s">
        <v>111</v>
      </c>
      <c r="B33" s="38"/>
      <c r="C33" s="39"/>
      <c r="D33" s="39">
        <f>SUM(D14,D22,D25,D31,D32)</f>
        <v>89.746454319999998</v>
      </c>
      <c r="E33" s="38"/>
      <c r="F33" s="39"/>
      <c r="G33" s="39">
        <f>SUM(G14,G22,G25,G31,G32)</f>
        <v>90.731254320000005</v>
      </c>
      <c r="H33" s="39">
        <f t="shared" si="3"/>
        <v>0.984800000000007</v>
      </c>
      <c r="I33" s="40">
        <f t="shared" si="8"/>
        <v>1.0973135456567494E-2</v>
      </c>
      <c r="J33" s="41">
        <f t="shared" si="10"/>
        <v>0.95238095238095233</v>
      </c>
    </row>
    <row r="34" spans="1:10" x14ac:dyDescent="0.2">
      <c r="A34" s="46" t="s">
        <v>102</v>
      </c>
      <c r="B34" s="43"/>
      <c r="C34" s="26">
        <v>0.13</v>
      </c>
      <c r="D34" s="26">
        <f>D33*C34</f>
        <v>11.667039061600001</v>
      </c>
      <c r="E34" s="26"/>
      <c r="F34" s="26">
        <f>C34</f>
        <v>0.13</v>
      </c>
      <c r="G34" s="26">
        <f>G33*F34</f>
        <v>11.795063061600001</v>
      </c>
      <c r="H34" s="26">
        <f t="shared" si="3"/>
        <v>0.12802399999999992</v>
      </c>
      <c r="I34" s="44">
        <f t="shared" si="8"/>
        <v>1.0973135456567409E-2</v>
      </c>
      <c r="J34" s="45">
        <f t="shared" si="10"/>
        <v>0.1238095238095238</v>
      </c>
    </row>
    <row r="35" spans="1:10" x14ac:dyDescent="0.2">
      <c r="A35" s="46" t="s">
        <v>103</v>
      </c>
      <c r="B35" s="24"/>
      <c r="C35" s="25"/>
      <c r="D35" s="25">
        <f>SUM(D33:D34)</f>
        <v>101.41349338160001</v>
      </c>
      <c r="E35" s="25"/>
      <c r="F35" s="25"/>
      <c r="G35" s="25">
        <f>SUM(G33:G34)</f>
        <v>102.52631738160001</v>
      </c>
      <c r="H35" s="25">
        <f t="shared" si="3"/>
        <v>1.1128240000000034</v>
      </c>
      <c r="I35" s="27">
        <f t="shared" si="8"/>
        <v>1.0973135456567449E-2</v>
      </c>
      <c r="J35" s="47">
        <f t="shared" si="10"/>
        <v>1.0761904761904761</v>
      </c>
    </row>
    <row r="36" spans="1:10" x14ac:dyDescent="0.2">
      <c r="A36" s="46" t="s">
        <v>104</v>
      </c>
      <c r="B36" s="43"/>
      <c r="C36" s="26">
        <v>-0.08</v>
      </c>
      <c r="D36" s="26">
        <f>D33*C36</f>
        <v>-7.1797163456000002</v>
      </c>
      <c r="E36" s="26"/>
      <c r="F36" s="26">
        <f>C36</f>
        <v>-0.08</v>
      </c>
      <c r="G36" s="26">
        <f>G33*F36</f>
        <v>-7.2585003456000008</v>
      </c>
      <c r="H36" s="26">
        <f t="shared" si="3"/>
        <v>-7.8784000000000631E-2</v>
      </c>
      <c r="I36" s="44">
        <f t="shared" si="8"/>
        <v>-1.0973135456567504E-2</v>
      </c>
      <c r="J36" s="45">
        <f t="shared" si="10"/>
        <v>-7.6190476190476183E-2</v>
      </c>
    </row>
    <row r="37" spans="1:10" ht="13.5" thickBot="1" x14ac:dyDescent="0.25">
      <c r="A37" s="46" t="s">
        <v>105</v>
      </c>
      <c r="B37" s="49"/>
      <c r="C37" s="50"/>
      <c r="D37" s="50">
        <f>SUM(D35:D36)</f>
        <v>94.233777036000006</v>
      </c>
      <c r="E37" s="50"/>
      <c r="F37" s="50"/>
      <c r="G37" s="50">
        <f>SUM(G35:G36)</f>
        <v>95.267817036000011</v>
      </c>
      <c r="H37" s="50">
        <f t="shared" si="3"/>
        <v>1.0340400000000045</v>
      </c>
      <c r="I37" s="51">
        <f t="shared" si="8"/>
        <v>1.0973135456567465E-2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119</v>
      </c>
      <c r="B1" s="186"/>
      <c r="C1" s="186"/>
      <c r="D1" s="186"/>
      <c r="E1" s="186"/>
      <c r="F1" s="186"/>
      <c r="G1" s="186"/>
      <c r="H1" s="186"/>
      <c r="I1" s="186"/>
      <c r="J1" s="186"/>
      <c r="K1" s="187"/>
    </row>
    <row r="3" spans="1:11" x14ac:dyDescent="0.2">
      <c r="A3" s="13" t="s">
        <v>13</v>
      </c>
      <c r="B3" s="13" t="s">
        <v>0</v>
      </c>
    </row>
    <row r="4" spans="1:11" x14ac:dyDescent="0.2">
      <c r="A4" s="15" t="s">
        <v>62</v>
      </c>
      <c r="B4" s="15">
        <v>750</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67">
        <f>B4*B6</f>
        <v>792.75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0.41046999552544289</v>
      </c>
      <c r="K12" s="106"/>
    </row>
    <row r="13" spans="1:11" x14ac:dyDescent="0.2">
      <c r="A13" s="107" t="s">
        <v>32</v>
      </c>
      <c r="B13" s="73">
        <f>IF(B4&gt;B7,(B4)-B7,0)</f>
        <v>150</v>
      </c>
      <c r="C13" s="21">
        <v>0.106</v>
      </c>
      <c r="D13" s="22">
        <f>B13*C13</f>
        <v>15.9</v>
      </c>
      <c r="E13" s="73">
        <f t="shared" ref="E13" si="1">B13</f>
        <v>150</v>
      </c>
      <c r="F13" s="21">
        <f>C13</f>
        <v>0.106</v>
      </c>
      <c r="G13" s="22">
        <f>E13*F13</f>
        <v>15.9</v>
      </c>
      <c r="H13" s="22">
        <f t="shared" ref="H13:H46" si="2">G13-D13</f>
        <v>0</v>
      </c>
      <c r="I13" s="23">
        <f t="shared" si="0"/>
        <v>0</v>
      </c>
      <c r="J13" s="23">
        <f>G13/$G$46</f>
        <v>0.11953247122444216</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0.53000246674988505</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6" si="4">G15/$G$51</f>
        <v>0.27721446054688248</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0.10639939634576651</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0.1565250880130849</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6" si="5">G18/$G$46</f>
        <v>0.54984936763243408</v>
      </c>
      <c r="K18" s="62">
        <f t="shared" si="4"/>
        <v>0.540138944905734</v>
      </c>
    </row>
    <row r="19" spans="1:11" x14ac:dyDescent="0.2">
      <c r="A19" s="107" t="s">
        <v>38</v>
      </c>
      <c r="B19" s="73">
        <v>1</v>
      </c>
      <c r="C19" s="78">
        <f>VLOOKUP($B$3,'Data for Bill Impacts'!$A$6:$Y$18,7,0)</f>
        <v>27.71</v>
      </c>
      <c r="D19" s="22">
        <f>B19*C19</f>
        <v>27.71</v>
      </c>
      <c r="E19" s="73">
        <f t="shared" ref="E19:E41" si="6">B19</f>
        <v>1</v>
      </c>
      <c r="F19" s="78">
        <f>VLOOKUP($B$3,'Data for Bill Impacts'!$A$6:$Y$18,17,0)</f>
        <v>31.23</v>
      </c>
      <c r="G19" s="22">
        <f>E19*F19</f>
        <v>31.23</v>
      </c>
      <c r="H19" s="22">
        <f t="shared" si="2"/>
        <v>3.5199999999999996</v>
      </c>
      <c r="I19" s="23">
        <f>IF(ISERROR(H19/ABS(D19)),"N/A",(H19/ABS(D19)))</f>
        <v>0.12702995308552867</v>
      </c>
      <c r="J19" s="23">
        <f t="shared" si="5"/>
        <v>0.23477981612197035</v>
      </c>
      <c r="K19" s="108">
        <f t="shared" si="4"/>
        <v>0.23063356917426947</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7.0000000000000001E-3</v>
      </c>
      <c r="D22" s="22">
        <f t="shared" si="9"/>
        <v>7.0000000000000001E-3</v>
      </c>
      <c r="E22" s="73">
        <f t="shared" si="6"/>
        <v>1</v>
      </c>
      <c r="F22" s="121">
        <f>VLOOKUP($B$3,'Data for Bill Impacts'!$A$6:$Y$18,22,0)</f>
        <v>7.0000000000000001E-3</v>
      </c>
      <c r="G22" s="22">
        <f t="shared" si="7"/>
        <v>7.0000000000000001E-3</v>
      </c>
      <c r="H22" s="22">
        <f t="shared" si="2"/>
        <v>0</v>
      </c>
      <c r="I22" s="23">
        <f t="shared" ref="I22:I51" si="10">IF(ISERROR(H22/ABS(D22)),"N/A",(H22/ABS(D22)))</f>
        <v>0</v>
      </c>
      <c r="J22" s="23">
        <f>G22/$G$46</f>
        <v>5.2624358400697808E-5</v>
      </c>
      <c r="K22" s="108">
        <f t="shared" si="4"/>
        <v>5.1695004297786945E-5</v>
      </c>
    </row>
    <row r="23" spans="1:11" x14ac:dyDescent="0.2">
      <c r="A23" s="107" t="s">
        <v>39</v>
      </c>
      <c r="B23" s="73">
        <f>IF($B$9="kWh",$B$4,$B$5)</f>
        <v>750</v>
      </c>
      <c r="C23" s="78">
        <f>VLOOKUP($B$3,'Data for Bill Impacts'!$A$6:$Y$18,10,0)</f>
        <v>7.7999999999999996E-3</v>
      </c>
      <c r="D23" s="22">
        <f>B23*C23</f>
        <v>5.85</v>
      </c>
      <c r="E23" s="73">
        <f t="shared" si="6"/>
        <v>750</v>
      </c>
      <c r="F23" s="78">
        <f>VLOOKUP($B$3,'Data for Bill Impacts'!$A$6:$Y$18,19,0)</f>
        <v>4.7000000000000002E-3</v>
      </c>
      <c r="G23" s="22">
        <f>E23*F23</f>
        <v>3.5250000000000004</v>
      </c>
      <c r="H23" s="22">
        <f t="shared" si="2"/>
        <v>-2.3249999999999993</v>
      </c>
      <c r="I23" s="23">
        <f t="shared" si="10"/>
        <v>-0.39743589743589736</v>
      </c>
      <c r="J23" s="23">
        <f t="shared" si="5"/>
        <v>2.6500123337494255E-2</v>
      </c>
      <c r="K23" s="108">
        <f t="shared" si="4"/>
        <v>2.6032127164242715E-2</v>
      </c>
    </row>
    <row r="24" spans="1:11" x14ac:dyDescent="0.2">
      <c r="A24" s="107" t="s">
        <v>122</v>
      </c>
      <c r="B24" s="73">
        <f>IF($B$9="kWh",$B$4,$B$5)</f>
        <v>750</v>
      </c>
      <c r="C24" s="125">
        <f>VLOOKUP($B$3,'Data for Bill Impacts'!$A$6:$Y$18,14,0)</f>
        <v>3.0000000000000004E-5</v>
      </c>
      <c r="D24" s="22">
        <f>B24*C24</f>
        <v>2.2500000000000003E-2</v>
      </c>
      <c r="E24" s="73">
        <f>B24</f>
        <v>750</v>
      </c>
      <c r="F24" s="125">
        <f>VLOOKUP($B$3,'Data for Bill Impacts'!$A$6:$Y$18,23,0)</f>
        <v>3.0000000000000004E-5</v>
      </c>
      <c r="G24" s="22">
        <f>E24*F24</f>
        <v>2.2500000000000003E-2</v>
      </c>
      <c r="H24" s="22">
        <f>G24-D24</f>
        <v>0</v>
      </c>
      <c r="I24" s="23">
        <f t="shared" si="10"/>
        <v>0</v>
      </c>
      <c r="J24" s="23">
        <f t="shared" si="5"/>
        <v>1.6914972343081439E-4</v>
      </c>
      <c r="K24" s="108">
        <f t="shared" si="4"/>
        <v>1.661625138143152E-4</v>
      </c>
    </row>
    <row r="25" spans="1:11" s="1" customFormat="1" x14ac:dyDescent="0.2">
      <c r="A25" s="110" t="s">
        <v>72</v>
      </c>
      <c r="B25" s="74"/>
      <c r="C25" s="35"/>
      <c r="D25" s="35">
        <f>SUM(D19:D24)</f>
        <v>33.589500000000001</v>
      </c>
      <c r="E25" s="73"/>
      <c r="F25" s="35"/>
      <c r="G25" s="35">
        <f>SUM(G19:G24)</f>
        <v>34.784500000000001</v>
      </c>
      <c r="H25" s="35">
        <f t="shared" si="2"/>
        <v>1.1950000000000003</v>
      </c>
      <c r="I25" s="36">
        <f t="shared" si="10"/>
        <v>3.5576593876062469E-2</v>
      </c>
      <c r="J25" s="36">
        <f t="shared" si="5"/>
        <v>0.26150171354129614</v>
      </c>
      <c r="K25" s="111">
        <f t="shared" si="4"/>
        <v>0.25688355385662431</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5.9390347337930386E-3</v>
      </c>
      <c r="K26" s="108">
        <f t="shared" si="4"/>
        <v>5.8341504850359556E-3</v>
      </c>
    </row>
    <row r="27" spans="1:11" s="1" customFormat="1" x14ac:dyDescent="0.2">
      <c r="A27" s="119" t="s">
        <v>75</v>
      </c>
      <c r="B27" s="120">
        <f>B8-B4</f>
        <v>42.75</v>
      </c>
      <c r="C27" s="170">
        <f>IF(B4&gt;B7,C13,C12)</f>
        <v>0.106</v>
      </c>
      <c r="D27" s="22">
        <f>B27*C27</f>
        <v>4.5315000000000003</v>
      </c>
      <c r="E27" s="73">
        <f>B27</f>
        <v>42.75</v>
      </c>
      <c r="F27" s="170">
        <f>C27</f>
        <v>0.106</v>
      </c>
      <c r="G27" s="22">
        <f>E27*F27</f>
        <v>4.5315000000000003</v>
      </c>
      <c r="H27" s="22">
        <f t="shared" si="2"/>
        <v>0</v>
      </c>
      <c r="I27" s="23">
        <f t="shared" si="10"/>
        <v>0</v>
      </c>
      <c r="J27" s="23">
        <f t="shared" ref="J27:J46" si="11">G27/$G$46</f>
        <v>3.4066754298966016E-2</v>
      </c>
      <c r="K27" s="108">
        <f t="shared" ref="K27:K41" si="12">G27/$G$51</f>
        <v>3.3465130282203076E-2</v>
      </c>
    </row>
    <row r="28" spans="1:11" s="1" customFormat="1" x14ac:dyDescent="0.2">
      <c r="A28" s="119" t="s">
        <v>74</v>
      </c>
      <c r="B28" s="120">
        <f>B8-B4</f>
        <v>42.75</v>
      </c>
      <c r="C28" s="170">
        <f>0.65*C15+0.17*C16+0.18*C17</f>
        <v>9.7519999999999996E-2</v>
      </c>
      <c r="D28" s="22">
        <f>B28*C28</f>
        <v>4.1689799999999995</v>
      </c>
      <c r="E28" s="73">
        <f>B28</f>
        <v>42.75</v>
      </c>
      <c r="F28" s="170">
        <f>C28</f>
        <v>9.7519999999999996E-2</v>
      </c>
      <c r="G28" s="22">
        <f>E28*F28</f>
        <v>4.1689799999999995</v>
      </c>
      <c r="H28" s="22">
        <f t="shared" si="2"/>
        <v>0</v>
      </c>
      <c r="I28" s="23">
        <f t="shared" si="10"/>
        <v>0</v>
      </c>
      <c r="J28" s="23">
        <f t="shared" si="11"/>
        <v>3.1341413955048733E-2</v>
      </c>
      <c r="K28" s="108">
        <f t="shared" si="12"/>
        <v>3.0787919859626828E-2</v>
      </c>
    </row>
    <row r="29" spans="1:11" s="1" customFormat="1" x14ac:dyDescent="0.2">
      <c r="A29" s="110" t="s">
        <v>78</v>
      </c>
      <c r="B29" s="74"/>
      <c r="C29" s="35"/>
      <c r="D29" s="35">
        <f>SUM(D25,D26:D27)</f>
        <v>38.911000000000001</v>
      </c>
      <c r="E29" s="73"/>
      <c r="F29" s="35"/>
      <c r="G29" s="35">
        <f>SUM(G25,G26:G27)</f>
        <v>40.106000000000002</v>
      </c>
      <c r="H29" s="35">
        <f t="shared" si="2"/>
        <v>1.1950000000000003</v>
      </c>
      <c r="I29" s="36">
        <f t="shared" si="10"/>
        <v>3.0711109968903402E-2</v>
      </c>
      <c r="J29" s="36">
        <f t="shared" si="11"/>
        <v>0.30150750257405518</v>
      </c>
      <c r="K29" s="111">
        <f t="shared" si="12"/>
        <v>0.2961828346238633</v>
      </c>
    </row>
    <row r="30" spans="1:11" s="1" customFormat="1" x14ac:dyDescent="0.2">
      <c r="A30" s="110" t="s">
        <v>77</v>
      </c>
      <c r="B30" s="74"/>
      <c r="C30" s="35"/>
      <c r="D30" s="35">
        <f>SUM(D25,D26,D28)</f>
        <v>38.548479999999998</v>
      </c>
      <c r="E30" s="73"/>
      <c r="F30" s="35"/>
      <c r="G30" s="35">
        <f>SUM(G25,G26,G28)</f>
        <v>39.743479999999998</v>
      </c>
      <c r="H30" s="35">
        <f t="shared" si="2"/>
        <v>1.1950000000000003</v>
      </c>
      <c r="I30" s="36">
        <f t="shared" si="10"/>
        <v>3.0999925288882995E-2</v>
      </c>
      <c r="J30" s="36">
        <f t="shared" si="11"/>
        <v>0.29878216223013787</v>
      </c>
      <c r="K30" s="111">
        <f t="shared" si="12"/>
        <v>0.29350562420128706</v>
      </c>
    </row>
    <row r="31" spans="1:11" x14ac:dyDescent="0.2">
      <c r="A31" s="107" t="s">
        <v>40</v>
      </c>
      <c r="B31" s="73">
        <f>B8</f>
        <v>792.75</v>
      </c>
      <c r="C31" s="125">
        <f>VLOOKUP($B$3,'Data for Bill Impacts'!$A$6:$Y$18,15,0)</f>
        <v>7.8279999999999999E-3</v>
      </c>
      <c r="D31" s="22">
        <f>B31*C31</f>
        <v>6.2056469999999999</v>
      </c>
      <c r="E31" s="73">
        <f t="shared" si="6"/>
        <v>792.75</v>
      </c>
      <c r="F31" s="125">
        <f>VLOOKUP($B$3,'Data for Bill Impacts'!$A$6:$Y$18,24,0)</f>
        <v>7.8279999999999999E-3</v>
      </c>
      <c r="G31" s="22">
        <f>E31*F31</f>
        <v>6.2056469999999999</v>
      </c>
      <c r="H31" s="22">
        <f t="shared" si="2"/>
        <v>0</v>
      </c>
      <c r="I31" s="23">
        <f t="shared" si="10"/>
        <v>0</v>
      </c>
      <c r="J31" s="23">
        <f t="shared" si="11"/>
        <v>4.6652598833745021E-2</v>
      </c>
      <c r="K31" s="108">
        <f t="shared" si="12"/>
        <v>4.5828706905078377E-2</v>
      </c>
    </row>
    <row r="32" spans="1:11" x14ac:dyDescent="0.2">
      <c r="A32" s="107" t="s">
        <v>41</v>
      </c>
      <c r="B32" s="73">
        <f>B8</f>
        <v>792.75</v>
      </c>
      <c r="C32" s="125">
        <f>VLOOKUP($B$3,'Data for Bill Impacts'!$A$6:$Y$18,16,0)</f>
        <v>6.4380000000000001E-3</v>
      </c>
      <c r="D32" s="22">
        <f>B32*C32</f>
        <v>5.1037245000000002</v>
      </c>
      <c r="E32" s="73">
        <f t="shared" si="6"/>
        <v>792.75</v>
      </c>
      <c r="F32" s="125">
        <f>VLOOKUP($B$3,'Data for Bill Impacts'!$A$6:$Y$18,25,0)</f>
        <v>6.4380000000000001E-3</v>
      </c>
      <c r="G32" s="22">
        <f>E32*F32</f>
        <v>5.1037245000000002</v>
      </c>
      <c r="H32" s="22">
        <f t="shared" si="2"/>
        <v>0</v>
      </c>
      <c r="I32" s="23">
        <f t="shared" si="10"/>
        <v>0</v>
      </c>
      <c r="J32" s="23">
        <f t="shared" si="11"/>
        <v>3.8368603895203177E-2</v>
      </c>
      <c r="K32" s="108">
        <f t="shared" si="12"/>
        <v>3.7691008566031504E-2</v>
      </c>
    </row>
    <row r="33" spans="1:11" s="1" customFormat="1" x14ac:dyDescent="0.2">
      <c r="A33" s="110" t="s">
        <v>76</v>
      </c>
      <c r="B33" s="74"/>
      <c r="C33" s="35"/>
      <c r="D33" s="35">
        <f>SUM(D31:D32)</f>
        <v>11.309371500000001</v>
      </c>
      <c r="E33" s="73"/>
      <c r="F33" s="35"/>
      <c r="G33" s="35">
        <f>SUM(G31:G32)</f>
        <v>11.309371500000001</v>
      </c>
      <c r="H33" s="35">
        <f t="shared" si="2"/>
        <v>0</v>
      </c>
      <c r="I33" s="36">
        <f t="shared" si="10"/>
        <v>0</v>
      </c>
      <c r="J33" s="36">
        <f t="shared" si="11"/>
        <v>8.5021202728948198E-2</v>
      </c>
      <c r="K33" s="111">
        <f t="shared" si="12"/>
        <v>8.3519715471109895E-2</v>
      </c>
    </row>
    <row r="34" spans="1:11" s="1" customFormat="1" x14ac:dyDescent="0.2">
      <c r="A34" s="110" t="s">
        <v>91</v>
      </c>
      <c r="B34" s="74"/>
      <c r="C34" s="35"/>
      <c r="D34" s="35">
        <f>D29+D33</f>
        <v>50.220371499999999</v>
      </c>
      <c r="E34" s="73"/>
      <c r="F34" s="35"/>
      <c r="G34" s="35">
        <f>G29+G33</f>
        <v>51.415371500000006</v>
      </c>
      <c r="H34" s="35">
        <f t="shared" si="2"/>
        <v>1.1950000000000074</v>
      </c>
      <c r="I34" s="36">
        <f t="shared" si="10"/>
        <v>2.3795124653747481E-2</v>
      </c>
      <c r="J34" s="36">
        <f t="shared" si="11"/>
        <v>0.38652870530300343</v>
      </c>
      <c r="K34" s="111">
        <f t="shared" si="12"/>
        <v>0.37970255009497322</v>
      </c>
    </row>
    <row r="35" spans="1:11" s="1" customFormat="1" x14ac:dyDescent="0.2">
      <c r="A35" s="110" t="s">
        <v>92</v>
      </c>
      <c r="B35" s="74"/>
      <c r="C35" s="35"/>
      <c r="D35" s="35">
        <f>D30+D33</f>
        <v>49.857851499999995</v>
      </c>
      <c r="E35" s="73"/>
      <c r="F35" s="35"/>
      <c r="G35" s="35">
        <f>G30+G33</f>
        <v>51.052851500000003</v>
      </c>
      <c r="H35" s="35">
        <f t="shared" si="2"/>
        <v>1.1950000000000074</v>
      </c>
      <c r="I35" s="36">
        <f t="shared" si="10"/>
        <v>2.3968140704980188E-2</v>
      </c>
      <c r="J35" s="36">
        <f t="shared" si="11"/>
        <v>0.38380336495908612</v>
      </c>
      <c r="K35" s="111">
        <f t="shared" si="12"/>
        <v>0.37702533967239699</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2"/>
        <v>0</v>
      </c>
      <c r="I36" s="23">
        <f t="shared" si="10"/>
        <v>0</v>
      </c>
      <c r="J36" s="23">
        <f t="shared" si="11"/>
        <v>2.1454950919964494E-2</v>
      </c>
      <c r="K36" s="108">
        <f t="shared" si="12"/>
        <v>2.1076053252207735E-2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10"/>
        <v>0</v>
      </c>
      <c r="J37" s="23">
        <f t="shared" si="11"/>
        <v>1.2515388036645956E-2</v>
      </c>
      <c r="K37" s="108">
        <f t="shared" si="12"/>
        <v>1.229436439712118E-2</v>
      </c>
    </row>
    <row r="38" spans="1:11" x14ac:dyDescent="0.2">
      <c r="A38" s="107" t="s">
        <v>96</v>
      </c>
      <c r="B38" s="73">
        <f>B8</f>
        <v>792.75</v>
      </c>
      <c r="C38" s="34">
        <v>0</v>
      </c>
      <c r="D38" s="22">
        <f>B38*C38</f>
        <v>0</v>
      </c>
      <c r="E38" s="73">
        <f t="shared" si="6"/>
        <v>792.75</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1.8794413714534931E-3</v>
      </c>
      <c r="K39" s="108">
        <f t="shared" si="12"/>
        <v>1.8462501534923909E-3</v>
      </c>
    </row>
    <row r="40" spans="1:11" s="1" customFormat="1" x14ac:dyDescent="0.2">
      <c r="A40" s="110" t="s">
        <v>45</v>
      </c>
      <c r="B40" s="74"/>
      <c r="C40" s="35"/>
      <c r="D40" s="35">
        <f>SUM(D36:D39)</f>
        <v>4.768675</v>
      </c>
      <c r="E40" s="73"/>
      <c r="F40" s="35"/>
      <c r="G40" s="35">
        <f>SUM(G36:G39)</f>
        <v>4.768675</v>
      </c>
      <c r="H40" s="35">
        <f t="shared" si="2"/>
        <v>0</v>
      </c>
      <c r="I40" s="36">
        <f t="shared" si="10"/>
        <v>0</v>
      </c>
      <c r="J40" s="36">
        <f t="shared" si="11"/>
        <v>3.5849780328063942E-2</v>
      </c>
      <c r="K40" s="111">
        <f t="shared" si="12"/>
        <v>3.521666780282131E-2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125.4890465</v>
      </c>
      <c r="E42" s="38"/>
      <c r="F42" s="39"/>
      <c r="G42" s="39">
        <f>SUM(G14,G25,G26,G27,G33,G40,G41)</f>
        <v>126.68404650000001</v>
      </c>
      <c r="H42" s="39">
        <f t="shared" si="2"/>
        <v>1.1950000000000074</v>
      </c>
      <c r="I42" s="40">
        <f t="shared" si="10"/>
        <v>9.5227434850260612E-3</v>
      </c>
      <c r="J42" s="40">
        <f t="shared" si="11"/>
        <v>0.95238095238095244</v>
      </c>
      <c r="K42" s="41"/>
    </row>
    <row r="43" spans="1:11" x14ac:dyDescent="0.2">
      <c r="A43" s="153" t="s">
        <v>102</v>
      </c>
      <c r="B43" s="43"/>
      <c r="C43" s="26">
        <v>0.13</v>
      </c>
      <c r="D43" s="26">
        <f>D42*C43</f>
        <v>16.313576045000001</v>
      </c>
      <c r="E43" s="26"/>
      <c r="F43" s="26">
        <f>C43</f>
        <v>0.13</v>
      </c>
      <c r="G43" s="26">
        <f>G42*F43</f>
        <v>16.468926045</v>
      </c>
      <c r="H43" s="26">
        <f t="shared" si="2"/>
        <v>0.15534999999999854</v>
      </c>
      <c r="I43" s="44">
        <f t="shared" si="10"/>
        <v>9.522743485025912E-3</v>
      </c>
      <c r="J43" s="44">
        <f t="shared" si="11"/>
        <v>0.12380952380952381</v>
      </c>
      <c r="K43" s="45"/>
    </row>
    <row r="44" spans="1:11" s="1" customFormat="1" x14ac:dyDescent="0.2">
      <c r="A44" s="46" t="s">
        <v>103</v>
      </c>
      <c r="B44" s="24"/>
      <c r="C44" s="25"/>
      <c r="D44" s="25">
        <f>SUM(D42:D43)</f>
        <v>141.80262254499999</v>
      </c>
      <c r="E44" s="25"/>
      <c r="F44" s="25"/>
      <c r="G44" s="25">
        <f>SUM(G42:G43)</f>
        <v>143.15297254500001</v>
      </c>
      <c r="H44" s="25">
        <f t="shared" si="2"/>
        <v>1.3503500000000201</v>
      </c>
      <c r="I44" s="27">
        <f t="shared" si="10"/>
        <v>9.5227434850261444E-3</v>
      </c>
      <c r="J44" s="27">
        <f t="shared" si="11"/>
        <v>1.0761904761904764</v>
      </c>
      <c r="K44" s="47"/>
    </row>
    <row r="45" spans="1:11" x14ac:dyDescent="0.2">
      <c r="A45" s="42" t="s">
        <v>104</v>
      </c>
      <c r="B45" s="43"/>
      <c r="C45" s="26">
        <v>-0.08</v>
      </c>
      <c r="D45" s="26">
        <f>D42*C45</f>
        <v>-10.039123720000001</v>
      </c>
      <c r="E45" s="26"/>
      <c r="F45" s="26">
        <f>C45</f>
        <v>-0.08</v>
      </c>
      <c r="G45" s="26">
        <f>G42*F45</f>
        <v>-10.13472372</v>
      </c>
      <c r="H45" s="26">
        <f t="shared" si="2"/>
        <v>-9.5599999999999241E-2</v>
      </c>
      <c r="I45" s="44">
        <f t="shared" si="10"/>
        <v>-9.5227434850259259E-3</v>
      </c>
      <c r="J45" s="44">
        <f t="shared" si="11"/>
        <v>-7.6190476190476197E-2</v>
      </c>
      <c r="K45" s="45"/>
    </row>
    <row r="46" spans="1:11" s="1" customFormat="1" ht="13.5" thickBot="1" x14ac:dyDescent="0.25">
      <c r="A46" s="48" t="s">
        <v>105</v>
      </c>
      <c r="B46" s="49"/>
      <c r="C46" s="50"/>
      <c r="D46" s="50">
        <f>SUM(D44:D45)</f>
        <v>131.763498825</v>
      </c>
      <c r="E46" s="50"/>
      <c r="F46" s="50"/>
      <c r="G46" s="50">
        <f>SUM(G44:G45)</f>
        <v>133.018248825</v>
      </c>
      <c r="H46" s="50">
        <f t="shared" si="2"/>
        <v>1.2547500000000014</v>
      </c>
      <c r="I46" s="51">
        <f t="shared" si="10"/>
        <v>9.5227434850260126E-3</v>
      </c>
      <c r="J46" s="51">
        <f t="shared" si="11"/>
        <v>1</v>
      </c>
      <c r="K46" s="52"/>
    </row>
    <row r="47" spans="1:11" x14ac:dyDescent="0.2">
      <c r="A47" s="53" t="s">
        <v>106</v>
      </c>
      <c r="B47" s="54"/>
      <c r="C47" s="55"/>
      <c r="D47" s="55">
        <f>SUM(D18,D25,D26,D28,D33,D40,D41)</f>
        <v>127.76652650000003</v>
      </c>
      <c r="E47" s="55"/>
      <c r="F47" s="55"/>
      <c r="G47" s="55">
        <f>SUM(G18,G25,G26,G28,G33,G40,G41)</f>
        <v>128.96152650000002</v>
      </c>
      <c r="H47" s="55">
        <f>G47-D47</f>
        <v>1.1949999999999932</v>
      </c>
      <c r="I47" s="56">
        <f t="shared" si="10"/>
        <v>9.3529974770034385E-3</v>
      </c>
      <c r="J47" s="56"/>
      <c r="K47" s="57">
        <f>G47/$G$51</f>
        <v>0.95238095238095222</v>
      </c>
    </row>
    <row r="48" spans="1:11" x14ac:dyDescent="0.2">
      <c r="A48" s="154" t="s">
        <v>102</v>
      </c>
      <c r="B48" s="59"/>
      <c r="C48" s="31">
        <v>0.13</v>
      </c>
      <c r="D48" s="31">
        <f>D47*C48</f>
        <v>16.609648445000005</v>
      </c>
      <c r="E48" s="31"/>
      <c r="F48" s="31">
        <f>C48</f>
        <v>0.13</v>
      </c>
      <c r="G48" s="31">
        <f>G47*F48</f>
        <v>16.764998445000003</v>
      </c>
      <c r="H48" s="31">
        <f>G48-D48</f>
        <v>0.15534999999999854</v>
      </c>
      <c r="I48" s="32">
        <f t="shared" si="10"/>
        <v>9.3529974770034038E-3</v>
      </c>
      <c r="J48" s="32"/>
      <c r="K48" s="60">
        <f>G48/$G$51</f>
        <v>0.1238095238095238</v>
      </c>
    </row>
    <row r="49" spans="1:11" x14ac:dyDescent="0.2">
      <c r="A49" s="61" t="s">
        <v>107</v>
      </c>
      <c r="B49" s="29"/>
      <c r="C49" s="30"/>
      <c r="D49" s="30">
        <f>SUM(D47:D48)</f>
        <v>144.37617494500003</v>
      </c>
      <c r="E49" s="30"/>
      <c r="F49" s="30"/>
      <c r="G49" s="30">
        <f>SUM(G47:G48)</f>
        <v>145.72652494500002</v>
      </c>
      <c r="H49" s="30">
        <f>G49-D49</f>
        <v>1.3503499999999917</v>
      </c>
      <c r="I49" s="33">
        <f t="shared" si="10"/>
        <v>9.3529974770034351E-3</v>
      </c>
      <c r="J49" s="33"/>
      <c r="K49" s="62">
        <f>G49/$G$51</f>
        <v>1.0761904761904761</v>
      </c>
    </row>
    <row r="50" spans="1:11" x14ac:dyDescent="0.2">
      <c r="A50" s="58" t="s">
        <v>104</v>
      </c>
      <c r="B50" s="59"/>
      <c r="C50" s="31">
        <v>-0.08</v>
      </c>
      <c r="D50" s="31">
        <f>D47*C50</f>
        <v>-10.221322120000002</v>
      </c>
      <c r="E50" s="31"/>
      <c r="F50" s="31">
        <f>C50</f>
        <v>-0.08</v>
      </c>
      <c r="G50" s="31">
        <f>G47*F50</f>
        <v>-10.316922120000001</v>
      </c>
      <c r="H50" s="31">
        <f>G50-D50</f>
        <v>-9.5599999999999241E-2</v>
      </c>
      <c r="I50" s="32">
        <f t="shared" si="10"/>
        <v>-9.3529974770034177E-3</v>
      </c>
      <c r="J50" s="32"/>
      <c r="K50" s="60">
        <f>G50/$G$51</f>
        <v>-7.6190476190476183E-2</v>
      </c>
    </row>
    <row r="51" spans="1:11" ht="13.5" thickBot="1" x14ac:dyDescent="0.25">
      <c r="A51" s="63" t="s">
        <v>116</v>
      </c>
      <c r="B51" s="64"/>
      <c r="C51" s="65"/>
      <c r="D51" s="65">
        <f>SUM(D49:D50)</f>
        <v>134.15485282500003</v>
      </c>
      <c r="E51" s="65"/>
      <c r="F51" s="65"/>
      <c r="G51" s="65">
        <f>SUM(G49:G50)</f>
        <v>135.40960282500004</v>
      </c>
      <c r="H51" s="65">
        <f>G51-D51</f>
        <v>1.2547500000000014</v>
      </c>
      <c r="I51" s="66">
        <f t="shared" si="10"/>
        <v>9.352997477003501E-3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1" tint="0.499984740745262"/>
    <pageSetUpPr fitToPage="1"/>
  </sheetPr>
  <dimension ref="A1:J48"/>
  <sheetViews>
    <sheetView tabSelected="1" view="pageLayout" topLeftCell="A4"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121</v>
      </c>
      <c r="B1" s="186"/>
      <c r="C1" s="186"/>
      <c r="D1" s="186"/>
      <c r="E1" s="186"/>
      <c r="F1" s="186"/>
      <c r="G1" s="186"/>
      <c r="H1" s="186"/>
      <c r="I1" s="186"/>
      <c r="J1" s="187"/>
    </row>
    <row r="3" spans="1:10" x14ac:dyDescent="0.2">
      <c r="A3" s="13" t="s">
        <v>13</v>
      </c>
      <c r="B3" s="13" t="s">
        <v>12</v>
      </c>
    </row>
    <row r="4" spans="1:10" x14ac:dyDescent="0.2">
      <c r="A4" s="15" t="s">
        <v>62</v>
      </c>
      <c r="B4" s="15">
        <v>1000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1092</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28" si="1">G12/$G$37</f>
        <v>0.33864505923631472</v>
      </c>
    </row>
    <row r="13" spans="1:10" x14ac:dyDescent="0.2">
      <c r="A13" s="107" t="s">
        <v>32</v>
      </c>
      <c r="B13" s="73">
        <f>IF(B4&gt;B7,(B4)-B7,0)</f>
        <v>250</v>
      </c>
      <c r="C13" s="21">
        <v>0.106</v>
      </c>
      <c r="D13" s="22">
        <f>B13*C13</f>
        <v>26.5</v>
      </c>
      <c r="E13" s="73">
        <f t="shared" ref="E13" si="2">B13</f>
        <v>250</v>
      </c>
      <c r="F13" s="21">
        <f>C13</f>
        <v>0.106</v>
      </c>
      <c r="G13" s="22">
        <f>E13*F13</f>
        <v>26.5</v>
      </c>
      <c r="H13" s="22">
        <f t="shared" ref="H13:H37" si="3">G13-D13</f>
        <v>0</v>
      </c>
      <c r="I13" s="23">
        <f t="shared" si="0"/>
        <v>0</v>
      </c>
      <c r="J13" s="124">
        <f t="shared" si="1"/>
        <v>0.1314885577987156</v>
      </c>
    </row>
    <row r="14" spans="1:10" s="1" customFormat="1" x14ac:dyDescent="0.2">
      <c r="A14" s="46" t="s">
        <v>33</v>
      </c>
      <c r="B14" s="24"/>
      <c r="C14" s="25"/>
      <c r="D14" s="25">
        <f>SUM(D12:D13)</f>
        <v>94.75</v>
      </c>
      <c r="E14" s="76"/>
      <c r="F14" s="25"/>
      <c r="G14" s="25">
        <f>SUM(G12:G13)</f>
        <v>94.75</v>
      </c>
      <c r="H14" s="25">
        <f t="shared" si="3"/>
        <v>0</v>
      </c>
      <c r="I14" s="27">
        <f t="shared" si="0"/>
        <v>0</v>
      </c>
      <c r="J14" s="47">
        <f t="shared" si="1"/>
        <v>0.47013361703503032</v>
      </c>
    </row>
    <row r="15" spans="1:10" x14ac:dyDescent="0.2">
      <c r="A15" s="107" t="s">
        <v>38</v>
      </c>
      <c r="B15" s="73">
        <v>1</v>
      </c>
      <c r="C15" s="78">
        <f>VLOOKUP($B$3,'Data for Bill Impacts'!$A$6:$Y$18,7,0)</f>
        <v>34.76</v>
      </c>
      <c r="D15" s="22">
        <f>B15*C15</f>
        <v>34.76</v>
      </c>
      <c r="E15" s="73">
        <f t="shared" ref="E15:E32" si="4">B15</f>
        <v>1</v>
      </c>
      <c r="F15" s="78">
        <f>VLOOKUP($B$3,'Data for Bill Impacts'!$A$6:$Y$18,17,0)</f>
        <v>35.49</v>
      </c>
      <c r="G15" s="22">
        <f>E15*F15</f>
        <v>35.49</v>
      </c>
      <c r="H15" s="22">
        <f t="shared" si="3"/>
        <v>0.73000000000000398</v>
      </c>
      <c r="I15" s="23">
        <f t="shared" si="0"/>
        <v>2.1001150747986308E-2</v>
      </c>
      <c r="J15" s="124">
        <f t="shared" si="1"/>
        <v>0.17609543080288367</v>
      </c>
    </row>
    <row r="16" spans="1:10" x14ac:dyDescent="0.2">
      <c r="A16" s="107" t="s">
        <v>85</v>
      </c>
      <c r="B16" s="73">
        <v>1</v>
      </c>
      <c r="C16" s="121">
        <f>VLOOKUP($B$3,'Data for Bill Impacts'!$A$6:$Y$18,13,0)</f>
        <v>2E-3</v>
      </c>
      <c r="D16" s="22">
        <f t="shared" ref="D16" si="5">B16*C16</f>
        <v>2E-3</v>
      </c>
      <c r="E16" s="73">
        <f t="shared" si="4"/>
        <v>1</v>
      </c>
      <c r="F16" s="121">
        <f>VLOOKUP($B$3,'Data for Bill Impacts'!$A$6:$Y$18,22,0)</f>
        <v>2E-3</v>
      </c>
      <c r="G16" s="22">
        <f t="shared" ref="G16" si="6">E16*F16</f>
        <v>2E-3</v>
      </c>
      <c r="H16" s="22">
        <f t="shared" si="3"/>
        <v>0</v>
      </c>
      <c r="I16" s="23">
        <f t="shared" si="0"/>
        <v>0</v>
      </c>
      <c r="J16" s="124">
        <f t="shared" si="1"/>
        <v>9.9236647395257072E-6</v>
      </c>
    </row>
    <row r="17" spans="1:10" x14ac:dyDescent="0.2">
      <c r="A17" s="107" t="s">
        <v>39</v>
      </c>
      <c r="B17" s="73">
        <f>IF($B$9="kWh",$B$4,$B$5)</f>
        <v>1000</v>
      </c>
      <c r="C17" s="78">
        <f>VLOOKUP($B$3,'Data for Bill Impacts'!$A$6:$Y$18,10,0)</f>
        <v>2.8400000000000002E-2</v>
      </c>
      <c r="D17" s="22">
        <f>B17*C17</f>
        <v>28.400000000000002</v>
      </c>
      <c r="E17" s="73">
        <f t="shared" si="4"/>
        <v>1000</v>
      </c>
      <c r="F17" s="78">
        <f>VLOOKUP($B$3,'Data for Bill Impacts'!$A$6:$Y$18,19,0)</f>
        <v>2.9100000000000001E-2</v>
      </c>
      <c r="G17" s="22">
        <f>E17*F17</f>
        <v>29.1</v>
      </c>
      <c r="H17" s="22">
        <f t="shared" si="3"/>
        <v>0.69999999999999929</v>
      </c>
      <c r="I17" s="23">
        <f t="shared" si="0"/>
        <v>2.4647887323943636E-2</v>
      </c>
      <c r="J17" s="124">
        <f t="shared" si="1"/>
        <v>0.14438932196009904</v>
      </c>
    </row>
    <row r="18" spans="1:10" s="1" customFormat="1" x14ac:dyDescent="0.2">
      <c r="A18" s="107" t="s">
        <v>122</v>
      </c>
      <c r="B18" s="73">
        <f>IF($B$9="kWh",$B$4,$B$5)</f>
        <v>1000</v>
      </c>
      <c r="C18" s="125">
        <f>VLOOKUP($B$3,'Data for Bill Impacts'!$A$6:$Y$18,14,0)</f>
        <v>2.0000000000000002E-5</v>
      </c>
      <c r="D18" s="22">
        <f>B18*C18</f>
        <v>0.02</v>
      </c>
      <c r="E18" s="73">
        <f>B18</f>
        <v>1000</v>
      </c>
      <c r="F18" s="125">
        <f>VLOOKUP($B$3,'Data for Bill Impacts'!$A$6:$Y$18,23,0)</f>
        <v>2.0000000000000002E-5</v>
      </c>
      <c r="G18" s="22">
        <f>E18*F18</f>
        <v>0.02</v>
      </c>
      <c r="H18" s="22">
        <f>G18-D18</f>
        <v>0</v>
      </c>
      <c r="I18" s="23">
        <f t="shared" si="0"/>
        <v>0</v>
      </c>
      <c r="J18" s="124">
        <f t="shared" si="1"/>
        <v>9.9236647395257069E-5</v>
      </c>
    </row>
    <row r="19" spans="1:10" hidden="1" x14ac:dyDescent="0.2">
      <c r="A19" s="107" t="s">
        <v>108</v>
      </c>
      <c r="B19" s="73">
        <f>B8</f>
        <v>1092</v>
      </c>
      <c r="C19" s="78">
        <v>0</v>
      </c>
      <c r="D19" s="22">
        <f>B19*C19</f>
        <v>0</v>
      </c>
      <c r="E19" s="73">
        <f t="shared" si="4"/>
        <v>1092</v>
      </c>
      <c r="F19" s="78">
        <v>0</v>
      </c>
      <c r="G19" s="22">
        <f>E19*F19</f>
        <v>0</v>
      </c>
      <c r="H19" s="22">
        <f t="shared" si="3"/>
        <v>0</v>
      </c>
      <c r="I19" s="23" t="str">
        <f>IF(ISERROR(H19/ABS(D19)),"N/A",(H19/ABS(D19)))</f>
        <v>N/A</v>
      </c>
      <c r="J19" s="124">
        <f t="shared" si="1"/>
        <v>0</v>
      </c>
    </row>
    <row r="20" spans="1:10" x14ac:dyDescent="0.2">
      <c r="A20" s="110" t="s">
        <v>72</v>
      </c>
      <c r="B20" s="74"/>
      <c r="C20" s="35"/>
      <c r="D20" s="35">
        <f>SUM(D15:D19)</f>
        <v>63.182000000000009</v>
      </c>
      <c r="E20" s="73"/>
      <c r="F20" s="35"/>
      <c r="G20" s="35">
        <f>SUM(G15:G19)</f>
        <v>64.612000000000009</v>
      </c>
      <c r="H20" s="35">
        <f t="shared" si="3"/>
        <v>1.4299999999999997</v>
      </c>
      <c r="I20" s="36">
        <f t="shared" ref="I20" si="7">IF(ISERROR(H20/D20),0,(H20/D20))</f>
        <v>2.2633028394162886E-2</v>
      </c>
      <c r="J20" s="111">
        <f t="shared" si="1"/>
        <v>0.32059391307511753</v>
      </c>
    </row>
    <row r="21" spans="1:10" s="1" customFormat="1" x14ac:dyDescent="0.2">
      <c r="A21" s="119" t="s">
        <v>81</v>
      </c>
      <c r="B21" s="120">
        <f>B8-B4</f>
        <v>92</v>
      </c>
      <c r="C21" s="170">
        <f>IF(B4&gt;B7,C13,C12)</f>
        <v>0.106</v>
      </c>
      <c r="D21" s="22">
        <f>B21*C21</f>
        <v>9.7519999999999989</v>
      </c>
      <c r="E21" s="73">
        <f>B21</f>
        <v>92</v>
      </c>
      <c r="F21" s="170">
        <f>C21</f>
        <v>0.106</v>
      </c>
      <c r="G21" s="22">
        <f>E21*F21</f>
        <v>9.7519999999999989</v>
      </c>
      <c r="H21" s="22">
        <f t="shared" si="3"/>
        <v>0</v>
      </c>
      <c r="I21" s="23">
        <f>IF(ISERROR(H21/D21),0,(H21/D21))</f>
        <v>0</v>
      </c>
      <c r="J21" s="124">
        <f t="shared" si="1"/>
        <v>4.8387789269927338E-2</v>
      </c>
    </row>
    <row r="22" spans="1:10" x14ac:dyDescent="0.2">
      <c r="A22" s="110" t="s">
        <v>79</v>
      </c>
      <c r="B22" s="74"/>
      <c r="C22" s="35"/>
      <c r="D22" s="35">
        <f>SUM(D20,D21:D21)</f>
        <v>72.934000000000012</v>
      </c>
      <c r="E22" s="73"/>
      <c r="F22" s="35"/>
      <c r="G22" s="35">
        <f>SUM(G20,G21:G21)</f>
        <v>74.364000000000004</v>
      </c>
      <c r="H22" s="35">
        <f t="shared" si="3"/>
        <v>1.4299999999999926</v>
      </c>
      <c r="I22" s="36">
        <f t="shared" ref="I22:I37" si="8">IF(ISERROR(H22/ABS(D22)),"N/A",(H22/ABS(D22)))</f>
        <v>1.9606767762634605E-2</v>
      </c>
      <c r="J22" s="111">
        <f t="shared" si="1"/>
        <v>0.36898170234504485</v>
      </c>
    </row>
    <row r="23" spans="1:10" x14ac:dyDescent="0.2">
      <c r="A23" s="107" t="s">
        <v>40</v>
      </c>
      <c r="B23" s="73">
        <f>B8</f>
        <v>1092</v>
      </c>
      <c r="C23" s="78">
        <f>VLOOKUP($B$3,'Data for Bill Impacts'!$A$6:$Y$18,15,0)</f>
        <v>4.7699999999999999E-3</v>
      </c>
      <c r="D23" s="22">
        <f>B23*C23</f>
        <v>5.2088400000000004</v>
      </c>
      <c r="E23" s="73">
        <f t="shared" si="4"/>
        <v>1092</v>
      </c>
      <c r="F23" s="125">
        <f>VLOOKUP($B$3,'Data for Bill Impacts'!$A$6:$Y$18,24,0)</f>
        <v>4.7699999999999999E-3</v>
      </c>
      <c r="G23" s="22">
        <f>E23*F23</f>
        <v>5.2088400000000004</v>
      </c>
      <c r="H23" s="22">
        <f t="shared" si="3"/>
        <v>0</v>
      </c>
      <c r="I23" s="23">
        <f t="shared" si="8"/>
        <v>0</v>
      </c>
      <c r="J23" s="124">
        <f t="shared" si="1"/>
        <v>2.5845390920915541E-2</v>
      </c>
    </row>
    <row r="24" spans="1:10" s="1" customFormat="1" x14ac:dyDescent="0.2">
      <c r="A24" s="107" t="s">
        <v>41</v>
      </c>
      <c r="B24" s="73">
        <f>B8</f>
        <v>1092</v>
      </c>
      <c r="C24" s="78">
        <f>VLOOKUP($B$3,'Data for Bill Impacts'!$A$6:$Y$18,16,0)</f>
        <v>3.7950000000000002E-3</v>
      </c>
      <c r="D24" s="22">
        <f>B24*C24</f>
        <v>4.1441400000000002</v>
      </c>
      <c r="E24" s="73">
        <f t="shared" si="4"/>
        <v>1092</v>
      </c>
      <c r="F24" s="125">
        <f>VLOOKUP($B$3,'Data for Bill Impacts'!$A$6:$Y$18,25,0)</f>
        <v>3.7950000000000002E-3</v>
      </c>
      <c r="G24" s="22">
        <f>E24*F24</f>
        <v>4.1441400000000002</v>
      </c>
      <c r="H24" s="22">
        <f t="shared" si="3"/>
        <v>0</v>
      </c>
      <c r="I24" s="23">
        <f t="shared" si="8"/>
        <v>0</v>
      </c>
      <c r="J24" s="124">
        <f t="shared" si="1"/>
        <v>2.056252799682903E-2</v>
      </c>
    </row>
    <row r="25" spans="1:10" s="1" customFormat="1" x14ac:dyDescent="0.2">
      <c r="A25" s="110" t="s">
        <v>76</v>
      </c>
      <c r="B25" s="74"/>
      <c r="C25" s="35"/>
      <c r="D25" s="35">
        <f>SUM(D23:D24)</f>
        <v>9.3529800000000005</v>
      </c>
      <c r="E25" s="73"/>
      <c r="F25" s="35"/>
      <c r="G25" s="35">
        <f>SUM(G23:G24)</f>
        <v>9.3529800000000005</v>
      </c>
      <c r="H25" s="35">
        <f t="shared" si="3"/>
        <v>0</v>
      </c>
      <c r="I25" s="36">
        <f t="shared" si="8"/>
        <v>0</v>
      </c>
      <c r="J25" s="111">
        <f t="shared" si="1"/>
        <v>4.6407918917744574E-2</v>
      </c>
    </row>
    <row r="26" spans="1:10" s="1" customFormat="1" x14ac:dyDescent="0.2">
      <c r="A26" s="110" t="s">
        <v>80</v>
      </c>
      <c r="B26" s="74"/>
      <c r="C26" s="35"/>
      <c r="D26" s="35">
        <f>D22+D25</f>
        <v>82.286980000000014</v>
      </c>
      <c r="E26" s="73"/>
      <c r="F26" s="35"/>
      <c r="G26" s="35">
        <f>G22+G25</f>
        <v>83.716980000000007</v>
      </c>
      <c r="H26" s="35">
        <f t="shared" si="3"/>
        <v>1.4299999999999926</v>
      </c>
      <c r="I26" s="36">
        <f t="shared" si="8"/>
        <v>1.7378204911639633E-2</v>
      </c>
      <c r="J26" s="111">
        <f t="shared" si="1"/>
        <v>0.41538962126278944</v>
      </c>
    </row>
    <row r="27" spans="1:10" x14ac:dyDescent="0.2">
      <c r="A27" s="107" t="s">
        <v>42</v>
      </c>
      <c r="B27" s="73">
        <f>B8</f>
        <v>1092</v>
      </c>
      <c r="C27" s="34">
        <v>3.5999999999999999E-3</v>
      </c>
      <c r="D27" s="22">
        <f>B27*C27</f>
        <v>3.9312</v>
      </c>
      <c r="E27" s="73">
        <f t="shared" si="4"/>
        <v>1092</v>
      </c>
      <c r="F27" s="34">
        <v>3.5999999999999999E-3</v>
      </c>
      <c r="G27" s="22">
        <f>E27*F27</f>
        <v>3.9312</v>
      </c>
      <c r="H27" s="22">
        <f t="shared" si="3"/>
        <v>0</v>
      </c>
      <c r="I27" s="23">
        <f t="shared" si="8"/>
        <v>0</v>
      </c>
      <c r="J27" s="124">
        <f t="shared" si="1"/>
        <v>1.9505955412011729E-2</v>
      </c>
    </row>
    <row r="28" spans="1:10" s="1" customFormat="1" x14ac:dyDescent="0.2">
      <c r="A28" s="107" t="s">
        <v>43</v>
      </c>
      <c r="B28" s="73">
        <f>B8</f>
        <v>1092</v>
      </c>
      <c r="C28" s="34">
        <v>2.0999999999999999E-3</v>
      </c>
      <c r="D28" s="22">
        <f>B28*C28</f>
        <v>2.2931999999999997</v>
      </c>
      <c r="E28" s="73">
        <f t="shared" si="4"/>
        <v>1092</v>
      </c>
      <c r="F28" s="34">
        <v>2.0999999999999999E-3</v>
      </c>
      <c r="G28" s="22">
        <f>E28*F28</f>
        <v>2.2931999999999997</v>
      </c>
      <c r="H28" s="22">
        <f>G28-D28</f>
        <v>0</v>
      </c>
      <c r="I28" s="23">
        <f t="shared" si="8"/>
        <v>0</v>
      </c>
      <c r="J28" s="124">
        <f t="shared" si="1"/>
        <v>1.1378473990340173E-2</v>
      </c>
    </row>
    <row r="29" spans="1:10" s="1" customFormat="1" x14ac:dyDescent="0.2">
      <c r="A29" s="107" t="s">
        <v>96</v>
      </c>
      <c r="B29" s="73">
        <f>B8</f>
        <v>1092</v>
      </c>
      <c r="C29" s="34">
        <v>0</v>
      </c>
      <c r="D29" s="22">
        <f>B29*C29</f>
        <v>0</v>
      </c>
      <c r="E29" s="73">
        <f t="shared" si="4"/>
        <v>1092</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1.2404580924407133E-3</v>
      </c>
    </row>
    <row r="31" spans="1:10" s="1" customFormat="1" x14ac:dyDescent="0.2">
      <c r="A31" s="110" t="s">
        <v>45</v>
      </c>
      <c r="B31" s="74"/>
      <c r="C31" s="35"/>
      <c r="D31" s="35">
        <f>SUM(D27:D30)</f>
        <v>6.4743999999999993</v>
      </c>
      <c r="E31" s="73"/>
      <c r="F31" s="35"/>
      <c r="G31" s="35">
        <f>SUM(G27:G30)</f>
        <v>6.4743999999999993</v>
      </c>
      <c r="H31" s="35">
        <f t="shared" si="3"/>
        <v>0</v>
      </c>
      <c r="I31" s="36">
        <f t="shared" si="8"/>
        <v>0</v>
      </c>
      <c r="J31" s="111">
        <f t="shared" si="10"/>
        <v>3.2124887494792614E-2</v>
      </c>
    </row>
    <row r="32" spans="1:10" ht="13.5" thickBot="1" x14ac:dyDescent="0.25">
      <c r="A32" s="112" t="s">
        <v>46</v>
      </c>
      <c r="B32" s="113">
        <f>B4</f>
        <v>1000</v>
      </c>
      <c r="C32" s="114">
        <v>7.0000000000000001E-3</v>
      </c>
      <c r="D32" s="115">
        <f>B32*C32</f>
        <v>7</v>
      </c>
      <c r="E32" s="116">
        <f t="shared" si="4"/>
        <v>1000</v>
      </c>
      <c r="F32" s="114">
        <f>C32</f>
        <v>7.0000000000000001E-3</v>
      </c>
      <c r="G32" s="115">
        <f>E32*F32</f>
        <v>7</v>
      </c>
      <c r="H32" s="115">
        <f t="shared" si="3"/>
        <v>0</v>
      </c>
      <c r="I32" s="117">
        <f t="shared" si="8"/>
        <v>0</v>
      </c>
      <c r="J32" s="118">
        <f t="shared" si="10"/>
        <v>3.4732826588339975E-2</v>
      </c>
    </row>
    <row r="33" spans="1:10" x14ac:dyDescent="0.2">
      <c r="A33" s="37" t="s">
        <v>111</v>
      </c>
      <c r="B33" s="38"/>
      <c r="C33" s="39"/>
      <c r="D33" s="39">
        <f>SUM(D14,D22,D25,D31,D32)</f>
        <v>190.51138000000003</v>
      </c>
      <c r="E33" s="38"/>
      <c r="F33" s="39"/>
      <c r="G33" s="39">
        <f>SUM(G14,G22,G25,G31,G32)</f>
        <v>191.94138000000001</v>
      </c>
      <c r="H33" s="39">
        <f t="shared" si="3"/>
        <v>1.4299999999999784</v>
      </c>
      <c r="I33" s="40">
        <f t="shared" si="8"/>
        <v>7.5061132831013991E-3</v>
      </c>
      <c r="J33" s="41">
        <f t="shared" si="10"/>
        <v>0.95238095238095233</v>
      </c>
    </row>
    <row r="34" spans="1:10" x14ac:dyDescent="0.2">
      <c r="A34" s="46" t="s">
        <v>102</v>
      </c>
      <c r="B34" s="43"/>
      <c r="C34" s="26">
        <v>0.13</v>
      </c>
      <c r="D34" s="26">
        <f>D33*C34</f>
        <v>24.766479400000005</v>
      </c>
      <c r="E34" s="26"/>
      <c r="F34" s="26">
        <f>C34</f>
        <v>0.13</v>
      </c>
      <c r="G34" s="26">
        <f>G33*F34</f>
        <v>24.952379400000002</v>
      </c>
      <c r="H34" s="26">
        <f t="shared" si="3"/>
        <v>0.18589999999999662</v>
      </c>
      <c r="I34" s="44">
        <f t="shared" si="8"/>
        <v>7.5061132831013757E-3</v>
      </c>
      <c r="J34" s="45">
        <f t="shared" si="10"/>
        <v>0.12380952380952381</v>
      </c>
    </row>
    <row r="35" spans="1:10" x14ac:dyDescent="0.2">
      <c r="A35" s="46" t="s">
        <v>103</v>
      </c>
      <c r="B35" s="24"/>
      <c r="C35" s="25"/>
      <c r="D35" s="25">
        <f>SUM(D33:D34)</f>
        <v>215.27785940000004</v>
      </c>
      <c r="E35" s="25"/>
      <c r="F35" s="25"/>
      <c r="G35" s="25">
        <f>SUM(G33:G34)</f>
        <v>216.89375940000002</v>
      </c>
      <c r="H35" s="25">
        <f t="shared" si="3"/>
        <v>1.6158999999999821</v>
      </c>
      <c r="I35" s="27">
        <f t="shared" si="8"/>
        <v>7.5061132831014286E-3</v>
      </c>
      <c r="J35" s="47">
        <f t="shared" si="10"/>
        <v>1.0761904761904761</v>
      </c>
    </row>
    <row r="36" spans="1:10" x14ac:dyDescent="0.2">
      <c r="A36" s="46" t="s">
        <v>104</v>
      </c>
      <c r="B36" s="43"/>
      <c r="C36" s="26">
        <v>-0.08</v>
      </c>
      <c r="D36" s="26">
        <f>D33*C36</f>
        <v>-15.240910400000002</v>
      </c>
      <c r="E36" s="26"/>
      <c r="F36" s="26">
        <f>C36</f>
        <v>-0.08</v>
      </c>
      <c r="G36" s="26">
        <f>G33*F36</f>
        <v>-15.3553104</v>
      </c>
      <c r="H36" s="26">
        <f t="shared" si="3"/>
        <v>-0.11439999999999806</v>
      </c>
      <c r="I36" s="44">
        <f t="shared" si="8"/>
        <v>-7.5061132831013852E-3</v>
      </c>
      <c r="J36" s="45">
        <f t="shared" si="10"/>
        <v>-7.6190476190476183E-2</v>
      </c>
    </row>
    <row r="37" spans="1:10" ht="13.5" thickBot="1" x14ac:dyDescent="0.25">
      <c r="A37" s="46" t="s">
        <v>105</v>
      </c>
      <c r="B37" s="49"/>
      <c r="C37" s="50"/>
      <c r="D37" s="50">
        <f>SUM(D35:D36)</f>
        <v>200.03694900000005</v>
      </c>
      <c r="E37" s="50"/>
      <c r="F37" s="50"/>
      <c r="G37" s="50">
        <f>SUM(G35:G36)</f>
        <v>201.53844900000001</v>
      </c>
      <c r="H37" s="50">
        <f t="shared" si="3"/>
        <v>1.5014999999999645</v>
      </c>
      <c r="I37" s="51">
        <f t="shared" si="8"/>
        <v>7.5061132831013341E-3</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4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118</v>
      </c>
      <c r="B1" s="186"/>
      <c r="C1" s="186"/>
      <c r="D1" s="186"/>
      <c r="E1" s="186"/>
      <c r="F1" s="186"/>
      <c r="G1" s="186"/>
      <c r="H1" s="186"/>
      <c r="I1" s="186"/>
      <c r="J1" s="187"/>
    </row>
    <row r="3" spans="1:10" x14ac:dyDescent="0.2">
      <c r="A3" s="13" t="s">
        <v>13</v>
      </c>
      <c r="B3" s="13" t="s">
        <v>9</v>
      </c>
    </row>
    <row r="4" spans="1:10" x14ac:dyDescent="0.2">
      <c r="A4" s="15" t="s">
        <v>62</v>
      </c>
      <c r="B4" s="15">
        <v>20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21.840000000000003</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v>
      </c>
      <c r="C12" s="103">
        <v>9.0999999999999998E-2</v>
      </c>
      <c r="D12" s="104">
        <f>B12*C12</f>
        <v>1.8199999999999998</v>
      </c>
      <c r="E12" s="102">
        <f>B12</f>
        <v>20</v>
      </c>
      <c r="F12" s="103">
        <f>C12</f>
        <v>9.0999999999999998E-2</v>
      </c>
      <c r="G12" s="104">
        <f>E12*F12</f>
        <v>1.8199999999999998</v>
      </c>
      <c r="H12" s="104">
        <f>G12-D12</f>
        <v>0</v>
      </c>
      <c r="I12" s="105">
        <f t="shared" ref="I12:I18" si="0">IF(ISERROR(H12/ABS(D12)),"N/A",(H12/ABS(D12)))</f>
        <v>0</v>
      </c>
      <c r="J12" s="123">
        <f t="shared" ref="J12:J28" si="1">G12/$G$37</f>
        <v>0.20073284659385637</v>
      </c>
    </row>
    <row r="13" spans="1:10" x14ac:dyDescent="0.2">
      <c r="A13" s="107" t="s">
        <v>32</v>
      </c>
      <c r="B13" s="73">
        <f>IF(B4&gt;B7,(B4)-B7,0)</f>
        <v>0</v>
      </c>
      <c r="C13" s="21">
        <v>0.106</v>
      </c>
      <c r="D13" s="22">
        <f>B13*C13</f>
        <v>0</v>
      </c>
      <c r="E13" s="73">
        <f t="shared" ref="E13" si="2">B13</f>
        <v>0</v>
      </c>
      <c r="F13" s="21">
        <f>C13</f>
        <v>0.106</v>
      </c>
      <c r="G13" s="22">
        <f>E13*F13</f>
        <v>0</v>
      </c>
      <c r="H13" s="22">
        <f t="shared" ref="H13:H37" si="3">G13-D13</f>
        <v>0</v>
      </c>
      <c r="I13" s="23" t="str">
        <f t="shared" si="0"/>
        <v>N/A</v>
      </c>
      <c r="J13" s="124">
        <f t="shared" si="1"/>
        <v>0</v>
      </c>
    </row>
    <row r="14" spans="1:10" s="1" customFormat="1" x14ac:dyDescent="0.2">
      <c r="A14" s="46" t="s">
        <v>33</v>
      </c>
      <c r="B14" s="24"/>
      <c r="C14" s="25"/>
      <c r="D14" s="25">
        <f>SUM(D12:D13)</f>
        <v>1.8199999999999998</v>
      </c>
      <c r="E14" s="76"/>
      <c r="F14" s="25"/>
      <c r="G14" s="25">
        <f>SUM(G12:G13)</f>
        <v>1.8199999999999998</v>
      </c>
      <c r="H14" s="25">
        <f t="shared" si="3"/>
        <v>0</v>
      </c>
      <c r="I14" s="27">
        <f t="shared" si="0"/>
        <v>0</v>
      </c>
      <c r="J14" s="47">
        <f t="shared" si="1"/>
        <v>0.20073284659385637</v>
      </c>
    </row>
    <row r="15" spans="1:10" x14ac:dyDescent="0.2">
      <c r="A15" s="107" t="s">
        <v>38</v>
      </c>
      <c r="B15" s="73">
        <v>1</v>
      </c>
      <c r="C15" s="121">
        <f>VLOOKUP($B$3,'Data for Bill Impacts'!$A$6:$Y$18,7,0)</f>
        <v>3.15</v>
      </c>
      <c r="D15" s="22">
        <f>B15*C15</f>
        <v>3.15</v>
      </c>
      <c r="E15" s="73">
        <f t="shared" ref="E15:E32" si="4">B15</f>
        <v>1</v>
      </c>
      <c r="F15" s="78">
        <f>VLOOKUP($B$3,'Data for Bill Impacts'!$A$6:$Y$18,17,0)</f>
        <v>3.37</v>
      </c>
      <c r="G15" s="22">
        <f>E15*F15</f>
        <v>3.37</v>
      </c>
      <c r="H15" s="22">
        <f t="shared" si="3"/>
        <v>0.2200000000000002</v>
      </c>
      <c r="I15" s="23">
        <f t="shared" si="0"/>
        <v>6.9841269841269898E-2</v>
      </c>
      <c r="J15" s="124">
        <f t="shared" si="1"/>
        <v>0.37168664451719563</v>
      </c>
    </row>
    <row r="16" spans="1:10" x14ac:dyDescent="0.2">
      <c r="A16" s="107" t="s">
        <v>85</v>
      </c>
      <c r="B16" s="73">
        <v>1</v>
      </c>
      <c r="C16" s="121">
        <f>VLOOKUP($B$3,'Data for Bill Impacts'!$A$6:$Y$18,13,0)</f>
        <v>6.0000000000000001E-3</v>
      </c>
      <c r="D16" s="22">
        <f t="shared" ref="D16" si="5">B16*C16</f>
        <v>6.0000000000000001E-3</v>
      </c>
      <c r="E16" s="73">
        <f t="shared" si="4"/>
        <v>1</v>
      </c>
      <c r="F16" s="121">
        <f>VLOOKUP($B$3,'Data for Bill Impacts'!$A$6:$Y$18,22,0)</f>
        <v>6.0000000000000001E-3</v>
      </c>
      <c r="G16" s="22">
        <f t="shared" ref="G16" si="6">E16*F16</f>
        <v>6.0000000000000001E-3</v>
      </c>
      <c r="H16" s="22">
        <f t="shared" si="3"/>
        <v>0</v>
      </c>
      <c r="I16" s="23">
        <f t="shared" si="0"/>
        <v>0</v>
      </c>
      <c r="J16" s="124">
        <f t="shared" si="1"/>
        <v>6.6175663712260348E-4</v>
      </c>
    </row>
    <row r="17" spans="1:10" x14ac:dyDescent="0.2">
      <c r="A17" s="107" t="s">
        <v>39</v>
      </c>
      <c r="B17" s="73">
        <f>IF($B$9="kWh",$B$4,$B$5)</f>
        <v>20</v>
      </c>
      <c r="C17" s="125">
        <f>VLOOKUP($B$3,'Data for Bill Impacts'!$A$6:$Y$18,10,0)</f>
        <v>0.11990000000000001</v>
      </c>
      <c r="D17" s="22">
        <f>B17*C17</f>
        <v>2.3980000000000001</v>
      </c>
      <c r="E17" s="73">
        <f t="shared" si="4"/>
        <v>20</v>
      </c>
      <c r="F17" s="125">
        <f>VLOOKUP($B$3,'Data for Bill Impacts'!$A$6:$Y$18,19,0)</f>
        <v>0.12809999999999999</v>
      </c>
      <c r="G17" s="22">
        <f>E17*F17</f>
        <v>2.5619999999999998</v>
      </c>
      <c r="H17" s="22">
        <f t="shared" si="3"/>
        <v>0.1639999999999997</v>
      </c>
      <c r="I17" s="23">
        <f t="shared" si="0"/>
        <v>6.8390325271059094E-2</v>
      </c>
      <c r="J17" s="124">
        <f t="shared" si="1"/>
        <v>0.28257008405135164</v>
      </c>
    </row>
    <row r="18" spans="1:10" s="1" customFormat="1" x14ac:dyDescent="0.2">
      <c r="A18" s="107" t="s">
        <v>122</v>
      </c>
      <c r="B18" s="73">
        <f>IF($B$9="kWh",$B$4,$B$5)</f>
        <v>20</v>
      </c>
      <c r="C18" s="125">
        <f>VLOOKUP($B$3,'Data for Bill Impacts'!$A$6:$Y$18,14,0)</f>
        <v>-6.0000000000000002E-5</v>
      </c>
      <c r="D18" s="22">
        <f>B18*C18</f>
        <v>-1.2000000000000001E-3</v>
      </c>
      <c r="E18" s="73">
        <f>B18</f>
        <v>20</v>
      </c>
      <c r="F18" s="125">
        <f>VLOOKUP($B$3,'Data for Bill Impacts'!$A$6:$Y$18,23,0)</f>
        <v>-6.0000000000000002E-5</v>
      </c>
      <c r="G18" s="22">
        <f>E18*F18</f>
        <v>-1.2000000000000001E-3</v>
      </c>
      <c r="H18" s="22">
        <f>G18-D18</f>
        <v>0</v>
      </c>
      <c r="I18" s="23">
        <f t="shared" si="0"/>
        <v>0</v>
      </c>
      <c r="J18" s="124">
        <f t="shared" si="1"/>
        <v>-1.3235132742452072E-4</v>
      </c>
    </row>
    <row r="19" spans="1:10" hidden="1" x14ac:dyDescent="0.2">
      <c r="A19" s="107" t="s">
        <v>108</v>
      </c>
      <c r="B19" s="73">
        <f>B8</f>
        <v>21.840000000000003</v>
      </c>
      <c r="C19" s="78">
        <v>0</v>
      </c>
      <c r="D19" s="22">
        <f>B19*C19</f>
        <v>0</v>
      </c>
      <c r="E19" s="73">
        <f t="shared" si="4"/>
        <v>21.840000000000003</v>
      </c>
      <c r="F19" s="78">
        <v>0</v>
      </c>
      <c r="G19" s="22">
        <f>E19*F19</f>
        <v>0</v>
      </c>
      <c r="H19" s="22">
        <f t="shared" si="3"/>
        <v>0</v>
      </c>
      <c r="I19" s="23" t="str">
        <f>IF(ISERROR(H19/ABS(D19)),"N/A",(H19/ABS(D19)))</f>
        <v>N/A</v>
      </c>
      <c r="J19" s="124">
        <f t="shared" si="1"/>
        <v>0</v>
      </c>
    </row>
    <row r="20" spans="1:10" x14ac:dyDescent="0.2">
      <c r="A20" s="110" t="s">
        <v>72</v>
      </c>
      <c r="B20" s="74"/>
      <c r="C20" s="35"/>
      <c r="D20" s="35">
        <f>SUM(D15:D19)</f>
        <v>5.5528000000000004</v>
      </c>
      <c r="E20" s="73"/>
      <c r="F20" s="35"/>
      <c r="G20" s="35">
        <f>SUM(G15:G19)</f>
        <v>5.9367999999999999</v>
      </c>
      <c r="H20" s="35">
        <f t="shared" si="3"/>
        <v>0.38399999999999945</v>
      </c>
      <c r="I20" s="36">
        <f t="shared" ref="I20" si="7">IF(ISERROR(H20/D20),0,(H20/D20))</f>
        <v>6.9154300533064303E-2</v>
      </c>
      <c r="J20" s="111">
        <f t="shared" si="1"/>
        <v>0.65478613387824536</v>
      </c>
    </row>
    <row r="21" spans="1:10" s="1" customFormat="1" x14ac:dyDescent="0.2">
      <c r="A21" s="119" t="s">
        <v>81</v>
      </c>
      <c r="B21" s="120">
        <f>B8-B4</f>
        <v>1.8400000000000034</v>
      </c>
      <c r="C21" s="170">
        <f>IF(B4&gt;B7,C13,C12)</f>
        <v>9.0999999999999998E-2</v>
      </c>
      <c r="D21" s="22">
        <f>B21*C21</f>
        <v>0.16744000000000031</v>
      </c>
      <c r="E21" s="73">
        <f>B21</f>
        <v>1.8400000000000034</v>
      </c>
      <c r="F21" s="170">
        <f>C21</f>
        <v>9.0999999999999998E-2</v>
      </c>
      <c r="G21" s="22">
        <f>E21*F21</f>
        <v>0.16744000000000031</v>
      </c>
      <c r="H21" s="22">
        <f t="shared" si="3"/>
        <v>0</v>
      </c>
      <c r="I21" s="23">
        <f>IF(ISERROR(H21/D21),0,(H21/D21))</f>
        <v>0</v>
      </c>
      <c r="J21" s="124">
        <f t="shared" si="1"/>
        <v>1.8467421886634822E-2</v>
      </c>
    </row>
    <row r="22" spans="1:10" x14ac:dyDescent="0.2">
      <c r="A22" s="110" t="s">
        <v>79</v>
      </c>
      <c r="B22" s="74"/>
      <c r="C22" s="35"/>
      <c r="D22" s="35">
        <f>SUM(D20,D21:D21)</f>
        <v>5.7202400000000004</v>
      </c>
      <c r="E22" s="73"/>
      <c r="F22" s="35"/>
      <c r="G22" s="35">
        <f>SUM(G20,G21:G21)</f>
        <v>6.1042399999999999</v>
      </c>
      <c r="H22" s="35">
        <f t="shared" si="3"/>
        <v>0.38399999999999945</v>
      </c>
      <c r="I22" s="36">
        <f t="shared" ref="I22:I37" si="8">IF(ISERROR(H22/ABS(D22)),"N/A",(H22/ABS(D22)))</f>
        <v>6.713005048739204E-2</v>
      </c>
      <c r="J22" s="111">
        <f t="shared" si="1"/>
        <v>0.67325355576488022</v>
      </c>
    </row>
    <row r="23" spans="1:10" x14ac:dyDescent="0.2">
      <c r="A23" s="107" t="s">
        <v>40</v>
      </c>
      <c r="B23" s="73">
        <f>B8</f>
        <v>21.840000000000003</v>
      </c>
      <c r="C23" s="125">
        <f>VLOOKUP($B$3,'Data for Bill Impacts'!$A$6:$Y$18,15,0)</f>
        <v>4.6979999999999999E-3</v>
      </c>
      <c r="D23" s="22">
        <f>B23*C23</f>
        <v>0.10260432000000001</v>
      </c>
      <c r="E23" s="73">
        <f t="shared" si="4"/>
        <v>21.840000000000003</v>
      </c>
      <c r="F23" s="125">
        <f>VLOOKUP($B$3,'Data for Bill Impacts'!$A$6:$Y$18,24,0)</f>
        <v>4.6979999999999999E-3</v>
      </c>
      <c r="G23" s="22">
        <f>E23*F23</f>
        <v>0.10260432000000001</v>
      </c>
      <c r="H23" s="22">
        <f t="shared" si="3"/>
        <v>0</v>
      </c>
      <c r="I23" s="23">
        <f t="shared" si="8"/>
        <v>0</v>
      </c>
      <c r="J23" s="124">
        <f t="shared" si="1"/>
        <v>1.1316514959575249E-2</v>
      </c>
    </row>
    <row r="24" spans="1:10" s="1" customFormat="1" x14ac:dyDescent="0.2">
      <c r="A24" s="107" t="s">
        <v>41</v>
      </c>
      <c r="B24" s="73">
        <f>B8</f>
        <v>21.840000000000003</v>
      </c>
      <c r="C24" s="125">
        <f>VLOOKUP($B$3,'Data for Bill Impacts'!$A$6:$Y$18,16,0)</f>
        <v>4.2899999999999995E-3</v>
      </c>
      <c r="D24" s="22">
        <f>B24*C24</f>
        <v>9.3693600000000002E-2</v>
      </c>
      <c r="E24" s="73">
        <f t="shared" si="4"/>
        <v>21.840000000000003</v>
      </c>
      <c r="F24" s="125">
        <f>VLOOKUP($B$3,'Data for Bill Impacts'!$A$6:$Y$18,25,0)</f>
        <v>4.2899999999999995E-3</v>
      </c>
      <c r="G24" s="22">
        <f>E24*F24</f>
        <v>9.3693600000000002E-2</v>
      </c>
      <c r="H24" s="22">
        <f t="shared" si="3"/>
        <v>0</v>
      </c>
      <c r="I24" s="23">
        <f t="shared" si="8"/>
        <v>0</v>
      </c>
      <c r="J24" s="124">
        <f t="shared" si="1"/>
        <v>1.0333726942651727E-2</v>
      </c>
    </row>
    <row r="25" spans="1:10" s="1" customFormat="1" x14ac:dyDescent="0.2">
      <c r="A25" s="110" t="s">
        <v>76</v>
      </c>
      <c r="B25" s="74"/>
      <c r="C25" s="35"/>
      <c r="D25" s="35">
        <f>SUM(D23:D24)</f>
        <v>0.19629792000000001</v>
      </c>
      <c r="E25" s="73"/>
      <c r="F25" s="35"/>
      <c r="G25" s="35">
        <f>SUM(G23:G24)</f>
        <v>0.19629792000000001</v>
      </c>
      <c r="H25" s="35">
        <f t="shared" si="3"/>
        <v>0</v>
      </c>
      <c r="I25" s="36">
        <f t="shared" si="8"/>
        <v>0</v>
      </c>
      <c r="J25" s="111">
        <f t="shared" si="1"/>
        <v>2.1650241902226978E-2</v>
      </c>
    </row>
    <row r="26" spans="1:10" s="1" customFormat="1" x14ac:dyDescent="0.2">
      <c r="A26" s="110" t="s">
        <v>80</v>
      </c>
      <c r="B26" s="74"/>
      <c r="C26" s="35"/>
      <c r="D26" s="35">
        <f>D22+D25</f>
        <v>5.9165379200000006</v>
      </c>
      <c r="E26" s="73"/>
      <c r="F26" s="35"/>
      <c r="G26" s="35">
        <f>G22+G25</f>
        <v>6.30053792</v>
      </c>
      <c r="H26" s="35">
        <f t="shared" si="3"/>
        <v>0.38399999999999945</v>
      </c>
      <c r="I26" s="36">
        <f t="shared" si="8"/>
        <v>6.4902820736083347E-2</v>
      </c>
      <c r="J26" s="111">
        <f t="shared" si="1"/>
        <v>0.69490379766710719</v>
      </c>
    </row>
    <row r="27" spans="1:10" x14ac:dyDescent="0.2">
      <c r="A27" s="107" t="s">
        <v>42</v>
      </c>
      <c r="B27" s="73">
        <f>B8</f>
        <v>21.840000000000003</v>
      </c>
      <c r="C27" s="34">
        <v>3.5999999999999999E-3</v>
      </c>
      <c r="D27" s="22">
        <f>B27*C27</f>
        <v>7.8624000000000013E-2</v>
      </c>
      <c r="E27" s="73">
        <f t="shared" si="4"/>
        <v>21.840000000000003</v>
      </c>
      <c r="F27" s="34">
        <v>3.5999999999999999E-3</v>
      </c>
      <c r="G27" s="22">
        <f>E27*F27</f>
        <v>7.8624000000000013E-2</v>
      </c>
      <c r="H27" s="22">
        <f t="shared" si="3"/>
        <v>0</v>
      </c>
      <c r="I27" s="23">
        <f t="shared" si="8"/>
        <v>0</v>
      </c>
      <c r="J27" s="124">
        <f t="shared" si="1"/>
        <v>8.6716589728545977E-3</v>
      </c>
    </row>
    <row r="28" spans="1:10" s="1" customFormat="1" x14ac:dyDescent="0.2">
      <c r="A28" s="107" t="s">
        <v>43</v>
      </c>
      <c r="B28" s="73">
        <f>B8</f>
        <v>21.840000000000003</v>
      </c>
      <c r="C28" s="34">
        <v>2.0999999999999999E-3</v>
      </c>
      <c r="D28" s="22">
        <f>B28*C28</f>
        <v>4.5864000000000002E-2</v>
      </c>
      <c r="E28" s="73">
        <f t="shared" si="4"/>
        <v>21.840000000000003</v>
      </c>
      <c r="F28" s="34">
        <v>2.0999999999999999E-3</v>
      </c>
      <c r="G28" s="22">
        <f>E28*F28</f>
        <v>4.5864000000000002E-2</v>
      </c>
      <c r="H28" s="22">
        <f>G28-D28</f>
        <v>0</v>
      </c>
      <c r="I28" s="23">
        <f t="shared" si="8"/>
        <v>0</v>
      </c>
      <c r="J28" s="124">
        <f t="shared" si="1"/>
        <v>5.0584677341651814E-3</v>
      </c>
    </row>
    <row r="29" spans="1:10" s="1" customFormat="1" x14ac:dyDescent="0.2">
      <c r="A29" s="107" t="s">
        <v>96</v>
      </c>
      <c r="B29" s="73">
        <f>B8</f>
        <v>21.840000000000003</v>
      </c>
      <c r="C29" s="34">
        <v>0</v>
      </c>
      <c r="D29" s="22">
        <f>B29*C29</f>
        <v>0</v>
      </c>
      <c r="E29" s="73">
        <f t="shared" si="4"/>
        <v>21.840000000000003</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2.7573193213441812E-2</v>
      </c>
    </row>
    <row r="31" spans="1:10" s="1" customFormat="1" x14ac:dyDescent="0.2">
      <c r="A31" s="110" t="s">
        <v>45</v>
      </c>
      <c r="B31" s="74"/>
      <c r="C31" s="35"/>
      <c r="D31" s="35">
        <f>SUM(D27:D30)</f>
        <v>0.37448800000000004</v>
      </c>
      <c r="E31" s="73"/>
      <c r="F31" s="35"/>
      <c r="G31" s="35">
        <f>SUM(G27:G30)</f>
        <v>0.37448800000000004</v>
      </c>
      <c r="H31" s="35">
        <f t="shared" si="3"/>
        <v>0</v>
      </c>
      <c r="I31" s="36">
        <f t="shared" si="8"/>
        <v>0</v>
      </c>
      <c r="J31" s="111">
        <f t="shared" si="10"/>
        <v>4.1303319920461594E-2</v>
      </c>
    </row>
    <row r="32" spans="1:10" ht="13.5" thickBot="1" x14ac:dyDescent="0.25">
      <c r="A32" s="112" t="s">
        <v>46</v>
      </c>
      <c r="B32" s="113">
        <f>B4</f>
        <v>20</v>
      </c>
      <c r="C32" s="114">
        <v>7.0000000000000001E-3</v>
      </c>
      <c r="D32" s="115">
        <f>B32*C32</f>
        <v>0.14000000000000001</v>
      </c>
      <c r="E32" s="116">
        <f t="shared" si="4"/>
        <v>20</v>
      </c>
      <c r="F32" s="114">
        <f>C32</f>
        <v>7.0000000000000001E-3</v>
      </c>
      <c r="G32" s="115">
        <f>E32*F32</f>
        <v>0.14000000000000001</v>
      </c>
      <c r="H32" s="115">
        <f t="shared" si="3"/>
        <v>0</v>
      </c>
      <c r="I32" s="117">
        <f t="shared" si="8"/>
        <v>0</v>
      </c>
      <c r="J32" s="118">
        <f t="shared" si="10"/>
        <v>1.5440988199527416E-2</v>
      </c>
    </row>
    <row r="33" spans="1:10" x14ac:dyDescent="0.2">
      <c r="A33" s="37" t="s">
        <v>111</v>
      </c>
      <c r="B33" s="38"/>
      <c r="C33" s="39"/>
      <c r="D33" s="39">
        <f>SUM(D14,D22,D25,D31,D32)</f>
        <v>8.2510259200000018</v>
      </c>
      <c r="E33" s="38"/>
      <c r="F33" s="39"/>
      <c r="G33" s="39">
        <f>SUM(G14,G22,G25,G31,G32)</f>
        <v>8.6350259199999986</v>
      </c>
      <c r="H33" s="39">
        <f t="shared" si="3"/>
        <v>0.38399999999999679</v>
      </c>
      <c r="I33" s="40">
        <f t="shared" si="8"/>
        <v>4.6539667154505401E-2</v>
      </c>
      <c r="J33" s="41">
        <f t="shared" si="10"/>
        <v>0.95238095238095244</v>
      </c>
    </row>
    <row r="34" spans="1:10" x14ac:dyDescent="0.2">
      <c r="A34" s="46" t="s">
        <v>102</v>
      </c>
      <c r="B34" s="43"/>
      <c r="C34" s="26">
        <v>0.13</v>
      </c>
      <c r="D34" s="26">
        <f>D33*C34</f>
        <v>1.0726333696000003</v>
      </c>
      <c r="E34" s="26"/>
      <c r="F34" s="26">
        <f>C34</f>
        <v>0.13</v>
      </c>
      <c r="G34" s="26">
        <f>G33*F34</f>
        <v>1.1225533695999999</v>
      </c>
      <c r="H34" s="26">
        <f t="shared" si="3"/>
        <v>4.991999999999952E-2</v>
      </c>
      <c r="I34" s="44">
        <f t="shared" si="8"/>
        <v>4.6539667154505339E-2</v>
      </c>
      <c r="J34" s="45">
        <f t="shared" si="10"/>
        <v>0.12380952380952381</v>
      </c>
    </row>
    <row r="35" spans="1:10" x14ac:dyDescent="0.2">
      <c r="A35" s="46" t="s">
        <v>103</v>
      </c>
      <c r="B35" s="24"/>
      <c r="C35" s="25"/>
      <c r="D35" s="25">
        <f>SUM(D33:D34)</f>
        <v>9.3236592896000019</v>
      </c>
      <c r="E35" s="25"/>
      <c r="F35" s="25"/>
      <c r="G35" s="25">
        <f>SUM(G33:G34)</f>
        <v>9.7575792895999989</v>
      </c>
      <c r="H35" s="25">
        <f t="shared" si="3"/>
        <v>0.43391999999999697</v>
      </c>
      <c r="I35" s="27">
        <f t="shared" si="8"/>
        <v>4.6539667154505464E-2</v>
      </c>
      <c r="J35" s="47">
        <f t="shared" si="10"/>
        <v>1.0761904761904764</v>
      </c>
    </row>
    <row r="36" spans="1:10" x14ac:dyDescent="0.2">
      <c r="A36" s="46" t="s">
        <v>104</v>
      </c>
      <c r="B36" s="43"/>
      <c r="C36" s="26">
        <v>-0.08</v>
      </c>
      <c r="D36" s="26">
        <f>D33*C36</f>
        <v>-0.66008207360000015</v>
      </c>
      <c r="E36" s="26"/>
      <c r="F36" s="26">
        <f>C36</f>
        <v>-0.08</v>
      </c>
      <c r="G36" s="26">
        <f>G33*F36</f>
        <v>-0.6908020735999999</v>
      </c>
      <c r="H36" s="26">
        <f t="shared" si="3"/>
        <v>-3.0719999999999748E-2</v>
      </c>
      <c r="I36" s="44">
        <f t="shared" si="8"/>
        <v>-4.6539667154505408E-2</v>
      </c>
      <c r="J36" s="45">
        <f t="shared" si="10"/>
        <v>-7.6190476190476197E-2</v>
      </c>
    </row>
    <row r="37" spans="1:10" ht="13.5" thickBot="1" x14ac:dyDescent="0.25">
      <c r="A37" s="46" t="s">
        <v>105</v>
      </c>
      <c r="B37" s="49"/>
      <c r="C37" s="50"/>
      <c r="D37" s="50">
        <f>SUM(D35:D36)</f>
        <v>8.663577216000002</v>
      </c>
      <c r="E37" s="50"/>
      <c r="F37" s="50"/>
      <c r="G37" s="50">
        <f>SUM(G35:G36)</f>
        <v>9.0667772159999984</v>
      </c>
      <c r="H37" s="50">
        <f t="shared" si="3"/>
        <v>0.40319999999999645</v>
      </c>
      <c r="I37" s="51">
        <f t="shared" si="8"/>
        <v>4.6539667154505381E-2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4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119</v>
      </c>
      <c r="B1" s="186"/>
      <c r="C1" s="186"/>
      <c r="D1" s="186"/>
      <c r="E1" s="186"/>
      <c r="F1" s="186"/>
      <c r="G1" s="186"/>
      <c r="H1" s="186"/>
      <c r="I1" s="186"/>
      <c r="J1" s="187"/>
    </row>
    <row r="3" spans="1:10" x14ac:dyDescent="0.2">
      <c r="A3" s="13" t="s">
        <v>13</v>
      </c>
      <c r="B3" s="13" t="s">
        <v>9</v>
      </c>
    </row>
    <row r="4" spans="1:10" x14ac:dyDescent="0.2">
      <c r="A4" s="15" t="s">
        <v>62</v>
      </c>
      <c r="B4" s="167">
        <f>VLOOKUP(B3,'Data for Bill Impacts'!A21:D34,3,FALSE)</f>
        <v>71</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67">
        <f>B4*B6</f>
        <v>77.532000000000011</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71</v>
      </c>
      <c r="C12" s="103">
        <v>9.0999999999999998E-2</v>
      </c>
      <c r="D12" s="104">
        <f>B12*C12</f>
        <v>6.4609999999999994</v>
      </c>
      <c r="E12" s="102">
        <f>B12</f>
        <v>71</v>
      </c>
      <c r="F12" s="103">
        <f>C12</f>
        <v>9.0999999999999998E-2</v>
      </c>
      <c r="G12" s="104">
        <f>E12*F12</f>
        <v>6.4609999999999994</v>
      </c>
      <c r="H12" s="104">
        <f>G12-D12</f>
        <v>0</v>
      </c>
      <c r="I12" s="105">
        <f t="shared" ref="I12:I18" si="0">IF(ISERROR(H12/ABS(D12)),"N/A",(H12/ABS(D12)))</f>
        <v>0</v>
      </c>
      <c r="J12" s="123">
        <f t="shared" ref="J12:J28" si="1">G12/$G$37</f>
        <v>0.28743092566496453</v>
      </c>
    </row>
    <row r="13" spans="1:10" x14ac:dyDescent="0.2">
      <c r="A13" s="107" t="s">
        <v>32</v>
      </c>
      <c r="B13" s="73">
        <f>IF(B4&gt;B7,(B4)-B7,0)</f>
        <v>0</v>
      </c>
      <c r="C13" s="21">
        <v>0.106</v>
      </c>
      <c r="D13" s="22">
        <f>B13*C13</f>
        <v>0</v>
      </c>
      <c r="E13" s="73">
        <f t="shared" ref="E13" si="2">B13</f>
        <v>0</v>
      </c>
      <c r="F13" s="21">
        <f>C13</f>
        <v>0.106</v>
      </c>
      <c r="G13" s="22">
        <f>E13*F13</f>
        <v>0</v>
      </c>
      <c r="H13" s="22">
        <f t="shared" ref="H13:H37" si="3">G13-D13</f>
        <v>0</v>
      </c>
      <c r="I13" s="23" t="str">
        <f t="shared" si="0"/>
        <v>N/A</v>
      </c>
      <c r="J13" s="124">
        <f t="shared" si="1"/>
        <v>0</v>
      </c>
    </row>
    <row r="14" spans="1:10" s="1" customFormat="1" x14ac:dyDescent="0.2">
      <c r="A14" s="46" t="s">
        <v>33</v>
      </c>
      <c r="B14" s="24"/>
      <c r="C14" s="25"/>
      <c r="D14" s="25">
        <f>SUM(D12:D13)</f>
        <v>6.4609999999999994</v>
      </c>
      <c r="E14" s="76"/>
      <c r="F14" s="25"/>
      <c r="G14" s="25">
        <f>SUM(G12:G13)</f>
        <v>6.4609999999999994</v>
      </c>
      <c r="H14" s="25">
        <f t="shared" si="3"/>
        <v>0</v>
      </c>
      <c r="I14" s="27">
        <f t="shared" si="0"/>
        <v>0</v>
      </c>
      <c r="J14" s="47">
        <f t="shared" si="1"/>
        <v>0.28743092566496453</v>
      </c>
    </row>
    <row r="15" spans="1:10" x14ac:dyDescent="0.2">
      <c r="A15" s="107" t="s">
        <v>38</v>
      </c>
      <c r="B15" s="73">
        <v>1</v>
      </c>
      <c r="C15" s="121">
        <f>VLOOKUP($B$3,'Data for Bill Impacts'!$A$6:$Y$18,7,0)</f>
        <v>3.15</v>
      </c>
      <c r="D15" s="22">
        <f>B15*C15</f>
        <v>3.15</v>
      </c>
      <c r="E15" s="73">
        <f t="shared" ref="E15:E32" si="4">B15</f>
        <v>1</v>
      </c>
      <c r="F15" s="78">
        <f>VLOOKUP($B$3,'Data for Bill Impacts'!$A$6:$Y$18,17,0)</f>
        <v>3.37</v>
      </c>
      <c r="G15" s="22">
        <f>E15*F15</f>
        <v>3.37</v>
      </c>
      <c r="H15" s="22">
        <f t="shared" si="3"/>
        <v>0.2200000000000002</v>
      </c>
      <c r="I15" s="23">
        <f t="shared" si="0"/>
        <v>6.9841269841269898E-2</v>
      </c>
      <c r="J15" s="124">
        <f t="shared" si="1"/>
        <v>0.14992140837191309</v>
      </c>
    </row>
    <row r="16" spans="1:10" x14ac:dyDescent="0.2">
      <c r="A16" s="107" t="s">
        <v>85</v>
      </c>
      <c r="B16" s="73">
        <v>1</v>
      </c>
      <c r="C16" s="121">
        <f>VLOOKUP($B$3,'Data for Bill Impacts'!$A$6:$Y$18,13,0)</f>
        <v>6.0000000000000001E-3</v>
      </c>
      <c r="D16" s="22">
        <f t="shared" ref="D16" si="5">B16*C16</f>
        <v>6.0000000000000001E-3</v>
      </c>
      <c r="E16" s="73">
        <f t="shared" si="4"/>
        <v>1</v>
      </c>
      <c r="F16" s="121">
        <f>VLOOKUP($B$3,'Data for Bill Impacts'!$A$6:$Y$18,22,0)</f>
        <v>6.0000000000000001E-3</v>
      </c>
      <c r="G16" s="22">
        <f t="shared" ref="G16" si="6">E16*F16</f>
        <v>6.0000000000000001E-3</v>
      </c>
      <c r="H16" s="22">
        <f t="shared" si="3"/>
        <v>0</v>
      </c>
      <c r="I16" s="23">
        <f t="shared" si="0"/>
        <v>0</v>
      </c>
      <c r="J16" s="124">
        <f t="shared" si="1"/>
        <v>2.6692238879272361E-4</v>
      </c>
    </row>
    <row r="17" spans="1:10" x14ac:dyDescent="0.2">
      <c r="A17" s="107" t="s">
        <v>39</v>
      </c>
      <c r="B17" s="73">
        <f>IF($B$9="kWh",$B$4,$B$5)</f>
        <v>71</v>
      </c>
      <c r="C17" s="125">
        <f>VLOOKUP($B$3,'Data for Bill Impacts'!$A$6:$Y$18,10,0)</f>
        <v>0.11990000000000001</v>
      </c>
      <c r="D17" s="22">
        <f>B17*C17</f>
        <v>8.5129000000000001</v>
      </c>
      <c r="E17" s="73">
        <f t="shared" si="4"/>
        <v>71</v>
      </c>
      <c r="F17" s="125">
        <f>VLOOKUP($B$3,'Data for Bill Impacts'!$A$6:$Y$18,19,0)</f>
        <v>0.12809999999999999</v>
      </c>
      <c r="G17" s="22">
        <f>E17*F17</f>
        <v>9.0950999999999986</v>
      </c>
      <c r="H17" s="22">
        <f t="shared" si="3"/>
        <v>0.5821999999999985</v>
      </c>
      <c r="I17" s="23">
        <f t="shared" si="0"/>
        <v>6.8390325271059038E-2</v>
      </c>
      <c r="J17" s="124">
        <f t="shared" si="1"/>
        <v>0.40461430305145002</v>
      </c>
    </row>
    <row r="18" spans="1:10" s="1" customFormat="1" x14ac:dyDescent="0.2">
      <c r="A18" s="107" t="s">
        <v>122</v>
      </c>
      <c r="B18" s="73">
        <f>IF($B$9="kWh",$B$4,$B$5)</f>
        <v>71</v>
      </c>
      <c r="C18" s="125">
        <f>VLOOKUP($B$3,'Data for Bill Impacts'!$A$6:$Y$18,14,0)</f>
        <v>-6.0000000000000002E-5</v>
      </c>
      <c r="D18" s="22">
        <f>B18*C18</f>
        <v>-4.2599999999999999E-3</v>
      </c>
      <c r="E18" s="73">
        <f>B18</f>
        <v>71</v>
      </c>
      <c r="F18" s="125">
        <f>VLOOKUP($B$3,'Data for Bill Impacts'!$A$6:$Y$18,23,0)</f>
        <v>-6.0000000000000002E-5</v>
      </c>
      <c r="G18" s="22">
        <f>E18*F18</f>
        <v>-4.2599999999999999E-3</v>
      </c>
      <c r="H18" s="22">
        <f>G18-D18</f>
        <v>0</v>
      </c>
      <c r="I18" s="23">
        <f t="shared" si="0"/>
        <v>0</v>
      </c>
      <c r="J18" s="124">
        <f t="shared" si="1"/>
        <v>-1.8951489604283376E-4</v>
      </c>
    </row>
    <row r="19" spans="1:10" hidden="1" x14ac:dyDescent="0.2">
      <c r="A19" s="107" t="s">
        <v>108</v>
      </c>
      <c r="B19" s="73">
        <f>B8</f>
        <v>77.532000000000011</v>
      </c>
      <c r="C19" s="78">
        <v>0</v>
      </c>
      <c r="D19" s="22">
        <f>B19*C19</f>
        <v>0</v>
      </c>
      <c r="E19" s="73">
        <f t="shared" si="4"/>
        <v>77.532000000000011</v>
      </c>
      <c r="F19" s="78">
        <v>0</v>
      </c>
      <c r="G19" s="22">
        <f>E19*F19</f>
        <v>0</v>
      </c>
      <c r="H19" s="22">
        <f t="shared" si="3"/>
        <v>0</v>
      </c>
      <c r="I19" s="23" t="str">
        <f>IF(ISERROR(H19/ABS(D19)),"N/A",(H19/ABS(D19)))</f>
        <v>N/A</v>
      </c>
      <c r="J19" s="124">
        <f t="shared" si="1"/>
        <v>0</v>
      </c>
    </row>
    <row r="20" spans="1:10" x14ac:dyDescent="0.2">
      <c r="A20" s="110" t="s">
        <v>72</v>
      </c>
      <c r="B20" s="74"/>
      <c r="C20" s="35"/>
      <c r="D20" s="35">
        <f>SUM(D15:D19)</f>
        <v>11.66464</v>
      </c>
      <c r="E20" s="73"/>
      <c r="F20" s="35"/>
      <c r="G20" s="35">
        <f>SUM(G15:G19)</f>
        <v>12.466839999999998</v>
      </c>
      <c r="H20" s="35">
        <f t="shared" si="3"/>
        <v>0.80219999999999736</v>
      </c>
      <c r="I20" s="36">
        <f t="shared" ref="I20" si="7">IF(ISERROR(H20/D20),0,(H20/D20))</f>
        <v>6.877194666959266E-2</v>
      </c>
      <c r="J20" s="111">
        <f t="shared" si="1"/>
        <v>0.55461311891611298</v>
      </c>
    </row>
    <row r="21" spans="1:10" s="1" customFormat="1" x14ac:dyDescent="0.2">
      <c r="A21" s="119" t="s">
        <v>81</v>
      </c>
      <c r="B21" s="120">
        <f>B8-B4</f>
        <v>6.5320000000000107</v>
      </c>
      <c r="C21" s="170">
        <f>IF(B4&gt;B7,C13,C12)</f>
        <v>9.0999999999999998E-2</v>
      </c>
      <c r="D21" s="22">
        <f>B21*C21</f>
        <v>0.59441200000000094</v>
      </c>
      <c r="E21" s="73">
        <f>B21</f>
        <v>6.5320000000000107</v>
      </c>
      <c r="F21" s="170">
        <f>C21</f>
        <v>9.0999999999999998E-2</v>
      </c>
      <c r="G21" s="22">
        <f>E21*F21</f>
        <v>0.59441200000000094</v>
      </c>
      <c r="H21" s="22">
        <f t="shared" si="3"/>
        <v>0</v>
      </c>
      <c r="I21" s="23">
        <f>IF(ISERROR(H21/D21),0,(H21/D21))</f>
        <v>0</v>
      </c>
      <c r="J21" s="124">
        <f t="shared" si="1"/>
        <v>2.6443645161176779E-2</v>
      </c>
    </row>
    <row r="22" spans="1:10" x14ac:dyDescent="0.2">
      <c r="A22" s="110" t="s">
        <v>79</v>
      </c>
      <c r="B22" s="74"/>
      <c r="C22" s="35"/>
      <c r="D22" s="35">
        <f>SUM(D20,D21:D21)</f>
        <v>12.259052000000001</v>
      </c>
      <c r="E22" s="73"/>
      <c r="F22" s="35"/>
      <c r="G22" s="35">
        <f>SUM(G20,G21:G21)</f>
        <v>13.061251999999998</v>
      </c>
      <c r="H22" s="35">
        <f t="shared" si="3"/>
        <v>0.80219999999999736</v>
      </c>
      <c r="I22" s="36">
        <f t="shared" ref="I22:I37" si="8">IF(ISERROR(H22/ABS(D22)),"N/A",(H22/ABS(D22)))</f>
        <v>6.5437360082981733E-2</v>
      </c>
      <c r="J22" s="111">
        <f t="shared" si="1"/>
        <v>0.58105676407728968</v>
      </c>
    </row>
    <row r="23" spans="1:10" x14ac:dyDescent="0.2">
      <c r="A23" s="107" t="s">
        <v>40</v>
      </c>
      <c r="B23" s="73">
        <f>B8</f>
        <v>77.532000000000011</v>
      </c>
      <c r="C23" s="125">
        <f>VLOOKUP($B$3,'Data for Bill Impacts'!$A$6:$Y$18,15,0)</f>
        <v>4.6979999999999999E-3</v>
      </c>
      <c r="D23" s="22">
        <f>B23*C23</f>
        <v>0.36424533600000003</v>
      </c>
      <c r="E23" s="73">
        <f t="shared" si="4"/>
        <v>77.532000000000011</v>
      </c>
      <c r="F23" s="125">
        <f>VLOOKUP($B$3,'Data for Bill Impacts'!$A$6:$Y$18,24,0)</f>
        <v>4.6979999999999999E-3</v>
      </c>
      <c r="G23" s="22">
        <f>E23*F23</f>
        <v>0.36424533600000003</v>
      </c>
      <c r="H23" s="22">
        <f t="shared" si="3"/>
        <v>0</v>
      </c>
      <c r="I23" s="23">
        <f t="shared" si="8"/>
        <v>0</v>
      </c>
      <c r="J23" s="124">
        <f t="shared" si="1"/>
        <v>1.6204205865288042E-2</v>
      </c>
    </row>
    <row r="24" spans="1:10" s="1" customFormat="1" x14ac:dyDescent="0.2">
      <c r="A24" s="107" t="s">
        <v>41</v>
      </c>
      <c r="B24" s="73">
        <f>B8</f>
        <v>77.532000000000011</v>
      </c>
      <c r="C24" s="125">
        <f>VLOOKUP($B$3,'Data for Bill Impacts'!$A$6:$Y$18,16,0)</f>
        <v>4.2899999999999995E-3</v>
      </c>
      <c r="D24" s="22">
        <f>B24*C24</f>
        <v>0.33261228000000004</v>
      </c>
      <c r="E24" s="73">
        <f t="shared" si="4"/>
        <v>77.532000000000011</v>
      </c>
      <c r="F24" s="125">
        <f>VLOOKUP($B$3,'Data for Bill Impacts'!$A$6:$Y$18,25,0)</f>
        <v>4.2899999999999995E-3</v>
      </c>
      <c r="G24" s="22">
        <f>E24*F24</f>
        <v>0.33261228000000004</v>
      </c>
      <c r="H24" s="22">
        <f t="shared" si="3"/>
        <v>0</v>
      </c>
      <c r="I24" s="23">
        <f t="shared" si="8"/>
        <v>0</v>
      </c>
      <c r="J24" s="124">
        <f t="shared" si="1"/>
        <v>1.4796944053232376E-2</v>
      </c>
    </row>
    <row r="25" spans="1:10" s="1" customFormat="1" x14ac:dyDescent="0.2">
      <c r="A25" s="110" t="s">
        <v>76</v>
      </c>
      <c r="B25" s="74"/>
      <c r="C25" s="35"/>
      <c r="D25" s="35">
        <f>SUM(D23:D24)</f>
        <v>0.69685761600000007</v>
      </c>
      <c r="E25" s="73"/>
      <c r="F25" s="35"/>
      <c r="G25" s="35">
        <f>SUM(G23:G24)</f>
        <v>0.69685761600000007</v>
      </c>
      <c r="H25" s="35">
        <f t="shared" si="3"/>
        <v>0</v>
      </c>
      <c r="I25" s="36">
        <f t="shared" si="8"/>
        <v>0</v>
      </c>
      <c r="J25" s="111">
        <f t="shared" si="1"/>
        <v>3.1001149918520418E-2</v>
      </c>
    </row>
    <row r="26" spans="1:10" s="1" customFormat="1" x14ac:dyDescent="0.2">
      <c r="A26" s="110" t="s">
        <v>80</v>
      </c>
      <c r="B26" s="74"/>
      <c r="C26" s="35"/>
      <c r="D26" s="35">
        <f>D22+D25</f>
        <v>12.955909616000001</v>
      </c>
      <c r="E26" s="73"/>
      <c r="F26" s="35"/>
      <c r="G26" s="35">
        <f>G22+G25</f>
        <v>13.758109615999999</v>
      </c>
      <c r="H26" s="35">
        <f t="shared" si="3"/>
        <v>0.80219999999999736</v>
      </c>
      <c r="I26" s="36">
        <f t="shared" si="8"/>
        <v>6.1917690364967831E-2</v>
      </c>
      <c r="J26" s="111">
        <f t="shared" si="1"/>
        <v>0.61205791399581022</v>
      </c>
    </row>
    <row r="27" spans="1:10" x14ac:dyDescent="0.2">
      <c r="A27" s="107" t="s">
        <v>42</v>
      </c>
      <c r="B27" s="73">
        <f>B8</f>
        <v>77.532000000000011</v>
      </c>
      <c r="C27" s="34">
        <v>3.5999999999999999E-3</v>
      </c>
      <c r="D27" s="22">
        <f>B27*C27</f>
        <v>0.27911520000000001</v>
      </c>
      <c r="E27" s="73">
        <f t="shared" si="4"/>
        <v>77.532000000000011</v>
      </c>
      <c r="F27" s="34">
        <v>3.5999999999999999E-3</v>
      </c>
      <c r="G27" s="22">
        <f>E27*F27</f>
        <v>0.27911520000000001</v>
      </c>
      <c r="H27" s="22">
        <f t="shared" si="3"/>
        <v>0</v>
      </c>
      <c r="I27" s="23">
        <f t="shared" si="8"/>
        <v>0</v>
      </c>
      <c r="J27" s="124">
        <f t="shared" si="1"/>
        <v>1.2417015988726469E-2</v>
      </c>
    </row>
    <row r="28" spans="1:10" s="1" customFormat="1" x14ac:dyDescent="0.2">
      <c r="A28" s="107" t="s">
        <v>43</v>
      </c>
      <c r="B28" s="73">
        <f>B8</f>
        <v>77.532000000000011</v>
      </c>
      <c r="C28" s="34">
        <v>2.0999999999999999E-3</v>
      </c>
      <c r="D28" s="22">
        <f>B28*C28</f>
        <v>0.16281720000000002</v>
      </c>
      <c r="E28" s="73">
        <f t="shared" si="4"/>
        <v>77.532000000000011</v>
      </c>
      <c r="F28" s="34">
        <v>2.0999999999999999E-3</v>
      </c>
      <c r="G28" s="22">
        <f>E28*F28</f>
        <v>0.16281720000000002</v>
      </c>
      <c r="H28" s="22">
        <f>G28-D28</f>
        <v>0</v>
      </c>
      <c r="I28" s="23">
        <f t="shared" si="8"/>
        <v>0</v>
      </c>
      <c r="J28" s="124">
        <f t="shared" si="1"/>
        <v>7.2432593267571076E-3</v>
      </c>
    </row>
    <row r="29" spans="1:10" s="1" customFormat="1" x14ac:dyDescent="0.2">
      <c r="A29" s="107" t="s">
        <v>96</v>
      </c>
      <c r="B29" s="73">
        <f>B8</f>
        <v>77.532000000000011</v>
      </c>
      <c r="C29" s="34">
        <v>0</v>
      </c>
      <c r="D29" s="22">
        <f>B29*C29</f>
        <v>0</v>
      </c>
      <c r="E29" s="73">
        <f t="shared" si="4"/>
        <v>77.532000000000011</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1.1121766199696818E-2</v>
      </c>
    </row>
    <row r="31" spans="1:10" s="1" customFormat="1" x14ac:dyDescent="0.2">
      <c r="A31" s="110" t="s">
        <v>45</v>
      </c>
      <c r="B31" s="74"/>
      <c r="C31" s="35"/>
      <c r="D31" s="35">
        <f>SUM(D27:D30)</f>
        <v>0.6919324</v>
      </c>
      <c r="E31" s="73"/>
      <c r="F31" s="35"/>
      <c r="G31" s="35">
        <f>SUM(G27:G30)</f>
        <v>0.6919324</v>
      </c>
      <c r="H31" s="35">
        <f t="shared" si="3"/>
        <v>0</v>
      </c>
      <c r="I31" s="36">
        <f t="shared" si="8"/>
        <v>0</v>
      </c>
      <c r="J31" s="111">
        <f t="shared" si="10"/>
        <v>3.0782041515180391E-2</v>
      </c>
    </row>
    <row r="32" spans="1:10" ht="13.5" thickBot="1" x14ac:dyDescent="0.25">
      <c r="A32" s="112" t="s">
        <v>46</v>
      </c>
      <c r="B32" s="113">
        <f>B4</f>
        <v>71</v>
      </c>
      <c r="C32" s="114">
        <v>7.0000000000000001E-3</v>
      </c>
      <c r="D32" s="115">
        <f>B32*C32</f>
        <v>0.497</v>
      </c>
      <c r="E32" s="116">
        <f t="shared" si="4"/>
        <v>71</v>
      </c>
      <c r="F32" s="114">
        <f>C32</f>
        <v>7.0000000000000001E-3</v>
      </c>
      <c r="G32" s="115">
        <f>E32*F32</f>
        <v>0.497</v>
      </c>
      <c r="H32" s="115">
        <f t="shared" si="3"/>
        <v>0</v>
      </c>
      <c r="I32" s="117">
        <f t="shared" si="8"/>
        <v>0</v>
      </c>
      <c r="J32" s="118">
        <f t="shared" si="10"/>
        <v>2.2110071204997271E-2</v>
      </c>
    </row>
    <row r="33" spans="1:10" x14ac:dyDescent="0.2">
      <c r="A33" s="37" t="s">
        <v>111</v>
      </c>
      <c r="B33" s="38"/>
      <c r="C33" s="39"/>
      <c r="D33" s="39">
        <f>SUM(D14,D22,D25,D31,D32)</f>
        <v>20.605842015999997</v>
      </c>
      <c r="E33" s="38"/>
      <c r="F33" s="39"/>
      <c r="G33" s="39">
        <f>SUM(G14,G22,G25,G31,G32)</f>
        <v>21.408042015999996</v>
      </c>
      <c r="H33" s="39">
        <f t="shared" si="3"/>
        <v>0.80219999999999914</v>
      </c>
      <c r="I33" s="40">
        <f t="shared" si="8"/>
        <v>3.8930707096419936E-2</v>
      </c>
      <c r="J33" s="41">
        <f t="shared" si="10"/>
        <v>0.95238095238095222</v>
      </c>
    </row>
    <row r="34" spans="1:10" x14ac:dyDescent="0.2">
      <c r="A34" s="46" t="s">
        <v>102</v>
      </c>
      <c r="B34" s="43"/>
      <c r="C34" s="26">
        <v>0.13</v>
      </c>
      <c r="D34" s="26">
        <f>D33*C34</f>
        <v>2.6787594620799995</v>
      </c>
      <c r="E34" s="26"/>
      <c r="F34" s="26">
        <f>C34</f>
        <v>0.13</v>
      </c>
      <c r="G34" s="26">
        <f>G33*F34</f>
        <v>2.7830454620799996</v>
      </c>
      <c r="H34" s="26">
        <f t="shared" si="3"/>
        <v>0.1042860000000001</v>
      </c>
      <c r="I34" s="44">
        <f t="shared" si="8"/>
        <v>3.8930707096420013E-2</v>
      </c>
      <c r="J34" s="45">
        <f t="shared" si="10"/>
        <v>0.1238095238095238</v>
      </c>
    </row>
    <row r="35" spans="1:10" x14ac:dyDescent="0.2">
      <c r="A35" s="46" t="s">
        <v>103</v>
      </c>
      <c r="B35" s="24"/>
      <c r="C35" s="25"/>
      <c r="D35" s="25">
        <f>SUM(D33:D34)</f>
        <v>23.284601478079995</v>
      </c>
      <c r="E35" s="25"/>
      <c r="F35" s="25"/>
      <c r="G35" s="25">
        <f>SUM(G33:G34)</f>
        <v>24.191087478079996</v>
      </c>
      <c r="H35" s="25">
        <f t="shared" si="3"/>
        <v>0.90648600000000101</v>
      </c>
      <c r="I35" s="27">
        <f t="shared" si="8"/>
        <v>3.893070709642002E-2</v>
      </c>
      <c r="J35" s="47">
        <f t="shared" si="10"/>
        <v>1.0761904761904761</v>
      </c>
    </row>
    <row r="36" spans="1:10" x14ac:dyDescent="0.2">
      <c r="A36" s="46" t="s">
        <v>104</v>
      </c>
      <c r="B36" s="43"/>
      <c r="C36" s="26">
        <v>-0.08</v>
      </c>
      <c r="D36" s="26">
        <f>D33*C36</f>
        <v>-1.6484673612799998</v>
      </c>
      <c r="E36" s="26"/>
      <c r="F36" s="26">
        <f>C36</f>
        <v>-0.08</v>
      </c>
      <c r="G36" s="26">
        <f>G33*F36</f>
        <v>-1.7126433612799996</v>
      </c>
      <c r="H36" s="26">
        <f t="shared" si="3"/>
        <v>-6.4175999999999789E-2</v>
      </c>
      <c r="I36" s="44">
        <f t="shared" si="8"/>
        <v>-3.8930707096419846E-2</v>
      </c>
      <c r="J36" s="45">
        <f t="shared" si="10"/>
        <v>-7.6190476190476183E-2</v>
      </c>
    </row>
    <row r="37" spans="1:10" ht="13.5" thickBot="1" x14ac:dyDescent="0.25">
      <c r="A37" s="46" t="s">
        <v>105</v>
      </c>
      <c r="B37" s="49"/>
      <c r="C37" s="50"/>
      <c r="D37" s="50">
        <f>SUM(D35:D36)</f>
        <v>21.636134116799994</v>
      </c>
      <c r="E37" s="50"/>
      <c r="F37" s="50"/>
      <c r="G37" s="50">
        <f>SUM(G35:G36)</f>
        <v>22.478444116799999</v>
      </c>
      <c r="H37" s="50">
        <f t="shared" si="3"/>
        <v>0.84231000000000478</v>
      </c>
      <c r="I37" s="51">
        <f t="shared" si="8"/>
        <v>3.89307070964202E-2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1" tint="0.499984740745262"/>
    <pageSetUpPr fitToPage="1"/>
  </sheetPr>
  <dimension ref="A1:J48"/>
  <sheetViews>
    <sheetView tabSelected="1" view="pageLayout" topLeftCell="A5"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121</v>
      </c>
      <c r="B1" s="186"/>
      <c r="C1" s="186"/>
      <c r="D1" s="186"/>
      <c r="E1" s="186"/>
      <c r="F1" s="186"/>
      <c r="G1" s="186"/>
      <c r="H1" s="186"/>
      <c r="I1" s="186"/>
      <c r="J1" s="187"/>
    </row>
    <row r="3" spans="1:10" x14ac:dyDescent="0.2">
      <c r="A3" s="13" t="s">
        <v>13</v>
      </c>
      <c r="B3" s="13" t="s">
        <v>9</v>
      </c>
    </row>
    <row r="4" spans="1:10" x14ac:dyDescent="0.2">
      <c r="A4" s="15" t="s">
        <v>62</v>
      </c>
      <c r="B4" s="15">
        <v>200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218.4</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200</v>
      </c>
      <c r="C12" s="103">
        <v>9.0999999999999998E-2</v>
      </c>
      <c r="D12" s="104">
        <f>B12*C12</f>
        <v>18.2</v>
      </c>
      <c r="E12" s="102">
        <f>B12</f>
        <v>200</v>
      </c>
      <c r="F12" s="103">
        <f>C12</f>
        <v>9.0999999999999998E-2</v>
      </c>
      <c r="G12" s="104">
        <f>E12*F12</f>
        <v>18.2</v>
      </c>
      <c r="H12" s="104">
        <f>G12-D12</f>
        <v>0</v>
      </c>
      <c r="I12" s="105">
        <f t="shared" ref="I12:I18" si="0">IF(ISERROR(H12/ABS(D12)),"N/A",(H12/ABS(D12)))</f>
        <v>0</v>
      </c>
      <c r="J12" s="123">
        <f t="shared" ref="J12:J28" si="1">G12/$G$37</f>
        <v>0.32268317994364976</v>
      </c>
    </row>
    <row r="13" spans="1:10" x14ac:dyDescent="0.2">
      <c r="A13" s="107" t="s">
        <v>32</v>
      </c>
      <c r="B13" s="73">
        <f>IF(B4&gt;B7,(B4)-B7,0)</f>
        <v>0</v>
      </c>
      <c r="C13" s="21">
        <v>0.106</v>
      </c>
      <c r="D13" s="22">
        <f>B13*C13</f>
        <v>0</v>
      </c>
      <c r="E13" s="73">
        <f t="shared" ref="E13" si="2">B13</f>
        <v>0</v>
      </c>
      <c r="F13" s="21">
        <f>C13</f>
        <v>0.106</v>
      </c>
      <c r="G13" s="22">
        <f>E13*F13</f>
        <v>0</v>
      </c>
      <c r="H13" s="22">
        <f t="shared" ref="H13:H37" si="3">G13-D13</f>
        <v>0</v>
      </c>
      <c r="I13" s="23" t="str">
        <f t="shared" si="0"/>
        <v>N/A</v>
      </c>
      <c r="J13" s="124">
        <f t="shared" si="1"/>
        <v>0</v>
      </c>
    </row>
    <row r="14" spans="1:10" s="1" customFormat="1" x14ac:dyDescent="0.2">
      <c r="A14" s="46" t="s">
        <v>33</v>
      </c>
      <c r="B14" s="24"/>
      <c r="C14" s="25"/>
      <c r="D14" s="25">
        <f>SUM(D12:D13)</f>
        <v>18.2</v>
      </c>
      <c r="E14" s="76"/>
      <c r="F14" s="25"/>
      <c r="G14" s="25">
        <f>SUM(G12:G13)</f>
        <v>18.2</v>
      </c>
      <c r="H14" s="25">
        <f t="shared" si="3"/>
        <v>0</v>
      </c>
      <c r="I14" s="27">
        <f t="shared" si="0"/>
        <v>0</v>
      </c>
      <c r="J14" s="47">
        <f t="shared" si="1"/>
        <v>0.32268317994364976</v>
      </c>
    </row>
    <row r="15" spans="1:10" x14ac:dyDescent="0.2">
      <c r="A15" s="107" t="s">
        <v>38</v>
      </c>
      <c r="B15" s="73">
        <v>1</v>
      </c>
      <c r="C15" s="121">
        <f>VLOOKUP($B$3,'Data for Bill Impacts'!$A$6:$Y$18,7,0)</f>
        <v>3.15</v>
      </c>
      <c r="D15" s="22">
        <f>B15*C15</f>
        <v>3.15</v>
      </c>
      <c r="E15" s="73">
        <f t="shared" ref="E15:E32" si="4">B15</f>
        <v>1</v>
      </c>
      <c r="F15" s="78">
        <f>VLOOKUP($B$3,'Data for Bill Impacts'!$A$6:$Y$18,17,0)</f>
        <v>3.37</v>
      </c>
      <c r="G15" s="22">
        <f>E15*F15</f>
        <v>3.37</v>
      </c>
      <c r="H15" s="22">
        <f t="shared" si="3"/>
        <v>0.2200000000000002</v>
      </c>
      <c r="I15" s="23">
        <f t="shared" si="0"/>
        <v>6.9841269841269898E-2</v>
      </c>
      <c r="J15" s="124">
        <f t="shared" si="1"/>
        <v>5.9749577824730754E-2</v>
      </c>
    </row>
    <row r="16" spans="1:10" x14ac:dyDescent="0.2">
      <c r="A16" s="107" t="s">
        <v>85</v>
      </c>
      <c r="B16" s="73">
        <v>1</v>
      </c>
      <c r="C16" s="121">
        <f>VLOOKUP($B$3,'Data for Bill Impacts'!$A$6:$Y$18,13,0)</f>
        <v>6.0000000000000001E-3</v>
      </c>
      <c r="D16" s="22">
        <f t="shared" ref="D16" si="5">B16*C16</f>
        <v>6.0000000000000001E-3</v>
      </c>
      <c r="E16" s="73">
        <f t="shared" si="4"/>
        <v>1</v>
      </c>
      <c r="F16" s="121">
        <f>VLOOKUP($B$3,'Data for Bill Impacts'!$A$6:$Y$18,22,0)</f>
        <v>6.0000000000000001E-3</v>
      </c>
      <c r="G16" s="22">
        <f t="shared" ref="G16" si="6">E16*F16</f>
        <v>6.0000000000000001E-3</v>
      </c>
      <c r="H16" s="22">
        <f t="shared" si="3"/>
        <v>0</v>
      </c>
      <c r="I16" s="23">
        <f t="shared" si="0"/>
        <v>0</v>
      </c>
      <c r="J16" s="124">
        <f t="shared" si="1"/>
        <v>1.0637907031109334E-4</v>
      </c>
    </row>
    <row r="17" spans="1:10" x14ac:dyDescent="0.2">
      <c r="A17" s="107" t="s">
        <v>39</v>
      </c>
      <c r="B17" s="73">
        <f>IF($B$9="kWh",$B$4,$B$5)</f>
        <v>200</v>
      </c>
      <c r="C17" s="125">
        <f>VLOOKUP($B$3,'Data for Bill Impacts'!$A$6:$Y$18,10,0)</f>
        <v>0.11990000000000001</v>
      </c>
      <c r="D17" s="22">
        <f>B17*C17</f>
        <v>23.98</v>
      </c>
      <c r="E17" s="73">
        <f t="shared" si="4"/>
        <v>200</v>
      </c>
      <c r="F17" s="125">
        <f>VLOOKUP($B$3,'Data for Bill Impacts'!$A$6:$Y$18,19,0)</f>
        <v>0.12809999999999999</v>
      </c>
      <c r="G17" s="22">
        <f>E17*F17</f>
        <v>25.619999999999997</v>
      </c>
      <c r="H17" s="22">
        <f t="shared" si="3"/>
        <v>1.639999999999997</v>
      </c>
      <c r="I17" s="23">
        <f t="shared" si="0"/>
        <v>6.8390325271059094E-2</v>
      </c>
      <c r="J17" s="124">
        <f t="shared" si="1"/>
        <v>0.45423863022836847</v>
      </c>
    </row>
    <row r="18" spans="1:10" s="1" customFormat="1" x14ac:dyDescent="0.2">
      <c r="A18" s="107" t="s">
        <v>122</v>
      </c>
      <c r="B18" s="73">
        <f>IF($B$9="kWh",$B$4,$B$5)</f>
        <v>200</v>
      </c>
      <c r="C18" s="125">
        <f>VLOOKUP($B$3,'Data for Bill Impacts'!$A$6:$Y$18,14,0)</f>
        <v>-6.0000000000000002E-5</v>
      </c>
      <c r="D18" s="22">
        <f>B18*C18</f>
        <v>-1.2E-2</v>
      </c>
      <c r="E18" s="73">
        <f>B18</f>
        <v>200</v>
      </c>
      <c r="F18" s="125">
        <f>VLOOKUP($B$3,'Data for Bill Impacts'!$A$6:$Y$18,23,0)</f>
        <v>-6.0000000000000002E-5</v>
      </c>
      <c r="G18" s="22">
        <f>E18*F18</f>
        <v>-1.2E-2</v>
      </c>
      <c r="H18" s="22">
        <f>G18-D18</f>
        <v>0</v>
      </c>
      <c r="I18" s="23">
        <f t="shared" si="0"/>
        <v>0</v>
      </c>
      <c r="J18" s="124">
        <f t="shared" si="1"/>
        <v>-2.1275814062218668E-4</v>
      </c>
    </row>
    <row r="19" spans="1:10" hidden="1" x14ac:dyDescent="0.2">
      <c r="A19" s="107" t="s">
        <v>108</v>
      </c>
      <c r="B19" s="73">
        <f>B8</f>
        <v>218.4</v>
      </c>
      <c r="C19" s="78">
        <v>0</v>
      </c>
      <c r="D19" s="22">
        <f>B19*C19</f>
        <v>0</v>
      </c>
      <c r="E19" s="73">
        <f t="shared" si="4"/>
        <v>218.4</v>
      </c>
      <c r="F19" s="78">
        <v>0</v>
      </c>
      <c r="G19" s="22">
        <f>E19*F19</f>
        <v>0</v>
      </c>
      <c r="H19" s="22">
        <f t="shared" si="3"/>
        <v>0</v>
      </c>
      <c r="I19" s="23" t="str">
        <f>IF(ISERROR(H19/ABS(D19)),"N/A",(H19/ABS(D19)))</f>
        <v>N/A</v>
      </c>
      <c r="J19" s="124">
        <f t="shared" si="1"/>
        <v>0</v>
      </c>
    </row>
    <row r="20" spans="1:10" x14ac:dyDescent="0.2">
      <c r="A20" s="110" t="s">
        <v>72</v>
      </c>
      <c r="B20" s="74"/>
      <c r="C20" s="35"/>
      <c r="D20" s="35">
        <f>SUM(D15:D19)</f>
        <v>27.123999999999999</v>
      </c>
      <c r="E20" s="73"/>
      <c r="F20" s="35"/>
      <c r="G20" s="35">
        <f>SUM(G15:G19)</f>
        <v>28.983999999999998</v>
      </c>
      <c r="H20" s="35">
        <f t="shared" si="3"/>
        <v>1.8599999999999994</v>
      </c>
      <c r="I20" s="36">
        <f t="shared" ref="I20" si="7">IF(ISERROR(H20/D20),0,(H20/D20))</f>
        <v>6.8573956643562875E-2</v>
      </c>
      <c r="J20" s="111">
        <f t="shared" si="1"/>
        <v>0.51388182898278811</v>
      </c>
    </row>
    <row r="21" spans="1:10" s="1" customFormat="1" x14ac:dyDescent="0.2">
      <c r="A21" s="119" t="s">
        <v>81</v>
      </c>
      <c r="B21" s="120">
        <f>B8-B4</f>
        <v>18.400000000000006</v>
      </c>
      <c r="C21" s="170">
        <f>IF(B4&gt;B7,C13,C12)</f>
        <v>9.0999999999999998E-2</v>
      </c>
      <c r="D21" s="22">
        <f>B21*C21</f>
        <v>1.6744000000000006</v>
      </c>
      <c r="E21" s="73">
        <f>B21</f>
        <v>18.400000000000006</v>
      </c>
      <c r="F21" s="170">
        <f>C21</f>
        <v>9.0999999999999998E-2</v>
      </c>
      <c r="G21" s="22">
        <f>E21*F21</f>
        <v>1.6744000000000006</v>
      </c>
      <c r="H21" s="22">
        <f t="shared" si="3"/>
        <v>0</v>
      </c>
      <c r="I21" s="23">
        <f>IF(ISERROR(H21/D21),0,(H21/D21))</f>
        <v>0</v>
      </c>
      <c r="J21" s="124">
        <f t="shared" si="1"/>
        <v>2.968685255481579E-2</v>
      </c>
    </row>
    <row r="22" spans="1:10" x14ac:dyDescent="0.2">
      <c r="A22" s="110" t="s">
        <v>79</v>
      </c>
      <c r="B22" s="74"/>
      <c r="C22" s="35"/>
      <c r="D22" s="35">
        <f>SUM(D20,D21:D21)</f>
        <v>28.798400000000001</v>
      </c>
      <c r="E22" s="73"/>
      <c r="F22" s="35"/>
      <c r="G22" s="35">
        <f>SUM(G20,G21:G21)</f>
        <v>30.6584</v>
      </c>
      <c r="H22" s="35">
        <f t="shared" si="3"/>
        <v>1.8599999999999994</v>
      </c>
      <c r="I22" s="36">
        <f t="shared" ref="I22:I37" si="8">IF(ISERROR(H22/ABS(D22)),"N/A",(H22/ABS(D22)))</f>
        <v>6.4586921495638619E-2</v>
      </c>
      <c r="J22" s="111">
        <f t="shared" si="1"/>
        <v>0.54356868153760396</v>
      </c>
    </row>
    <row r="23" spans="1:10" x14ac:dyDescent="0.2">
      <c r="A23" s="107" t="s">
        <v>40</v>
      </c>
      <c r="B23" s="73">
        <f>B8</f>
        <v>218.4</v>
      </c>
      <c r="C23" s="125">
        <f>VLOOKUP($B$3,'Data for Bill Impacts'!$A$6:$Y$18,15,0)</f>
        <v>4.6979999999999999E-3</v>
      </c>
      <c r="D23" s="22">
        <f>B23*C23</f>
        <v>1.0260431999999999</v>
      </c>
      <c r="E23" s="73">
        <f t="shared" si="4"/>
        <v>218.4</v>
      </c>
      <c r="F23" s="125">
        <f>VLOOKUP($B$3,'Data for Bill Impacts'!$A$6:$Y$18,24,0)</f>
        <v>4.6979999999999999E-3</v>
      </c>
      <c r="G23" s="22">
        <f>E23*F23</f>
        <v>1.0260431999999999</v>
      </c>
      <c r="H23" s="22">
        <f t="shared" si="3"/>
        <v>0</v>
      </c>
      <c r="I23" s="23">
        <f t="shared" si="8"/>
        <v>0</v>
      </c>
      <c r="J23" s="124">
        <f t="shared" si="1"/>
        <v>1.8191586952503197E-2</v>
      </c>
    </row>
    <row r="24" spans="1:10" s="1" customFormat="1" x14ac:dyDescent="0.2">
      <c r="A24" s="107" t="s">
        <v>41</v>
      </c>
      <c r="B24" s="73">
        <f>B8</f>
        <v>218.4</v>
      </c>
      <c r="C24" s="125">
        <f>VLOOKUP($B$3,'Data for Bill Impacts'!$A$6:$Y$18,16,0)</f>
        <v>4.2899999999999995E-3</v>
      </c>
      <c r="D24" s="22">
        <f>B24*C24</f>
        <v>0.93693599999999988</v>
      </c>
      <c r="E24" s="73">
        <f t="shared" si="4"/>
        <v>218.4</v>
      </c>
      <c r="F24" s="125">
        <f>VLOOKUP($B$3,'Data for Bill Impacts'!$A$6:$Y$18,25,0)</f>
        <v>4.2899999999999995E-3</v>
      </c>
      <c r="G24" s="22">
        <f>E24*F24</f>
        <v>0.93693599999999988</v>
      </c>
      <c r="H24" s="22">
        <f t="shared" si="3"/>
        <v>0</v>
      </c>
      <c r="I24" s="23">
        <f t="shared" si="8"/>
        <v>0</v>
      </c>
      <c r="J24" s="124">
        <f t="shared" si="1"/>
        <v>1.6611730103499089E-2</v>
      </c>
    </row>
    <row r="25" spans="1:10" s="1" customFormat="1" x14ac:dyDescent="0.2">
      <c r="A25" s="110" t="s">
        <v>76</v>
      </c>
      <c r="B25" s="74"/>
      <c r="C25" s="35"/>
      <c r="D25" s="35">
        <f>SUM(D23:D24)</f>
        <v>1.9629791999999999</v>
      </c>
      <c r="E25" s="73"/>
      <c r="F25" s="35"/>
      <c r="G25" s="35">
        <f>SUM(G23:G24)</f>
        <v>1.9629791999999999</v>
      </c>
      <c r="H25" s="35">
        <f t="shared" si="3"/>
        <v>0</v>
      </c>
      <c r="I25" s="36">
        <f t="shared" si="8"/>
        <v>0</v>
      </c>
      <c r="J25" s="111">
        <f t="shared" si="1"/>
        <v>3.4803317056002286E-2</v>
      </c>
    </row>
    <row r="26" spans="1:10" s="1" customFormat="1" x14ac:dyDescent="0.2">
      <c r="A26" s="110" t="s">
        <v>80</v>
      </c>
      <c r="B26" s="74"/>
      <c r="C26" s="35"/>
      <c r="D26" s="35">
        <f>D22+D25</f>
        <v>30.7613792</v>
      </c>
      <c r="E26" s="73"/>
      <c r="F26" s="35"/>
      <c r="G26" s="35">
        <f>G22+G25</f>
        <v>32.6213792</v>
      </c>
      <c r="H26" s="35">
        <f t="shared" si="3"/>
        <v>1.8599999999999994</v>
      </c>
      <c r="I26" s="36">
        <f t="shared" si="8"/>
        <v>6.0465429326393774E-2</v>
      </c>
      <c r="J26" s="111">
        <f t="shared" si="1"/>
        <v>0.57837199859360622</v>
      </c>
    </row>
    <row r="27" spans="1:10" x14ac:dyDescent="0.2">
      <c r="A27" s="107" t="s">
        <v>42</v>
      </c>
      <c r="B27" s="73">
        <f>B8</f>
        <v>218.4</v>
      </c>
      <c r="C27" s="34">
        <v>3.5999999999999999E-3</v>
      </c>
      <c r="D27" s="22">
        <f>B27*C27</f>
        <v>0.78624000000000005</v>
      </c>
      <c r="E27" s="73">
        <f t="shared" si="4"/>
        <v>218.4</v>
      </c>
      <c r="F27" s="34">
        <v>3.5999999999999999E-3</v>
      </c>
      <c r="G27" s="22">
        <f>E27*F27</f>
        <v>0.78624000000000005</v>
      </c>
      <c r="H27" s="22">
        <f t="shared" si="3"/>
        <v>0</v>
      </c>
      <c r="I27" s="23">
        <f t="shared" si="8"/>
        <v>0</v>
      </c>
      <c r="J27" s="124">
        <f t="shared" si="1"/>
        <v>1.3939913373565671E-2</v>
      </c>
    </row>
    <row r="28" spans="1:10" s="1" customFormat="1" x14ac:dyDescent="0.2">
      <c r="A28" s="107" t="s">
        <v>43</v>
      </c>
      <c r="B28" s="73">
        <f>B8</f>
        <v>218.4</v>
      </c>
      <c r="C28" s="34">
        <v>2.0999999999999999E-3</v>
      </c>
      <c r="D28" s="22">
        <f>B28*C28</f>
        <v>0.45863999999999999</v>
      </c>
      <c r="E28" s="73">
        <f t="shared" si="4"/>
        <v>218.4</v>
      </c>
      <c r="F28" s="34">
        <v>2.0999999999999999E-3</v>
      </c>
      <c r="G28" s="22">
        <f>E28*F28</f>
        <v>0.45863999999999999</v>
      </c>
      <c r="H28" s="22">
        <f>G28-D28</f>
        <v>0</v>
      </c>
      <c r="I28" s="23">
        <f t="shared" si="8"/>
        <v>0</v>
      </c>
      <c r="J28" s="124">
        <f t="shared" si="1"/>
        <v>8.1316161345799734E-3</v>
      </c>
    </row>
    <row r="29" spans="1:10" s="1" customFormat="1" x14ac:dyDescent="0.2">
      <c r="A29" s="107" t="s">
        <v>96</v>
      </c>
      <c r="B29" s="73">
        <f>B8</f>
        <v>218.4</v>
      </c>
      <c r="C29" s="34">
        <v>0</v>
      </c>
      <c r="D29" s="22">
        <f>B29*C29</f>
        <v>0</v>
      </c>
      <c r="E29" s="73">
        <f t="shared" si="4"/>
        <v>218.4</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4.4324612629622218E-3</v>
      </c>
    </row>
    <row r="31" spans="1:10" s="1" customFormat="1" x14ac:dyDescent="0.2">
      <c r="A31" s="110" t="s">
        <v>45</v>
      </c>
      <c r="B31" s="74"/>
      <c r="C31" s="35"/>
      <c r="D31" s="35">
        <f>SUM(D27:D30)</f>
        <v>1.49488</v>
      </c>
      <c r="E31" s="73"/>
      <c r="F31" s="35"/>
      <c r="G31" s="35">
        <f>SUM(G27:G30)</f>
        <v>1.49488</v>
      </c>
      <c r="H31" s="35">
        <f t="shared" si="3"/>
        <v>0</v>
      </c>
      <c r="I31" s="36">
        <f t="shared" si="8"/>
        <v>0</v>
      </c>
      <c r="J31" s="111">
        <f t="shared" si="10"/>
        <v>2.6503990771107867E-2</v>
      </c>
    </row>
    <row r="32" spans="1:10" ht="13.5" thickBot="1" x14ac:dyDescent="0.25">
      <c r="A32" s="112" t="s">
        <v>46</v>
      </c>
      <c r="B32" s="113">
        <f>B4</f>
        <v>200</v>
      </c>
      <c r="C32" s="114">
        <v>7.0000000000000001E-3</v>
      </c>
      <c r="D32" s="115">
        <f>B32*C32</f>
        <v>1.4000000000000001</v>
      </c>
      <c r="E32" s="116">
        <f t="shared" si="4"/>
        <v>200</v>
      </c>
      <c r="F32" s="114">
        <f>C32</f>
        <v>7.0000000000000001E-3</v>
      </c>
      <c r="G32" s="115">
        <f>E32*F32</f>
        <v>1.4000000000000001</v>
      </c>
      <c r="H32" s="115">
        <f t="shared" si="3"/>
        <v>0</v>
      </c>
      <c r="I32" s="117">
        <f t="shared" si="8"/>
        <v>0</v>
      </c>
      <c r="J32" s="118">
        <f t="shared" si="10"/>
        <v>2.4821783072588446E-2</v>
      </c>
    </row>
    <row r="33" spans="1:10" x14ac:dyDescent="0.2">
      <c r="A33" s="37" t="s">
        <v>111</v>
      </c>
      <c r="B33" s="38"/>
      <c r="C33" s="39"/>
      <c r="D33" s="39">
        <f>SUM(D14,D22,D25,D31,D32)</f>
        <v>51.856259200000004</v>
      </c>
      <c r="E33" s="38"/>
      <c r="F33" s="39"/>
      <c r="G33" s="39">
        <f>SUM(G14,G22,G25,G31,G32)</f>
        <v>53.716259200000003</v>
      </c>
      <c r="H33" s="39">
        <f t="shared" si="3"/>
        <v>1.8599999999999994</v>
      </c>
      <c r="I33" s="40">
        <f t="shared" si="8"/>
        <v>3.5868379800137982E-2</v>
      </c>
      <c r="J33" s="41">
        <f t="shared" si="10"/>
        <v>0.95238095238095244</v>
      </c>
    </row>
    <row r="34" spans="1:10" x14ac:dyDescent="0.2">
      <c r="A34" s="46" t="s">
        <v>102</v>
      </c>
      <c r="B34" s="43"/>
      <c r="C34" s="26">
        <v>0.13</v>
      </c>
      <c r="D34" s="26">
        <f>D33*C34</f>
        <v>6.7413136960000006</v>
      </c>
      <c r="E34" s="26"/>
      <c r="F34" s="26">
        <f>C34</f>
        <v>0.13</v>
      </c>
      <c r="G34" s="26">
        <f>G33*F34</f>
        <v>6.9831136960000011</v>
      </c>
      <c r="H34" s="26">
        <f t="shared" si="3"/>
        <v>0.24180000000000046</v>
      </c>
      <c r="I34" s="44">
        <f t="shared" si="8"/>
        <v>3.5868379800138059E-2</v>
      </c>
      <c r="J34" s="45">
        <f t="shared" si="10"/>
        <v>0.12380952380952383</v>
      </c>
    </row>
    <row r="35" spans="1:10" x14ac:dyDescent="0.2">
      <c r="A35" s="46" t="s">
        <v>103</v>
      </c>
      <c r="B35" s="24"/>
      <c r="C35" s="25"/>
      <c r="D35" s="25">
        <f>SUM(D33:D34)</f>
        <v>58.597572896000003</v>
      </c>
      <c r="E35" s="25"/>
      <c r="F35" s="25"/>
      <c r="G35" s="25">
        <f>SUM(G33:G34)</f>
        <v>60.699372896000007</v>
      </c>
      <c r="H35" s="25">
        <f t="shared" si="3"/>
        <v>2.1018000000000043</v>
      </c>
      <c r="I35" s="27">
        <f t="shared" si="8"/>
        <v>3.5868379800138066E-2</v>
      </c>
      <c r="J35" s="47">
        <f t="shared" si="10"/>
        <v>1.0761904761904764</v>
      </c>
    </row>
    <row r="36" spans="1:10" x14ac:dyDescent="0.2">
      <c r="A36" s="46" t="s">
        <v>104</v>
      </c>
      <c r="B36" s="43"/>
      <c r="C36" s="26">
        <v>-0.08</v>
      </c>
      <c r="D36" s="26">
        <f>D33*C36</f>
        <v>-4.1485007360000008</v>
      </c>
      <c r="E36" s="26"/>
      <c r="F36" s="26">
        <f>C36</f>
        <v>-0.08</v>
      </c>
      <c r="G36" s="26">
        <f>G33*F36</f>
        <v>-4.2973007360000004</v>
      </c>
      <c r="H36" s="26">
        <f t="shared" si="3"/>
        <v>-0.1487999999999996</v>
      </c>
      <c r="I36" s="44">
        <f t="shared" si="8"/>
        <v>-3.5868379800137892E-2</v>
      </c>
      <c r="J36" s="45">
        <f t="shared" si="10"/>
        <v>-7.6190476190476197E-2</v>
      </c>
    </row>
    <row r="37" spans="1:10" ht="13.5" thickBot="1" x14ac:dyDescent="0.25">
      <c r="A37" s="46" t="s">
        <v>105</v>
      </c>
      <c r="B37" s="49"/>
      <c r="C37" s="50"/>
      <c r="D37" s="50">
        <f>SUM(D35:D36)</f>
        <v>54.44907216</v>
      </c>
      <c r="E37" s="50"/>
      <c r="F37" s="50"/>
      <c r="G37" s="50">
        <f>SUM(G35:G36)</f>
        <v>56.402072160000003</v>
      </c>
      <c r="H37" s="50">
        <f t="shared" si="3"/>
        <v>1.953000000000003</v>
      </c>
      <c r="I37" s="51">
        <f t="shared" si="8"/>
        <v>3.5868379800138045E-2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48"/>
  <sheetViews>
    <sheetView tabSelected="1" view="pageLayout" topLeftCell="A3"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185" t="s">
        <v>118</v>
      </c>
      <c r="B1" s="186"/>
      <c r="C1" s="186"/>
      <c r="D1" s="186"/>
      <c r="E1" s="186"/>
      <c r="F1" s="186"/>
      <c r="G1" s="186"/>
      <c r="H1" s="186"/>
      <c r="I1" s="186"/>
      <c r="J1" s="187"/>
      <c r="K1" s="127"/>
    </row>
    <row r="3" spans="1:11" x14ac:dyDescent="0.2">
      <c r="A3" s="13" t="s">
        <v>13</v>
      </c>
      <c r="B3" s="13" t="s">
        <v>8</v>
      </c>
    </row>
    <row r="4" spans="1:11" x14ac:dyDescent="0.2">
      <c r="A4" s="15" t="s">
        <v>62</v>
      </c>
      <c r="B4" s="15">
        <v>100</v>
      </c>
    </row>
    <row r="5" spans="1:11" x14ac:dyDescent="0.2">
      <c r="A5" s="15" t="s">
        <v>16</v>
      </c>
      <c r="B5" s="15">
        <f>VLOOKUP($B$3,'Data for Bill Impacts'!$A$6:$Y$18,5,0)</f>
        <v>0</v>
      </c>
    </row>
    <row r="6" spans="1:11" x14ac:dyDescent="0.2">
      <c r="A6" s="15" t="s">
        <v>20</v>
      </c>
      <c r="B6" s="15">
        <f>VLOOKUP($B$3,'Data for Bill Impacts'!$A$6:$Y$18,2,0)</f>
        <v>1.0920000000000001</v>
      </c>
    </row>
    <row r="7" spans="1:11" x14ac:dyDescent="0.2">
      <c r="A7" s="15" t="s">
        <v>15</v>
      </c>
      <c r="B7" s="15">
        <f>VLOOKUP($B$3,'Data for Bill Impacts'!$A$6:$Y$18,4,0)</f>
        <v>750</v>
      </c>
    </row>
    <row r="8" spans="1:11" x14ac:dyDescent="0.2">
      <c r="A8" s="15" t="s">
        <v>82</v>
      </c>
      <c r="B8" s="167">
        <f>B4*B6</f>
        <v>109.2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2" t="s">
        <v>29</v>
      </c>
    </row>
    <row r="12" spans="1:11"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28" si="1">G12/$G$37</f>
        <v>0.32329707790373297</v>
      </c>
    </row>
    <row r="13" spans="1:11" x14ac:dyDescent="0.2">
      <c r="A13" s="107" t="s">
        <v>32</v>
      </c>
      <c r="B13" s="73">
        <f>IF(B4&gt;B7,(B4)-B7,0)</f>
        <v>0</v>
      </c>
      <c r="C13" s="21">
        <v>0.106</v>
      </c>
      <c r="D13" s="22">
        <f>B13*C13</f>
        <v>0</v>
      </c>
      <c r="E13" s="73">
        <f t="shared" ref="E13:E32" si="2">B13</f>
        <v>0</v>
      </c>
      <c r="F13" s="21">
        <f>C13</f>
        <v>0.106</v>
      </c>
      <c r="G13" s="22">
        <f>E13*F13</f>
        <v>0</v>
      </c>
      <c r="H13" s="22">
        <f t="shared" ref="H13:H37" si="3">G13-D13</f>
        <v>0</v>
      </c>
      <c r="I13" s="23" t="str">
        <f t="shared" si="0"/>
        <v>N/A</v>
      </c>
      <c r="J13" s="124">
        <f t="shared" si="1"/>
        <v>0</v>
      </c>
    </row>
    <row r="14" spans="1:11" s="1" customFormat="1" x14ac:dyDescent="0.2">
      <c r="A14" s="46" t="s">
        <v>33</v>
      </c>
      <c r="B14" s="24"/>
      <c r="C14" s="25"/>
      <c r="D14" s="25">
        <f>SUM(D12:D13)</f>
        <v>9.1</v>
      </c>
      <c r="E14" s="76"/>
      <c r="F14" s="25"/>
      <c r="G14" s="25">
        <f>SUM(G12:G13)</f>
        <v>9.1</v>
      </c>
      <c r="H14" s="25">
        <f t="shared" si="3"/>
        <v>0</v>
      </c>
      <c r="I14" s="27">
        <f t="shared" si="0"/>
        <v>0</v>
      </c>
      <c r="J14" s="47">
        <f t="shared" si="1"/>
        <v>0.32329707790373297</v>
      </c>
    </row>
    <row r="15" spans="1:11" x14ac:dyDescent="0.2">
      <c r="A15" s="107" t="s">
        <v>38</v>
      </c>
      <c r="B15" s="73">
        <v>1</v>
      </c>
      <c r="C15" s="78">
        <f>VLOOKUP($B$3,'Data for Bill Impacts'!$A$6:$Y$18,7,0)</f>
        <v>4.07</v>
      </c>
      <c r="D15" s="22">
        <f>B15*C15</f>
        <v>4.07</v>
      </c>
      <c r="E15" s="73">
        <f t="shared" si="2"/>
        <v>1</v>
      </c>
      <c r="F15" s="78">
        <f>VLOOKUP($B$3,'Data for Bill Impacts'!$A$6:$Y$18,17,0)</f>
        <v>4.2</v>
      </c>
      <c r="G15" s="22">
        <f>E15*F15</f>
        <v>4.2</v>
      </c>
      <c r="H15" s="22">
        <f t="shared" si="3"/>
        <v>0.12999999999999989</v>
      </c>
      <c r="I15" s="23">
        <f t="shared" si="0"/>
        <v>3.1941031941031914E-2</v>
      </c>
      <c r="J15" s="124">
        <f t="shared" si="1"/>
        <v>0.14921403595556909</v>
      </c>
    </row>
    <row r="16" spans="1:11" x14ac:dyDescent="0.2">
      <c r="A16" s="107" t="s">
        <v>85</v>
      </c>
      <c r="B16" s="73">
        <v>1</v>
      </c>
      <c r="C16" s="121">
        <f>VLOOKUP($B$3,'Data for Bill Impacts'!$A$6:$Y$18,13,0)</f>
        <v>7.0000000000000001E-3</v>
      </c>
      <c r="D16" s="22">
        <f t="shared" ref="D16" si="4">B16*C16</f>
        <v>7.0000000000000001E-3</v>
      </c>
      <c r="E16" s="73">
        <f t="shared" si="2"/>
        <v>1</v>
      </c>
      <c r="F16" s="121">
        <f>VLOOKUP($B$3,'Data for Bill Impacts'!$A$6:$Y$18,22,0)</f>
        <v>7.0000000000000001E-3</v>
      </c>
      <c r="G16" s="22">
        <f t="shared" ref="G16" si="5">E16*F16</f>
        <v>7.0000000000000001E-3</v>
      </c>
      <c r="H16" s="22">
        <f t="shared" ref="H16" si="6">G16-D16</f>
        <v>0</v>
      </c>
      <c r="I16" s="23">
        <f t="shared" si="0"/>
        <v>0</v>
      </c>
      <c r="J16" s="124">
        <f t="shared" si="1"/>
        <v>2.4869005992594846E-4</v>
      </c>
    </row>
    <row r="17" spans="1:10" x14ac:dyDescent="0.2">
      <c r="A17" s="107" t="s">
        <v>39</v>
      </c>
      <c r="B17" s="73">
        <f>IF($B$9="kWh",$B$4,$B$5)</f>
        <v>100</v>
      </c>
      <c r="C17" s="125">
        <f>VLOOKUP($B$3,'Data for Bill Impacts'!$A$6:$Y$18,10,0)</f>
        <v>9.7600000000000006E-2</v>
      </c>
      <c r="D17" s="22">
        <f>B17*C17</f>
        <v>9.76</v>
      </c>
      <c r="E17" s="73">
        <f t="shared" si="2"/>
        <v>100</v>
      </c>
      <c r="F17" s="78">
        <f>VLOOKUP($B$3,'Data for Bill Impacts'!$A$6:$Y$18,19,0)</f>
        <v>0.1011</v>
      </c>
      <c r="G17" s="22">
        <f>E17*F17</f>
        <v>10.11</v>
      </c>
      <c r="H17" s="22">
        <f t="shared" si="3"/>
        <v>0.34999999999999964</v>
      </c>
      <c r="I17" s="23">
        <f t="shared" si="0"/>
        <v>3.5860655737704882E-2</v>
      </c>
      <c r="J17" s="124">
        <f t="shared" si="1"/>
        <v>0.35917950083590555</v>
      </c>
    </row>
    <row r="18" spans="1:10" s="1" customFormat="1" x14ac:dyDescent="0.2">
      <c r="A18" s="107" t="s">
        <v>122</v>
      </c>
      <c r="B18" s="73">
        <f>IF($B$9="kWh",$B$4,$B$5)</f>
        <v>100</v>
      </c>
      <c r="C18" s="125">
        <f>VLOOKUP($B$3,'Data for Bill Impacts'!$A$6:$Y$18,14,0)</f>
        <v>-9.9999999999999991E-6</v>
      </c>
      <c r="D18" s="22">
        <f>B18*C18</f>
        <v>-1E-3</v>
      </c>
      <c r="E18" s="73">
        <f>B18</f>
        <v>100</v>
      </c>
      <c r="F18" s="125">
        <f>VLOOKUP($B$3,'Data for Bill Impacts'!$A$6:$Y$18,23,0)</f>
        <v>-9.9999999999999991E-6</v>
      </c>
      <c r="G18" s="22">
        <f>E18*F18</f>
        <v>-1E-3</v>
      </c>
      <c r="H18" s="22">
        <f>G18-D18</f>
        <v>0</v>
      </c>
      <c r="I18" s="23">
        <f t="shared" si="0"/>
        <v>0</v>
      </c>
      <c r="J18" s="124">
        <f t="shared" si="1"/>
        <v>-3.552715141799264E-5</v>
      </c>
    </row>
    <row r="19" spans="1:10" hidden="1" x14ac:dyDescent="0.2">
      <c r="A19" s="107" t="s">
        <v>108</v>
      </c>
      <c r="B19" s="73">
        <f>B8</f>
        <v>109.2</v>
      </c>
      <c r="C19" s="78">
        <v>0</v>
      </c>
      <c r="D19" s="22">
        <f>B19*C19</f>
        <v>0</v>
      </c>
      <c r="E19" s="73">
        <f t="shared" si="2"/>
        <v>109.2</v>
      </c>
      <c r="F19" s="78">
        <v>0</v>
      </c>
      <c r="G19" s="22">
        <f>E19*F19</f>
        <v>0</v>
      </c>
      <c r="H19" s="22">
        <f t="shared" si="3"/>
        <v>0</v>
      </c>
      <c r="I19" s="23" t="str">
        <f>IF(ISERROR(H19/ABS(D19)),"N/A",(H19/ABS(D19)))</f>
        <v>N/A</v>
      </c>
      <c r="J19" s="124">
        <f t="shared" si="1"/>
        <v>0</v>
      </c>
    </row>
    <row r="20" spans="1:10" x14ac:dyDescent="0.2">
      <c r="A20" s="110" t="s">
        <v>72</v>
      </c>
      <c r="B20" s="74"/>
      <c r="C20" s="35"/>
      <c r="D20" s="35">
        <f>SUM(D15:D19)</f>
        <v>13.836</v>
      </c>
      <c r="E20" s="73"/>
      <c r="F20" s="35"/>
      <c r="G20" s="35">
        <f>SUM(G15:G19)</f>
        <v>14.316000000000001</v>
      </c>
      <c r="H20" s="35">
        <f t="shared" si="3"/>
        <v>0.48000000000000043</v>
      </c>
      <c r="I20" s="36">
        <f t="shared" ref="I20" si="7">IF(ISERROR(H20/D20),0,(H20/D20))</f>
        <v>3.4692107545533424E-2</v>
      </c>
      <c r="J20" s="111">
        <f t="shared" si="1"/>
        <v>0.50860669969998262</v>
      </c>
    </row>
    <row r="21" spans="1:10" s="1" customFormat="1" x14ac:dyDescent="0.2">
      <c r="A21" s="119" t="s">
        <v>81</v>
      </c>
      <c r="B21" s="120">
        <f>B8-B4</f>
        <v>9.2000000000000028</v>
      </c>
      <c r="C21" s="170">
        <f>IF(B4&gt;B7,C13,C12)</f>
        <v>9.0999999999999998E-2</v>
      </c>
      <c r="D21" s="22">
        <f>B21*C21</f>
        <v>0.83720000000000028</v>
      </c>
      <c r="E21" s="73">
        <f>B21</f>
        <v>9.2000000000000028</v>
      </c>
      <c r="F21" s="170">
        <f>C21</f>
        <v>9.0999999999999998E-2</v>
      </c>
      <c r="G21" s="22">
        <f>E21*F21</f>
        <v>0.83720000000000028</v>
      </c>
      <c r="H21" s="22">
        <f t="shared" si="3"/>
        <v>0</v>
      </c>
      <c r="I21" s="23">
        <f>IF(ISERROR(H21/D21),0,(H21/D21))</f>
        <v>0</v>
      </c>
      <c r="J21" s="124">
        <f t="shared" si="1"/>
        <v>2.9743331167143446E-2</v>
      </c>
    </row>
    <row r="22" spans="1:10" x14ac:dyDescent="0.2">
      <c r="A22" s="110" t="s">
        <v>79</v>
      </c>
      <c r="B22" s="74"/>
      <c r="C22" s="35"/>
      <c r="D22" s="35">
        <f>SUM(D20,D21:D21)</f>
        <v>14.673200000000001</v>
      </c>
      <c r="E22" s="73"/>
      <c r="F22" s="35"/>
      <c r="G22" s="35">
        <f>SUM(G20,G21:G21)</f>
        <v>15.153200000000002</v>
      </c>
      <c r="H22" s="35">
        <f t="shared" si="3"/>
        <v>0.48000000000000043</v>
      </c>
      <c r="I22" s="36">
        <f t="shared" ref="I22:I37" si="8">IF(ISERROR(H22/ABS(D22)),"N/A",(H22/ABS(D22)))</f>
        <v>3.2712700706049147E-2</v>
      </c>
      <c r="J22" s="111">
        <f t="shared" si="1"/>
        <v>0.53835003086712607</v>
      </c>
    </row>
    <row r="23" spans="1:10" x14ac:dyDescent="0.2">
      <c r="A23" s="107" t="s">
        <v>40</v>
      </c>
      <c r="B23" s="73">
        <f>B8</f>
        <v>109.2</v>
      </c>
      <c r="C23" s="78">
        <f>VLOOKUP($B$3,'Data for Bill Impacts'!$A$6:$Y$18,15,0)</f>
        <v>4.6979999999999999E-3</v>
      </c>
      <c r="D23" s="22">
        <f>B23*C23</f>
        <v>0.51302159999999997</v>
      </c>
      <c r="E23" s="73">
        <f t="shared" si="2"/>
        <v>109.2</v>
      </c>
      <c r="F23" s="125">
        <f>VLOOKUP($B$3,'Data for Bill Impacts'!$A$6:$Y$18,24,0)</f>
        <v>4.6979999999999999E-3</v>
      </c>
      <c r="G23" s="22">
        <f>E23*F23</f>
        <v>0.51302159999999997</v>
      </c>
      <c r="H23" s="22">
        <f t="shared" si="3"/>
        <v>0</v>
      </c>
      <c r="I23" s="23">
        <f t="shared" si="8"/>
        <v>0</v>
      </c>
      <c r="J23" s="124">
        <f t="shared" si="1"/>
        <v>1.822619606390085E-2</v>
      </c>
    </row>
    <row r="24" spans="1:10" s="1" customFormat="1" x14ac:dyDescent="0.2">
      <c r="A24" s="107" t="s">
        <v>41</v>
      </c>
      <c r="B24" s="73">
        <f>B8</f>
        <v>109.2</v>
      </c>
      <c r="C24" s="78">
        <f>VLOOKUP($B$3,'Data for Bill Impacts'!$A$6:$Y$18,16,0)</f>
        <v>4.2899999999999995E-3</v>
      </c>
      <c r="D24" s="22">
        <f>B24*C24</f>
        <v>0.46846799999999994</v>
      </c>
      <c r="E24" s="73">
        <f t="shared" si="2"/>
        <v>109.2</v>
      </c>
      <c r="F24" s="125">
        <f>VLOOKUP($B$3,'Data for Bill Impacts'!$A$6:$Y$18,25,0)</f>
        <v>4.2899999999999995E-3</v>
      </c>
      <c r="G24" s="22">
        <f>E24*F24</f>
        <v>0.46846799999999994</v>
      </c>
      <c r="H24" s="22">
        <f t="shared" si="3"/>
        <v>0</v>
      </c>
      <c r="I24" s="23">
        <f t="shared" si="8"/>
        <v>0</v>
      </c>
      <c r="J24" s="124">
        <f t="shared" si="1"/>
        <v>1.6643333570484174E-2</v>
      </c>
    </row>
    <row r="25" spans="1:10" s="1" customFormat="1" x14ac:dyDescent="0.2">
      <c r="A25" s="110" t="s">
        <v>76</v>
      </c>
      <c r="B25" s="74"/>
      <c r="C25" s="35"/>
      <c r="D25" s="35">
        <f>SUM(D23:D24)</f>
        <v>0.98148959999999996</v>
      </c>
      <c r="E25" s="73"/>
      <c r="F25" s="35"/>
      <c r="G25" s="35">
        <f>SUM(G23:G24)</f>
        <v>0.98148959999999996</v>
      </c>
      <c r="H25" s="35">
        <f t="shared" si="3"/>
        <v>0</v>
      </c>
      <c r="I25" s="36">
        <f t="shared" si="8"/>
        <v>0</v>
      </c>
      <c r="J25" s="111">
        <f t="shared" si="1"/>
        <v>3.4869529634385027E-2</v>
      </c>
    </row>
    <row r="26" spans="1:10" s="1" customFormat="1" x14ac:dyDescent="0.2">
      <c r="A26" s="110" t="s">
        <v>80</v>
      </c>
      <c r="B26" s="74"/>
      <c r="C26" s="35"/>
      <c r="D26" s="35">
        <f>D22+D25</f>
        <v>15.654689600000001</v>
      </c>
      <c r="E26" s="73"/>
      <c r="F26" s="35"/>
      <c r="G26" s="35">
        <f>G22+G25</f>
        <v>16.134689600000002</v>
      </c>
      <c r="H26" s="35">
        <f t="shared" si="3"/>
        <v>0.48000000000000043</v>
      </c>
      <c r="I26" s="36">
        <f t="shared" si="8"/>
        <v>3.0661738575768399E-2</v>
      </c>
      <c r="J26" s="111">
        <f t="shared" si="1"/>
        <v>0.57321956050151113</v>
      </c>
    </row>
    <row r="27" spans="1:10" x14ac:dyDescent="0.2">
      <c r="A27" s="107" t="s">
        <v>42</v>
      </c>
      <c r="B27" s="73">
        <f>B8</f>
        <v>109.2</v>
      </c>
      <c r="C27" s="34">
        <v>3.5999999999999999E-3</v>
      </c>
      <c r="D27" s="22">
        <f>B27*C27</f>
        <v>0.39312000000000002</v>
      </c>
      <c r="E27" s="73">
        <f t="shared" si="2"/>
        <v>109.2</v>
      </c>
      <c r="F27" s="34">
        <v>3.5999999999999999E-3</v>
      </c>
      <c r="G27" s="22">
        <f>E27*F27</f>
        <v>0.39312000000000002</v>
      </c>
      <c r="H27" s="22">
        <f t="shared" si="3"/>
        <v>0</v>
      </c>
      <c r="I27" s="23">
        <f t="shared" si="8"/>
        <v>0</v>
      </c>
      <c r="J27" s="124">
        <f t="shared" si="1"/>
        <v>1.3966433765441266E-2</v>
      </c>
    </row>
    <row r="28" spans="1:10" s="1" customFormat="1" x14ac:dyDescent="0.2">
      <c r="A28" s="107" t="s">
        <v>43</v>
      </c>
      <c r="B28" s="73">
        <f>B8</f>
        <v>109.2</v>
      </c>
      <c r="C28" s="34">
        <v>2.0999999999999999E-3</v>
      </c>
      <c r="D28" s="22">
        <f>B28*C28</f>
        <v>0.22932</v>
      </c>
      <c r="E28" s="73">
        <f t="shared" si="2"/>
        <v>109.2</v>
      </c>
      <c r="F28" s="34">
        <v>2.0999999999999999E-3</v>
      </c>
      <c r="G28" s="22">
        <f>E28*F28</f>
        <v>0.22932</v>
      </c>
      <c r="H28" s="22">
        <f>G28-D28</f>
        <v>0</v>
      </c>
      <c r="I28" s="23">
        <f t="shared" si="8"/>
        <v>0</v>
      </c>
      <c r="J28" s="124">
        <f t="shared" si="1"/>
        <v>8.147086363174072E-3</v>
      </c>
    </row>
    <row r="29" spans="1:10" s="1" customFormat="1" x14ac:dyDescent="0.2">
      <c r="A29" s="107" t="s">
        <v>96</v>
      </c>
      <c r="B29" s="73">
        <f>B8</f>
        <v>109.2</v>
      </c>
      <c r="C29" s="34">
        <v>0</v>
      </c>
      <c r="D29" s="22">
        <f>B29*C29</f>
        <v>0</v>
      </c>
      <c r="E29" s="73">
        <f t="shared" si="2"/>
        <v>109.2</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2"/>
        <v>1</v>
      </c>
      <c r="F30" s="22">
        <f>C30</f>
        <v>0.25</v>
      </c>
      <c r="G30" s="22">
        <f>E30*F30</f>
        <v>0.25</v>
      </c>
      <c r="H30" s="22">
        <f t="shared" si="3"/>
        <v>0</v>
      </c>
      <c r="I30" s="23">
        <f t="shared" si="8"/>
        <v>0</v>
      </c>
      <c r="J30" s="124">
        <f t="shared" ref="J30:J37" si="10">G30/$G$37</f>
        <v>8.8817878544981584E-3</v>
      </c>
    </row>
    <row r="31" spans="1:10" s="1" customFormat="1" x14ac:dyDescent="0.2">
      <c r="A31" s="110" t="s">
        <v>45</v>
      </c>
      <c r="B31" s="74"/>
      <c r="C31" s="35"/>
      <c r="D31" s="35">
        <f>SUM(D27:D30)</f>
        <v>0.87243999999999999</v>
      </c>
      <c r="E31" s="73"/>
      <c r="F31" s="35"/>
      <c r="G31" s="35">
        <f>SUM(G27:G30)</f>
        <v>0.87243999999999999</v>
      </c>
      <c r="H31" s="35">
        <f t="shared" si="3"/>
        <v>0</v>
      </c>
      <c r="I31" s="36">
        <f t="shared" si="8"/>
        <v>0</v>
      </c>
      <c r="J31" s="111">
        <f t="shared" si="10"/>
        <v>3.0995307983113497E-2</v>
      </c>
    </row>
    <row r="32" spans="1:10" ht="13.5" thickBot="1" x14ac:dyDescent="0.25">
      <c r="A32" s="112" t="s">
        <v>46</v>
      </c>
      <c r="B32" s="113">
        <f>B4</f>
        <v>100</v>
      </c>
      <c r="C32" s="114">
        <v>7.0000000000000001E-3</v>
      </c>
      <c r="D32" s="115">
        <f>B32*C32</f>
        <v>0.70000000000000007</v>
      </c>
      <c r="E32" s="116">
        <f t="shared" si="2"/>
        <v>100</v>
      </c>
      <c r="F32" s="114">
        <f>C32</f>
        <v>7.0000000000000001E-3</v>
      </c>
      <c r="G32" s="115">
        <f>E32*F32</f>
        <v>0.70000000000000007</v>
      </c>
      <c r="H32" s="115">
        <f t="shared" si="3"/>
        <v>0</v>
      </c>
      <c r="I32" s="117">
        <f t="shared" si="8"/>
        <v>0</v>
      </c>
      <c r="J32" s="118">
        <f t="shared" si="10"/>
        <v>2.4869005992594846E-2</v>
      </c>
    </row>
    <row r="33" spans="1:10" x14ac:dyDescent="0.2">
      <c r="A33" s="37" t="s">
        <v>111</v>
      </c>
      <c r="B33" s="38"/>
      <c r="C33" s="39"/>
      <c r="D33" s="39">
        <f>SUM(D14,D22,D25,D31,D32)</f>
        <v>26.327129600000003</v>
      </c>
      <c r="E33" s="38"/>
      <c r="F33" s="39"/>
      <c r="G33" s="39">
        <f>SUM(G14,G22,G25,G31,G32)</f>
        <v>26.8071296</v>
      </c>
      <c r="H33" s="39">
        <f t="shared" si="3"/>
        <v>0.47999999999999687</v>
      </c>
      <c r="I33" s="40">
        <f t="shared" si="8"/>
        <v>1.8232143317287307E-2</v>
      </c>
      <c r="J33" s="41">
        <f t="shared" si="10"/>
        <v>0.95238095238095233</v>
      </c>
    </row>
    <row r="34" spans="1:10" x14ac:dyDescent="0.2">
      <c r="A34" s="46" t="s">
        <v>102</v>
      </c>
      <c r="B34" s="43"/>
      <c r="C34" s="26">
        <v>0.13</v>
      </c>
      <c r="D34" s="26">
        <f>D33*C34</f>
        <v>3.4225268480000004</v>
      </c>
      <c r="E34" s="26"/>
      <c r="F34" s="26">
        <f>C34</f>
        <v>0.13</v>
      </c>
      <c r="G34" s="26">
        <f>G33*F34</f>
        <v>3.4849268480000002</v>
      </c>
      <c r="H34" s="26">
        <f t="shared" si="3"/>
        <v>6.2399999999999789E-2</v>
      </c>
      <c r="I34" s="44">
        <f t="shared" si="8"/>
        <v>1.8232143317287362E-2</v>
      </c>
      <c r="J34" s="45">
        <f t="shared" si="10"/>
        <v>0.12380952380952381</v>
      </c>
    </row>
    <row r="35" spans="1:10" x14ac:dyDescent="0.2">
      <c r="A35" s="46" t="s">
        <v>103</v>
      </c>
      <c r="B35" s="24"/>
      <c r="C35" s="25"/>
      <c r="D35" s="25">
        <f>SUM(D33:D34)</f>
        <v>29.749656448000003</v>
      </c>
      <c r="E35" s="25"/>
      <c r="F35" s="25"/>
      <c r="G35" s="25">
        <f>SUM(G33:G34)</f>
        <v>30.292056448</v>
      </c>
      <c r="H35" s="25">
        <f t="shared" si="3"/>
        <v>0.54239999999999711</v>
      </c>
      <c r="I35" s="27">
        <f t="shared" si="8"/>
        <v>1.8232143317287328E-2</v>
      </c>
      <c r="J35" s="47">
        <f t="shared" si="10"/>
        <v>1.0761904761904761</v>
      </c>
    </row>
    <row r="36" spans="1:10" x14ac:dyDescent="0.2">
      <c r="A36" s="46" t="s">
        <v>104</v>
      </c>
      <c r="B36" s="43"/>
      <c r="C36" s="26">
        <v>-0.08</v>
      </c>
      <c r="D36" s="26">
        <f>D33*C36</f>
        <v>-2.1061703680000003</v>
      </c>
      <c r="E36" s="26"/>
      <c r="F36" s="26">
        <f>C36</f>
        <v>-0.08</v>
      </c>
      <c r="G36" s="26">
        <f>G33*F36</f>
        <v>-2.1445703680000001</v>
      </c>
      <c r="H36" s="26">
        <f t="shared" si="3"/>
        <v>-3.8399999999999768E-2</v>
      </c>
      <c r="I36" s="44">
        <f t="shared" si="8"/>
        <v>-1.8232143317287314E-2</v>
      </c>
      <c r="J36" s="45">
        <f t="shared" si="10"/>
        <v>-7.6190476190476197E-2</v>
      </c>
    </row>
    <row r="37" spans="1:10" ht="13.5" thickBot="1" x14ac:dyDescent="0.25">
      <c r="A37" s="46" t="s">
        <v>105</v>
      </c>
      <c r="B37" s="49"/>
      <c r="C37" s="50"/>
      <c r="D37" s="50">
        <f>SUM(D35:D36)</f>
        <v>27.643486080000002</v>
      </c>
      <c r="E37" s="50"/>
      <c r="F37" s="50"/>
      <c r="G37" s="50">
        <f>SUM(G35:G36)</f>
        <v>28.14748608</v>
      </c>
      <c r="H37" s="50">
        <f t="shared" si="3"/>
        <v>0.50399999999999778</v>
      </c>
      <c r="I37" s="51">
        <f t="shared" si="8"/>
        <v>1.8232143317287345E-2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1" tint="0.499984740745262"/>
    <pageSetUpPr fitToPage="1"/>
  </sheetPr>
  <dimension ref="A1:J4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119</v>
      </c>
      <c r="B1" s="186"/>
      <c r="C1" s="186"/>
      <c r="D1" s="186"/>
      <c r="E1" s="186"/>
      <c r="F1" s="186"/>
      <c r="G1" s="186"/>
      <c r="H1" s="186"/>
      <c r="I1" s="186"/>
      <c r="J1" s="187"/>
    </row>
    <row r="3" spans="1:10" ht="15" customHeight="1" x14ac:dyDescent="0.2">
      <c r="A3" s="13" t="s">
        <v>13</v>
      </c>
      <c r="B3" s="13" t="s">
        <v>8</v>
      </c>
    </row>
    <row r="4" spans="1:10" x14ac:dyDescent="0.2">
      <c r="A4" s="15" t="s">
        <v>62</v>
      </c>
      <c r="B4" s="167">
        <f>VLOOKUP(B3,'Data for Bill Impacts'!A21:D34,3,FALSE)</f>
        <v>517</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67">
        <f>B4*B6</f>
        <v>564.56400000000008</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517</v>
      </c>
      <c r="C12" s="103">
        <v>9.0999999999999998E-2</v>
      </c>
      <c r="D12" s="104">
        <f>B12*C12</f>
        <v>47.046999999999997</v>
      </c>
      <c r="E12" s="102">
        <f>B12</f>
        <v>517</v>
      </c>
      <c r="F12" s="103">
        <f>C12</f>
        <v>9.0999999999999998E-2</v>
      </c>
      <c r="G12" s="104">
        <f>E12*F12</f>
        <v>47.046999999999997</v>
      </c>
      <c r="H12" s="104">
        <f>G12-D12</f>
        <v>0</v>
      </c>
      <c r="I12" s="105">
        <f t="shared" ref="I12:I18" si="0">IF(ISERROR(H12/ABS(D12)),"N/A",(H12/ABS(D12)))</f>
        <v>0</v>
      </c>
      <c r="J12" s="123">
        <f t="shared" ref="J12:J28" si="1">G12/$G$37</f>
        <v>0.37336658013616131</v>
      </c>
    </row>
    <row r="13" spans="1:10" x14ac:dyDescent="0.2">
      <c r="A13" s="107" t="s">
        <v>32</v>
      </c>
      <c r="B13" s="73">
        <f>IF(B4&gt;B7,(B4)-B7,0)</f>
        <v>0</v>
      </c>
      <c r="C13" s="21">
        <v>0.106</v>
      </c>
      <c r="D13" s="22">
        <f>B13*C13</f>
        <v>0</v>
      </c>
      <c r="E13" s="73">
        <f t="shared" ref="E13" si="2">B13</f>
        <v>0</v>
      </c>
      <c r="F13" s="21">
        <f>C13</f>
        <v>0.106</v>
      </c>
      <c r="G13" s="22">
        <f>E13*F13</f>
        <v>0</v>
      </c>
      <c r="H13" s="22">
        <f t="shared" ref="H13:H37" si="3">G13-D13</f>
        <v>0</v>
      </c>
      <c r="I13" s="23" t="str">
        <f t="shared" si="0"/>
        <v>N/A</v>
      </c>
      <c r="J13" s="124">
        <f t="shared" si="1"/>
        <v>0</v>
      </c>
    </row>
    <row r="14" spans="1:10" s="1" customFormat="1" x14ac:dyDescent="0.2">
      <c r="A14" s="46" t="s">
        <v>33</v>
      </c>
      <c r="B14" s="24"/>
      <c r="C14" s="25"/>
      <c r="D14" s="25">
        <f>SUM(D12:D13)</f>
        <v>47.046999999999997</v>
      </c>
      <c r="E14" s="76"/>
      <c r="F14" s="25"/>
      <c r="G14" s="25">
        <f>SUM(G12:G13)</f>
        <v>47.046999999999997</v>
      </c>
      <c r="H14" s="25">
        <f t="shared" si="3"/>
        <v>0</v>
      </c>
      <c r="I14" s="27">
        <f t="shared" si="0"/>
        <v>0</v>
      </c>
      <c r="J14" s="47">
        <f t="shared" si="1"/>
        <v>0.37336658013616131</v>
      </c>
    </row>
    <row r="15" spans="1:10" x14ac:dyDescent="0.2">
      <c r="A15" s="107" t="s">
        <v>38</v>
      </c>
      <c r="B15" s="73">
        <v>1</v>
      </c>
      <c r="C15" s="78">
        <f>VLOOKUP($B$3,'Data for Bill Impacts'!$A$6:$Y$18,7,0)</f>
        <v>4.07</v>
      </c>
      <c r="D15" s="22">
        <f>B15*C15</f>
        <v>4.07</v>
      </c>
      <c r="E15" s="73">
        <f t="shared" ref="E15:E32" si="4">B15</f>
        <v>1</v>
      </c>
      <c r="F15" s="78">
        <f>VLOOKUP($B$3,'Data for Bill Impacts'!$A$6:$Y$18,17,0)</f>
        <v>4.2</v>
      </c>
      <c r="G15" s="22">
        <f>E15*F15</f>
        <v>4.2</v>
      </c>
      <c r="H15" s="22">
        <f t="shared" si="3"/>
        <v>0.12999999999999989</v>
      </c>
      <c r="I15" s="23">
        <f t="shared" si="0"/>
        <v>3.1941031941031914E-2</v>
      </c>
      <c r="J15" s="124">
        <f t="shared" si="1"/>
        <v>3.3331341776773819E-2</v>
      </c>
    </row>
    <row r="16" spans="1:10" x14ac:dyDescent="0.2">
      <c r="A16" s="107" t="s">
        <v>85</v>
      </c>
      <c r="B16" s="73">
        <v>1</v>
      </c>
      <c r="C16" s="121">
        <f>VLOOKUP($B$3,'Data for Bill Impacts'!$A$6:$Y$18,13,0)</f>
        <v>7.0000000000000001E-3</v>
      </c>
      <c r="D16" s="22">
        <f t="shared" ref="D16" si="5">B16*C16</f>
        <v>7.0000000000000001E-3</v>
      </c>
      <c r="E16" s="73">
        <f t="shared" si="4"/>
        <v>1</v>
      </c>
      <c r="F16" s="121">
        <f>VLOOKUP($B$3,'Data for Bill Impacts'!$A$6:$Y$18,22,0)</f>
        <v>7.0000000000000001E-3</v>
      </c>
      <c r="G16" s="22">
        <f t="shared" ref="G16" si="6">E16*F16</f>
        <v>7.0000000000000001E-3</v>
      </c>
      <c r="H16" s="22">
        <f t="shared" si="3"/>
        <v>0</v>
      </c>
      <c r="I16" s="23">
        <f t="shared" si="0"/>
        <v>0</v>
      </c>
      <c r="J16" s="124">
        <f t="shared" si="1"/>
        <v>5.5552236294623028E-5</v>
      </c>
    </row>
    <row r="17" spans="1:10" x14ac:dyDescent="0.2">
      <c r="A17" s="107" t="s">
        <v>39</v>
      </c>
      <c r="B17" s="73">
        <f>IF($B$9="kWh",$B$4,$B$5)</f>
        <v>517</v>
      </c>
      <c r="C17" s="125">
        <f>VLOOKUP($B$3,'Data for Bill Impacts'!$A$6:$Y$18,10,0)</f>
        <v>9.7600000000000006E-2</v>
      </c>
      <c r="D17" s="22">
        <f>B17*C17</f>
        <v>50.459200000000003</v>
      </c>
      <c r="E17" s="73">
        <f t="shared" si="4"/>
        <v>517</v>
      </c>
      <c r="F17" s="78">
        <f>VLOOKUP($B$3,'Data for Bill Impacts'!$A$6:$Y$18,19,0)</f>
        <v>0.1011</v>
      </c>
      <c r="G17" s="22">
        <f>E17*F17</f>
        <v>52.268699999999995</v>
      </c>
      <c r="H17" s="22">
        <f t="shared" si="3"/>
        <v>1.8094999999999928</v>
      </c>
      <c r="I17" s="23">
        <f t="shared" si="0"/>
        <v>3.586065573770477E-2</v>
      </c>
      <c r="J17" s="124">
        <f t="shared" si="1"/>
        <v>0.41480616760182315</v>
      </c>
    </row>
    <row r="18" spans="1:10" s="1" customFormat="1" x14ac:dyDescent="0.2">
      <c r="A18" s="107" t="s">
        <v>122</v>
      </c>
      <c r="B18" s="73">
        <f>IF($B$9="kWh",$B$4,$B$5)</f>
        <v>517</v>
      </c>
      <c r="C18" s="125">
        <f>VLOOKUP($B$3,'Data for Bill Impacts'!$A$6:$Y$18,14,0)</f>
        <v>-9.9999999999999991E-6</v>
      </c>
      <c r="D18" s="22">
        <f>B18*C18</f>
        <v>-5.1699999999999992E-3</v>
      </c>
      <c r="E18" s="73">
        <f>B18</f>
        <v>517</v>
      </c>
      <c r="F18" s="125">
        <f>VLOOKUP($B$3,'Data for Bill Impacts'!$A$6:$Y$18,23,0)</f>
        <v>-9.9999999999999991E-6</v>
      </c>
      <c r="G18" s="22">
        <f>E18*F18</f>
        <v>-5.1699999999999992E-3</v>
      </c>
      <c r="H18" s="22">
        <f>G18-D18</f>
        <v>0</v>
      </c>
      <c r="I18" s="23">
        <f t="shared" si="0"/>
        <v>0</v>
      </c>
      <c r="J18" s="124">
        <f t="shared" si="1"/>
        <v>-4.1029294520457288E-5</v>
      </c>
    </row>
    <row r="19" spans="1:10" hidden="1" x14ac:dyDescent="0.2">
      <c r="A19" s="107" t="s">
        <v>108</v>
      </c>
      <c r="B19" s="73">
        <f>B8</f>
        <v>564.56400000000008</v>
      </c>
      <c r="C19" s="78">
        <v>0</v>
      </c>
      <c r="D19" s="22">
        <f>B19*C19</f>
        <v>0</v>
      </c>
      <c r="E19" s="73">
        <f t="shared" si="4"/>
        <v>564.56400000000008</v>
      </c>
      <c r="F19" s="78">
        <v>0</v>
      </c>
      <c r="G19" s="22">
        <f>E19*F19</f>
        <v>0</v>
      </c>
      <c r="H19" s="22">
        <f t="shared" si="3"/>
        <v>0</v>
      </c>
      <c r="I19" s="23" t="str">
        <f>IF(ISERROR(H19/ABS(D19)),"N/A",(H19/ABS(D19)))</f>
        <v>N/A</v>
      </c>
      <c r="J19" s="124">
        <f t="shared" si="1"/>
        <v>0</v>
      </c>
    </row>
    <row r="20" spans="1:10" x14ac:dyDescent="0.2">
      <c r="A20" s="110" t="s">
        <v>72</v>
      </c>
      <c r="B20" s="74"/>
      <c r="C20" s="35"/>
      <c r="D20" s="35">
        <f>SUM(D15:D19)</f>
        <v>54.531030000000001</v>
      </c>
      <c r="E20" s="73"/>
      <c r="F20" s="35"/>
      <c r="G20" s="35">
        <f>SUM(G15:G19)</f>
        <v>56.470529999999997</v>
      </c>
      <c r="H20" s="35">
        <f t="shared" si="3"/>
        <v>1.9394999999999953</v>
      </c>
      <c r="I20" s="36">
        <f t="shared" ref="I20" si="7">IF(ISERROR(H20/D20),0,(H20/D20))</f>
        <v>3.556690566820387E-2</v>
      </c>
      <c r="J20" s="111">
        <f t="shared" si="1"/>
        <v>0.44815203232037115</v>
      </c>
    </row>
    <row r="21" spans="1:10" s="1" customFormat="1" x14ac:dyDescent="0.2">
      <c r="A21" s="119" t="s">
        <v>81</v>
      </c>
      <c r="B21" s="120">
        <f>B8-B4</f>
        <v>47.564000000000078</v>
      </c>
      <c r="C21" s="170">
        <f>IF(B4&gt;B7,C13,C12)</f>
        <v>9.0999999999999998E-2</v>
      </c>
      <c r="D21" s="22">
        <f>B21*C21</f>
        <v>4.3283240000000074</v>
      </c>
      <c r="E21" s="73">
        <f>B21</f>
        <v>47.564000000000078</v>
      </c>
      <c r="F21" s="170">
        <f>C21</f>
        <v>9.0999999999999998E-2</v>
      </c>
      <c r="G21" s="22">
        <f>E21*F21</f>
        <v>4.3283240000000074</v>
      </c>
      <c r="H21" s="22">
        <f t="shared" si="3"/>
        <v>0</v>
      </c>
      <c r="I21" s="23">
        <f>IF(ISERROR(H21/D21),0,(H21/D21))</f>
        <v>0</v>
      </c>
      <c r="J21" s="124">
        <f t="shared" si="1"/>
        <v>3.4349725372526903E-2</v>
      </c>
    </row>
    <row r="22" spans="1:10" x14ac:dyDescent="0.2">
      <c r="A22" s="110" t="s">
        <v>79</v>
      </c>
      <c r="B22" s="74"/>
      <c r="C22" s="35"/>
      <c r="D22" s="35">
        <f>SUM(D20,D21:D21)</f>
        <v>58.85935400000001</v>
      </c>
      <c r="E22" s="73"/>
      <c r="F22" s="35"/>
      <c r="G22" s="35">
        <f>SUM(G20,G21:G21)</f>
        <v>60.798854000000006</v>
      </c>
      <c r="H22" s="35">
        <f t="shared" si="3"/>
        <v>1.9394999999999953</v>
      </c>
      <c r="I22" s="36">
        <f t="shared" ref="I22:I37" si="8">IF(ISERROR(H22/ABS(D22)),"N/A",(H22/ABS(D22)))</f>
        <v>3.2951431984795401E-2</v>
      </c>
      <c r="J22" s="111">
        <f t="shared" si="1"/>
        <v>0.4825017576928981</v>
      </c>
    </row>
    <row r="23" spans="1:10" x14ac:dyDescent="0.2">
      <c r="A23" s="107" t="s">
        <v>40</v>
      </c>
      <c r="B23" s="73">
        <f>B8</f>
        <v>564.56400000000008</v>
      </c>
      <c r="C23" s="78">
        <f>VLOOKUP($B$3,'Data for Bill Impacts'!$A$6:$Y$18,15,0)</f>
        <v>4.6979999999999999E-3</v>
      </c>
      <c r="D23" s="22">
        <f>B23*C23</f>
        <v>2.6523216720000002</v>
      </c>
      <c r="E23" s="73">
        <f t="shared" si="4"/>
        <v>564.56400000000008</v>
      </c>
      <c r="F23" s="125">
        <f>VLOOKUP($B$3,'Data for Bill Impacts'!$A$6:$Y$18,24,0)</f>
        <v>4.6979999999999999E-3</v>
      </c>
      <c r="G23" s="22">
        <f>E23*F23</f>
        <v>2.6523216720000002</v>
      </c>
      <c r="H23" s="22">
        <f t="shared" si="3"/>
        <v>0</v>
      </c>
      <c r="I23" s="23">
        <f t="shared" si="8"/>
        <v>0</v>
      </c>
      <c r="J23" s="124">
        <f t="shared" si="1"/>
        <v>2.1048914321756235E-2</v>
      </c>
    </row>
    <row r="24" spans="1:10" s="1" customFormat="1" x14ac:dyDescent="0.2">
      <c r="A24" s="107" t="s">
        <v>41</v>
      </c>
      <c r="B24" s="73">
        <f>B8</f>
        <v>564.56400000000008</v>
      </c>
      <c r="C24" s="78">
        <f>VLOOKUP($B$3,'Data for Bill Impacts'!$A$6:$Y$18,16,0)</f>
        <v>4.2899999999999995E-3</v>
      </c>
      <c r="D24" s="22">
        <f>B24*C24</f>
        <v>2.42197956</v>
      </c>
      <c r="E24" s="73">
        <f t="shared" si="4"/>
        <v>564.56400000000008</v>
      </c>
      <c r="F24" s="125">
        <f>VLOOKUP($B$3,'Data for Bill Impacts'!$A$6:$Y$18,25,0)</f>
        <v>4.2899999999999995E-3</v>
      </c>
      <c r="G24" s="22">
        <f>E24*F24</f>
        <v>2.42197956</v>
      </c>
      <c r="H24" s="22">
        <f t="shared" si="3"/>
        <v>0</v>
      </c>
      <c r="I24" s="23">
        <f t="shared" si="8"/>
        <v>0</v>
      </c>
      <c r="J24" s="124">
        <f t="shared" si="1"/>
        <v>1.9220911545409586E-2</v>
      </c>
    </row>
    <row r="25" spans="1:10" s="1" customFormat="1" x14ac:dyDescent="0.2">
      <c r="A25" s="110" t="s">
        <v>76</v>
      </c>
      <c r="B25" s="74"/>
      <c r="C25" s="35"/>
      <c r="D25" s="35">
        <f>SUM(D23:D24)</f>
        <v>5.0743012319999998</v>
      </c>
      <c r="E25" s="73"/>
      <c r="F25" s="35"/>
      <c r="G25" s="35">
        <f>SUM(G23:G24)</f>
        <v>5.0743012319999998</v>
      </c>
      <c r="H25" s="35">
        <f t="shared" si="3"/>
        <v>0</v>
      </c>
      <c r="I25" s="36">
        <f t="shared" si="8"/>
        <v>0</v>
      </c>
      <c r="J25" s="111">
        <f t="shared" si="1"/>
        <v>4.0269825867165814E-2</v>
      </c>
    </row>
    <row r="26" spans="1:10" s="1" customFormat="1" x14ac:dyDescent="0.2">
      <c r="A26" s="110" t="s">
        <v>80</v>
      </c>
      <c r="B26" s="74"/>
      <c r="C26" s="35"/>
      <c r="D26" s="35">
        <f>D22+D25</f>
        <v>63.933655232000007</v>
      </c>
      <c r="E26" s="73"/>
      <c r="F26" s="35"/>
      <c r="G26" s="35">
        <f>G22+G25</f>
        <v>65.873155232000002</v>
      </c>
      <c r="H26" s="35">
        <f t="shared" si="3"/>
        <v>1.9394999999999953</v>
      </c>
      <c r="I26" s="36">
        <f t="shared" si="8"/>
        <v>3.0336135060040161E-2</v>
      </c>
      <c r="J26" s="111">
        <f t="shared" si="1"/>
        <v>0.52277158356006392</v>
      </c>
    </row>
    <row r="27" spans="1:10" x14ac:dyDescent="0.2">
      <c r="A27" s="107" t="s">
        <v>42</v>
      </c>
      <c r="B27" s="73">
        <f>B8</f>
        <v>564.56400000000008</v>
      </c>
      <c r="C27" s="34">
        <v>3.5999999999999999E-3</v>
      </c>
      <c r="D27" s="22">
        <f>B27*C27</f>
        <v>2.0324304000000004</v>
      </c>
      <c r="E27" s="73">
        <f t="shared" si="4"/>
        <v>564.56400000000008</v>
      </c>
      <c r="F27" s="34">
        <v>3.5999999999999999E-3</v>
      </c>
      <c r="G27" s="22">
        <f>E27*F27</f>
        <v>2.0324304000000004</v>
      </c>
      <c r="H27" s="22">
        <f t="shared" si="3"/>
        <v>0</v>
      </c>
      <c r="I27" s="23">
        <f t="shared" si="8"/>
        <v>0</v>
      </c>
      <c r="J27" s="124">
        <f t="shared" si="1"/>
        <v>1.6129436261882173E-2</v>
      </c>
    </row>
    <row r="28" spans="1:10" s="1" customFormat="1" x14ac:dyDescent="0.2">
      <c r="A28" s="107" t="s">
        <v>43</v>
      </c>
      <c r="B28" s="73">
        <f>B8</f>
        <v>564.56400000000008</v>
      </c>
      <c r="C28" s="34">
        <v>2.0999999999999999E-3</v>
      </c>
      <c r="D28" s="22">
        <f>B28*C28</f>
        <v>1.1855844</v>
      </c>
      <c r="E28" s="73">
        <f t="shared" si="4"/>
        <v>564.56400000000008</v>
      </c>
      <c r="F28" s="34">
        <v>2.0999999999999999E-3</v>
      </c>
      <c r="G28" s="22">
        <f>E28*F28</f>
        <v>1.1855844</v>
      </c>
      <c r="H28" s="22">
        <f>G28-D28</f>
        <v>0</v>
      </c>
      <c r="I28" s="23">
        <f t="shared" si="8"/>
        <v>0</v>
      </c>
      <c r="J28" s="124">
        <f t="shared" si="1"/>
        <v>9.4088378194312657E-3</v>
      </c>
    </row>
    <row r="29" spans="1:10" s="1" customFormat="1" x14ac:dyDescent="0.2">
      <c r="A29" s="107" t="s">
        <v>96</v>
      </c>
      <c r="B29" s="73">
        <f>B8</f>
        <v>564.56400000000008</v>
      </c>
      <c r="C29" s="34">
        <v>0</v>
      </c>
      <c r="D29" s="22">
        <f>B29*C29</f>
        <v>0</v>
      </c>
      <c r="E29" s="73">
        <f t="shared" si="4"/>
        <v>564.56400000000008</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1.9840084390936796E-3</v>
      </c>
    </row>
    <row r="31" spans="1:10" s="1" customFormat="1" x14ac:dyDescent="0.2">
      <c r="A31" s="110" t="s">
        <v>45</v>
      </c>
      <c r="B31" s="74"/>
      <c r="C31" s="35"/>
      <c r="D31" s="35">
        <f>SUM(D27:D30)</f>
        <v>3.4680148000000006</v>
      </c>
      <c r="E31" s="73"/>
      <c r="F31" s="35"/>
      <c r="G31" s="35">
        <f>SUM(G27:G30)</f>
        <v>3.4680148000000006</v>
      </c>
      <c r="H31" s="35">
        <f t="shared" si="3"/>
        <v>0</v>
      </c>
      <c r="I31" s="36">
        <f t="shared" si="8"/>
        <v>0</v>
      </c>
      <c r="J31" s="111">
        <f t="shared" si="10"/>
        <v>2.7522282520407119E-2</v>
      </c>
    </row>
    <row r="32" spans="1:10" ht="13.5" thickBot="1" x14ac:dyDescent="0.25">
      <c r="A32" s="112" t="s">
        <v>46</v>
      </c>
      <c r="B32" s="113">
        <f>B4</f>
        <v>517</v>
      </c>
      <c r="C32" s="114">
        <v>7.0000000000000001E-3</v>
      </c>
      <c r="D32" s="115">
        <f>B32*C32</f>
        <v>3.6190000000000002</v>
      </c>
      <c r="E32" s="116">
        <f t="shared" si="4"/>
        <v>517</v>
      </c>
      <c r="F32" s="114">
        <f>C32</f>
        <v>7.0000000000000001E-3</v>
      </c>
      <c r="G32" s="115">
        <f>E32*F32</f>
        <v>3.6190000000000002</v>
      </c>
      <c r="H32" s="115">
        <f t="shared" si="3"/>
        <v>0</v>
      </c>
      <c r="I32" s="117">
        <f t="shared" si="8"/>
        <v>0</v>
      </c>
      <c r="J32" s="118">
        <f t="shared" si="10"/>
        <v>2.8720506164320106E-2</v>
      </c>
    </row>
    <row r="33" spans="1:10" x14ac:dyDescent="0.2">
      <c r="A33" s="37" t="s">
        <v>111</v>
      </c>
      <c r="B33" s="38"/>
      <c r="C33" s="39"/>
      <c r="D33" s="39">
        <f>SUM(D14,D22,D25,D31,D32)</f>
        <v>118.06767003200001</v>
      </c>
      <c r="E33" s="38"/>
      <c r="F33" s="39"/>
      <c r="G33" s="39">
        <f>SUM(G14,G22,G25,G31,G32)</f>
        <v>120.007170032</v>
      </c>
      <c r="H33" s="39">
        <f t="shared" si="3"/>
        <v>1.9394999999999953</v>
      </c>
      <c r="I33" s="40">
        <f t="shared" si="8"/>
        <v>1.6427020195065513E-2</v>
      </c>
      <c r="J33" s="41">
        <f t="shared" si="10"/>
        <v>0.95238095238095244</v>
      </c>
    </row>
    <row r="34" spans="1:10" x14ac:dyDescent="0.2">
      <c r="A34" s="46" t="s">
        <v>102</v>
      </c>
      <c r="B34" s="43"/>
      <c r="C34" s="26">
        <v>0.13</v>
      </c>
      <c r="D34" s="26">
        <f>D33*C34</f>
        <v>15.348797104160001</v>
      </c>
      <c r="E34" s="26"/>
      <c r="F34" s="26">
        <f>C34</f>
        <v>0.13</v>
      </c>
      <c r="G34" s="26">
        <f>G33*F34</f>
        <v>15.600932104160002</v>
      </c>
      <c r="H34" s="26">
        <f t="shared" si="3"/>
        <v>0.25213500000000089</v>
      </c>
      <c r="I34" s="44">
        <f t="shared" si="8"/>
        <v>1.642702019506561E-2</v>
      </c>
      <c r="J34" s="45">
        <f t="shared" si="10"/>
        <v>0.12380952380952383</v>
      </c>
    </row>
    <row r="35" spans="1:10" x14ac:dyDescent="0.2">
      <c r="A35" s="46" t="s">
        <v>103</v>
      </c>
      <c r="B35" s="24"/>
      <c r="C35" s="25"/>
      <c r="D35" s="25">
        <f>SUM(D33:D34)</f>
        <v>133.41646713616001</v>
      </c>
      <c r="E35" s="25"/>
      <c r="F35" s="25"/>
      <c r="G35" s="25">
        <f>SUM(G33:G34)</f>
        <v>135.60810213616</v>
      </c>
      <c r="H35" s="25">
        <f t="shared" si="3"/>
        <v>2.1916349999999909</v>
      </c>
      <c r="I35" s="27">
        <f t="shared" si="8"/>
        <v>1.6427020195065485E-2</v>
      </c>
      <c r="J35" s="47">
        <f t="shared" si="10"/>
        <v>1.0761904761904761</v>
      </c>
    </row>
    <row r="36" spans="1:10" x14ac:dyDescent="0.2">
      <c r="A36" s="46" t="s">
        <v>104</v>
      </c>
      <c r="B36" s="43"/>
      <c r="C36" s="26">
        <v>-0.08</v>
      </c>
      <c r="D36" s="26">
        <f>D33*C36</f>
        <v>-9.4454136025600004</v>
      </c>
      <c r="E36" s="26"/>
      <c r="F36" s="26">
        <f>C36</f>
        <v>-0.08</v>
      </c>
      <c r="G36" s="26">
        <f>G33*F36</f>
        <v>-9.6005736025600008</v>
      </c>
      <c r="H36" s="26">
        <f t="shared" si="3"/>
        <v>-0.15516000000000041</v>
      </c>
      <c r="I36" s="44">
        <f t="shared" si="8"/>
        <v>-1.6427020195065596E-2</v>
      </c>
      <c r="J36" s="45">
        <f t="shared" si="10"/>
        <v>-7.6190476190476197E-2</v>
      </c>
    </row>
    <row r="37" spans="1:10" ht="13.5" thickBot="1" x14ac:dyDescent="0.25">
      <c r="A37" s="46" t="s">
        <v>105</v>
      </c>
      <c r="B37" s="49"/>
      <c r="C37" s="50"/>
      <c r="D37" s="50">
        <f>SUM(D35:D36)</f>
        <v>123.97105353360001</v>
      </c>
      <c r="E37" s="50"/>
      <c r="F37" s="50"/>
      <c r="G37" s="50">
        <f>SUM(G35:G36)</f>
        <v>126.0075285336</v>
      </c>
      <c r="H37" s="50">
        <f t="shared" si="3"/>
        <v>2.0364749999999816</v>
      </c>
      <c r="I37" s="51">
        <f t="shared" si="8"/>
        <v>1.6427020195065402E-2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48"/>
  <sheetViews>
    <sheetView tabSelected="1" view="pageLayout" topLeftCell="A5"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5" t="s">
        <v>121</v>
      </c>
      <c r="B1" s="186"/>
      <c r="C1" s="186"/>
      <c r="D1" s="186"/>
      <c r="E1" s="186"/>
      <c r="F1" s="186"/>
      <c r="G1" s="186"/>
      <c r="H1" s="186"/>
      <c r="I1" s="186"/>
      <c r="J1" s="187"/>
    </row>
    <row r="3" spans="1:10" x14ac:dyDescent="0.2">
      <c r="A3" s="13" t="s">
        <v>13</v>
      </c>
      <c r="B3" s="13" t="s">
        <v>8</v>
      </c>
    </row>
    <row r="4" spans="1:10" x14ac:dyDescent="0.2">
      <c r="A4" s="15" t="s">
        <v>62</v>
      </c>
      <c r="B4" s="15">
        <v>2000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67">
        <f>B4*B6</f>
        <v>2184</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28" si="1">G12/$G$37</f>
        <v>0.13742955382214084</v>
      </c>
    </row>
    <row r="13" spans="1:10" x14ac:dyDescent="0.2">
      <c r="A13" s="107" t="s">
        <v>32</v>
      </c>
      <c r="B13" s="73">
        <f>IF(B4&gt;B7,(B4)-B7,0)</f>
        <v>1250</v>
      </c>
      <c r="C13" s="21">
        <v>0.106</v>
      </c>
      <c r="D13" s="22">
        <f>B13*C13</f>
        <v>132.5</v>
      </c>
      <c r="E13" s="73">
        <f t="shared" ref="E13" si="2">B13</f>
        <v>1250</v>
      </c>
      <c r="F13" s="21">
        <f>C13</f>
        <v>0.106</v>
      </c>
      <c r="G13" s="22">
        <f>E13*F13</f>
        <v>132.5</v>
      </c>
      <c r="H13" s="22">
        <f t="shared" ref="H13:H37" si="3">G13-D13</f>
        <v>0</v>
      </c>
      <c r="I13" s="23">
        <f t="shared" si="0"/>
        <v>0</v>
      </c>
      <c r="J13" s="124">
        <f t="shared" si="1"/>
        <v>0.26680462829939433</v>
      </c>
    </row>
    <row r="14" spans="1:10" s="1" customFormat="1" x14ac:dyDescent="0.2">
      <c r="A14" s="46" t="s">
        <v>33</v>
      </c>
      <c r="B14" s="24"/>
      <c r="C14" s="25"/>
      <c r="D14" s="25">
        <f>SUM(D12:D13)</f>
        <v>200.75</v>
      </c>
      <c r="E14" s="76"/>
      <c r="F14" s="25"/>
      <c r="G14" s="25">
        <f>SUM(G12:G13)</f>
        <v>200.75</v>
      </c>
      <c r="H14" s="25">
        <f t="shared" si="3"/>
        <v>0</v>
      </c>
      <c r="I14" s="27">
        <f t="shared" si="0"/>
        <v>0</v>
      </c>
      <c r="J14" s="47">
        <f t="shared" si="1"/>
        <v>0.40423418212153517</v>
      </c>
    </row>
    <row r="15" spans="1:10" x14ac:dyDescent="0.2">
      <c r="A15" s="107" t="s">
        <v>38</v>
      </c>
      <c r="B15" s="73">
        <v>1</v>
      </c>
      <c r="C15" s="78">
        <f>VLOOKUP($B$3,'Data for Bill Impacts'!$A$6:$Y$18,7,0)</f>
        <v>4.07</v>
      </c>
      <c r="D15" s="22">
        <f>B15*C15</f>
        <v>4.07</v>
      </c>
      <c r="E15" s="73">
        <f t="shared" ref="E15:E32" si="4">B15</f>
        <v>1</v>
      </c>
      <c r="F15" s="78">
        <f>VLOOKUP($B$3,'Data for Bill Impacts'!$A$6:$Y$18,17,0)</f>
        <v>4.2</v>
      </c>
      <c r="G15" s="22">
        <f>E15*F15</f>
        <v>4.2</v>
      </c>
      <c r="H15" s="22">
        <f t="shared" si="3"/>
        <v>0.12999999999999989</v>
      </c>
      <c r="I15" s="23">
        <f t="shared" si="0"/>
        <v>3.1941031941031914E-2</v>
      </c>
      <c r="J15" s="124">
        <f t="shared" si="1"/>
        <v>8.4572033121317457E-3</v>
      </c>
    </row>
    <row r="16" spans="1:10" x14ac:dyDescent="0.2">
      <c r="A16" s="107" t="s">
        <v>85</v>
      </c>
      <c r="B16" s="73">
        <v>1</v>
      </c>
      <c r="C16" s="121">
        <f>VLOOKUP($B$3,'Data for Bill Impacts'!$A$6:$Y$18,13,0)</f>
        <v>7.0000000000000001E-3</v>
      </c>
      <c r="D16" s="22">
        <f t="shared" ref="D16" si="5">B16*C16</f>
        <v>7.0000000000000001E-3</v>
      </c>
      <c r="E16" s="73">
        <f t="shared" si="4"/>
        <v>1</v>
      </c>
      <c r="F16" s="121">
        <f>VLOOKUP($B$3,'Data for Bill Impacts'!$A$6:$Y$18,22,0)</f>
        <v>7.0000000000000001E-3</v>
      </c>
      <c r="G16" s="22">
        <f t="shared" ref="G16" si="6">E16*F16</f>
        <v>7.0000000000000001E-3</v>
      </c>
      <c r="H16" s="22">
        <f t="shared" si="3"/>
        <v>0</v>
      </c>
      <c r="I16" s="23">
        <f t="shared" si="0"/>
        <v>0</v>
      </c>
      <c r="J16" s="124">
        <f t="shared" si="1"/>
        <v>1.4095338853552908E-5</v>
      </c>
    </row>
    <row r="17" spans="1:10" x14ac:dyDescent="0.2">
      <c r="A17" s="107" t="s">
        <v>39</v>
      </c>
      <c r="B17" s="73">
        <f>IF($B$9="kWh",$B$4,$B$5)</f>
        <v>2000</v>
      </c>
      <c r="C17" s="125">
        <f>VLOOKUP($B$3,'Data for Bill Impacts'!$A$6:$Y$18,10,0)</f>
        <v>9.7600000000000006E-2</v>
      </c>
      <c r="D17" s="22">
        <f>B17*C17</f>
        <v>195.20000000000002</v>
      </c>
      <c r="E17" s="73">
        <f t="shared" si="4"/>
        <v>2000</v>
      </c>
      <c r="F17" s="78">
        <f>VLOOKUP($B$3,'Data for Bill Impacts'!$A$6:$Y$18,19,0)</f>
        <v>0.1011</v>
      </c>
      <c r="G17" s="22">
        <f>E17*F17</f>
        <v>202.2</v>
      </c>
      <c r="H17" s="22">
        <f t="shared" si="3"/>
        <v>6.9999999999999716</v>
      </c>
      <c r="I17" s="23">
        <f t="shared" si="0"/>
        <v>3.586065573770477E-2</v>
      </c>
      <c r="J17" s="124">
        <f t="shared" si="1"/>
        <v>0.40715393088405682</v>
      </c>
    </row>
    <row r="18" spans="1:10" s="1" customFormat="1" x14ac:dyDescent="0.2">
      <c r="A18" s="107" t="s">
        <v>122</v>
      </c>
      <c r="B18" s="73">
        <f>IF($B$9="kWh",$B$4,$B$5)</f>
        <v>2000</v>
      </c>
      <c r="C18" s="125">
        <f>VLOOKUP($B$3,'Data for Bill Impacts'!$A$6:$Y$18,14,0)</f>
        <v>-9.9999999999999991E-6</v>
      </c>
      <c r="D18" s="22">
        <f>B18*C18</f>
        <v>-1.9999999999999997E-2</v>
      </c>
      <c r="E18" s="73">
        <f>B18</f>
        <v>2000</v>
      </c>
      <c r="F18" s="125">
        <f>VLOOKUP($B$3,'Data for Bill Impacts'!$A$6:$Y$18,23,0)</f>
        <v>-9.9999999999999991E-6</v>
      </c>
      <c r="G18" s="22">
        <f>E18*F18</f>
        <v>-1.9999999999999997E-2</v>
      </c>
      <c r="H18" s="22">
        <f>G18-D18</f>
        <v>0</v>
      </c>
      <c r="I18" s="23">
        <f t="shared" si="0"/>
        <v>0</v>
      </c>
      <c r="J18" s="124">
        <f t="shared" si="1"/>
        <v>-4.0272396724436875E-5</v>
      </c>
    </row>
    <row r="19" spans="1:10" hidden="1" x14ac:dyDescent="0.2">
      <c r="A19" s="107" t="s">
        <v>108</v>
      </c>
      <c r="B19" s="73">
        <f>B8</f>
        <v>2184</v>
      </c>
      <c r="C19" s="78">
        <v>0</v>
      </c>
      <c r="D19" s="22">
        <f>B19*C19</f>
        <v>0</v>
      </c>
      <c r="E19" s="73">
        <f t="shared" si="4"/>
        <v>2184</v>
      </c>
      <c r="F19" s="78">
        <v>0</v>
      </c>
      <c r="G19" s="22">
        <f>E19*F19</f>
        <v>0</v>
      </c>
      <c r="H19" s="22">
        <f t="shared" si="3"/>
        <v>0</v>
      </c>
      <c r="I19" s="23" t="str">
        <f>IF(ISERROR(H19/ABS(D19)),"N/A",(H19/ABS(D19)))</f>
        <v>N/A</v>
      </c>
      <c r="J19" s="124">
        <f t="shared" si="1"/>
        <v>0</v>
      </c>
    </row>
    <row r="20" spans="1:10" x14ac:dyDescent="0.2">
      <c r="A20" s="110" t="s">
        <v>72</v>
      </c>
      <c r="B20" s="74"/>
      <c r="C20" s="35"/>
      <c r="D20" s="35">
        <f>SUM(D15:D19)</f>
        <v>199.25700000000001</v>
      </c>
      <c r="E20" s="73"/>
      <c r="F20" s="35"/>
      <c r="G20" s="35">
        <f>SUM(G15:G19)</f>
        <v>206.38699999999997</v>
      </c>
      <c r="H20" s="35">
        <f t="shared" si="3"/>
        <v>7.129999999999967</v>
      </c>
      <c r="I20" s="36">
        <f t="shared" ref="I20" si="7">IF(ISERROR(H20/D20),0,(H20/D20))</f>
        <v>3.5782933598317586E-2</v>
      </c>
      <c r="J20" s="111">
        <f t="shared" si="1"/>
        <v>0.41558495713831767</v>
      </c>
    </row>
    <row r="21" spans="1:10" s="1" customFormat="1" x14ac:dyDescent="0.2">
      <c r="A21" s="119" t="s">
        <v>81</v>
      </c>
      <c r="B21" s="120">
        <f>B8-B4</f>
        <v>184</v>
      </c>
      <c r="C21" s="170">
        <f>IF(B4&gt;B7,C13,C12)</f>
        <v>0.106</v>
      </c>
      <c r="D21" s="22">
        <f>B21*C21</f>
        <v>19.503999999999998</v>
      </c>
      <c r="E21" s="73">
        <f>B21</f>
        <v>184</v>
      </c>
      <c r="F21" s="170">
        <f>C21</f>
        <v>0.106</v>
      </c>
      <c r="G21" s="22">
        <f>E21*F21</f>
        <v>19.503999999999998</v>
      </c>
      <c r="H21" s="22">
        <f t="shared" si="3"/>
        <v>0</v>
      </c>
      <c r="I21" s="23">
        <f>IF(ISERROR(H21/D21),0,(H21/D21))</f>
        <v>0</v>
      </c>
      <c r="J21" s="124">
        <f t="shared" si="1"/>
        <v>3.9273641285670839E-2</v>
      </c>
    </row>
    <row r="22" spans="1:10" x14ac:dyDescent="0.2">
      <c r="A22" s="110" t="s">
        <v>79</v>
      </c>
      <c r="B22" s="74"/>
      <c r="C22" s="35"/>
      <c r="D22" s="35">
        <f>SUM(D20,D21:D21)</f>
        <v>218.761</v>
      </c>
      <c r="E22" s="73"/>
      <c r="F22" s="35"/>
      <c r="G22" s="35">
        <f>SUM(G20,G21:G21)</f>
        <v>225.89099999999996</v>
      </c>
      <c r="H22" s="35">
        <f t="shared" si="3"/>
        <v>7.129999999999967</v>
      </c>
      <c r="I22" s="36">
        <f t="shared" ref="I22:I37" si="8">IF(ISERROR(H22/ABS(D22)),"N/A",(H22/ABS(D22)))</f>
        <v>3.2592646769762285E-2</v>
      </c>
      <c r="J22" s="111">
        <f t="shared" si="1"/>
        <v>0.45485859842398846</v>
      </c>
    </row>
    <row r="23" spans="1:10" x14ac:dyDescent="0.2">
      <c r="A23" s="107" t="s">
        <v>40</v>
      </c>
      <c r="B23" s="73">
        <f>B8</f>
        <v>2184</v>
      </c>
      <c r="C23" s="78">
        <f>VLOOKUP($B$3,'Data for Bill Impacts'!$A$6:$Y$18,15,0)</f>
        <v>4.6979999999999999E-3</v>
      </c>
      <c r="D23" s="22">
        <f>B23*C23</f>
        <v>10.260432</v>
      </c>
      <c r="E23" s="73">
        <f t="shared" si="4"/>
        <v>2184</v>
      </c>
      <c r="F23" s="125">
        <f>VLOOKUP($B$3,'Data for Bill Impacts'!$A$6:$Y$18,24,0)</f>
        <v>4.6979999999999999E-3</v>
      </c>
      <c r="G23" s="22">
        <f>E23*F23</f>
        <v>10.260432</v>
      </c>
      <c r="H23" s="22">
        <f t="shared" si="3"/>
        <v>0</v>
      </c>
      <c r="I23" s="23">
        <f t="shared" si="8"/>
        <v>0</v>
      </c>
      <c r="J23" s="124">
        <f t="shared" si="1"/>
        <v>2.0660609403405368E-2</v>
      </c>
    </row>
    <row r="24" spans="1:10" s="1" customFormat="1" x14ac:dyDescent="0.2">
      <c r="A24" s="107" t="s">
        <v>41</v>
      </c>
      <c r="B24" s="73">
        <f>B8</f>
        <v>2184</v>
      </c>
      <c r="C24" s="78">
        <f>VLOOKUP($B$3,'Data for Bill Impacts'!$A$6:$Y$18,16,0)</f>
        <v>4.2899999999999995E-3</v>
      </c>
      <c r="D24" s="22">
        <f>B24*C24</f>
        <v>9.3693599999999986</v>
      </c>
      <c r="E24" s="73">
        <f t="shared" si="4"/>
        <v>2184</v>
      </c>
      <c r="F24" s="125">
        <f>VLOOKUP($B$3,'Data for Bill Impacts'!$A$6:$Y$18,25,0)</f>
        <v>4.2899999999999995E-3</v>
      </c>
      <c r="G24" s="22">
        <f>E24*F24</f>
        <v>9.3693599999999986</v>
      </c>
      <c r="H24" s="22">
        <f t="shared" si="3"/>
        <v>0</v>
      </c>
      <c r="I24" s="23">
        <f t="shared" si="8"/>
        <v>0</v>
      </c>
      <c r="J24" s="124">
        <f t="shared" si="1"/>
        <v>1.8866329148703492E-2</v>
      </c>
    </row>
    <row r="25" spans="1:10" s="1" customFormat="1" x14ac:dyDescent="0.2">
      <c r="A25" s="110" t="s">
        <v>76</v>
      </c>
      <c r="B25" s="74"/>
      <c r="C25" s="35"/>
      <c r="D25" s="35">
        <f>SUM(D23:D24)</f>
        <v>19.629791999999998</v>
      </c>
      <c r="E25" s="73"/>
      <c r="F25" s="35"/>
      <c r="G25" s="35">
        <f>SUM(G23:G24)</f>
        <v>19.629791999999998</v>
      </c>
      <c r="H25" s="35">
        <f t="shared" si="3"/>
        <v>0</v>
      </c>
      <c r="I25" s="36">
        <f t="shared" si="8"/>
        <v>0</v>
      </c>
      <c r="J25" s="111">
        <f t="shared" si="1"/>
        <v>3.9526938552108863E-2</v>
      </c>
    </row>
    <row r="26" spans="1:10" s="1" customFormat="1" x14ac:dyDescent="0.2">
      <c r="A26" s="110" t="s">
        <v>80</v>
      </c>
      <c r="B26" s="74"/>
      <c r="C26" s="35"/>
      <c r="D26" s="35">
        <f>D22+D25</f>
        <v>238.390792</v>
      </c>
      <c r="E26" s="73"/>
      <c r="F26" s="35"/>
      <c r="G26" s="35">
        <f>G22+G25</f>
        <v>245.52079199999997</v>
      </c>
      <c r="H26" s="35">
        <f t="shared" si="3"/>
        <v>7.129999999999967</v>
      </c>
      <c r="I26" s="36">
        <f t="shared" si="8"/>
        <v>2.9908873325946109E-2</v>
      </c>
      <c r="J26" s="111">
        <f t="shared" si="1"/>
        <v>0.49438553697609738</v>
      </c>
    </row>
    <row r="27" spans="1:10" x14ac:dyDescent="0.2">
      <c r="A27" s="107" t="s">
        <v>42</v>
      </c>
      <c r="B27" s="73">
        <f>B8</f>
        <v>2184</v>
      </c>
      <c r="C27" s="34">
        <v>3.5999999999999999E-3</v>
      </c>
      <c r="D27" s="22">
        <f>B27*C27</f>
        <v>7.8624000000000001</v>
      </c>
      <c r="E27" s="73">
        <f t="shared" si="4"/>
        <v>2184</v>
      </c>
      <c r="F27" s="34">
        <v>3.5999999999999999E-3</v>
      </c>
      <c r="G27" s="22">
        <f>E27*F27</f>
        <v>7.8624000000000001</v>
      </c>
      <c r="H27" s="22">
        <f t="shared" si="3"/>
        <v>0</v>
      </c>
      <c r="I27" s="23">
        <f t="shared" si="8"/>
        <v>0</v>
      </c>
      <c r="J27" s="124">
        <f t="shared" si="1"/>
        <v>1.5831884600310625E-2</v>
      </c>
    </row>
    <row r="28" spans="1:10" s="1" customFormat="1" x14ac:dyDescent="0.2">
      <c r="A28" s="107" t="s">
        <v>43</v>
      </c>
      <c r="B28" s="73">
        <f>B8</f>
        <v>2184</v>
      </c>
      <c r="C28" s="34">
        <v>2.0999999999999999E-3</v>
      </c>
      <c r="D28" s="22">
        <f>B28*C28</f>
        <v>4.5863999999999994</v>
      </c>
      <c r="E28" s="73">
        <f t="shared" si="4"/>
        <v>2184</v>
      </c>
      <c r="F28" s="34">
        <v>2.0999999999999999E-3</v>
      </c>
      <c r="G28" s="22">
        <f>E28*F28</f>
        <v>4.5863999999999994</v>
      </c>
      <c r="H28" s="22">
        <f>G28-D28</f>
        <v>0</v>
      </c>
      <c r="I28" s="23">
        <f t="shared" si="8"/>
        <v>0</v>
      </c>
      <c r="J28" s="124">
        <f t="shared" si="1"/>
        <v>9.235266016847864E-3</v>
      </c>
    </row>
    <row r="29" spans="1:10" s="1" customFormat="1" x14ac:dyDescent="0.2">
      <c r="A29" s="107" t="s">
        <v>96</v>
      </c>
      <c r="B29" s="73">
        <f>B8</f>
        <v>2184</v>
      </c>
      <c r="C29" s="34">
        <v>0</v>
      </c>
      <c r="D29" s="22">
        <f>B29*C29</f>
        <v>0</v>
      </c>
      <c r="E29" s="73">
        <f t="shared" si="4"/>
        <v>2184</v>
      </c>
      <c r="F29" s="34">
        <v>0</v>
      </c>
      <c r="G29" s="22">
        <f>E29*F29</f>
        <v>0</v>
      </c>
      <c r="H29" s="22">
        <f>G29-D29</f>
        <v>0</v>
      </c>
      <c r="I29" s="23" t="str">
        <f t="shared" si="8"/>
        <v>N/A</v>
      </c>
      <c r="J29" s="124">
        <f t="shared" ref="J29" si="9">G29/$G$37</f>
        <v>0</v>
      </c>
    </row>
    <row r="30" spans="1:10" x14ac:dyDescent="0.2">
      <c r="A30" s="107" t="s">
        <v>44</v>
      </c>
      <c r="B30" s="73">
        <v>1</v>
      </c>
      <c r="C30" s="22">
        <v>0.25</v>
      </c>
      <c r="D30" s="22">
        <f>B30*C30</f>
        <v>0.25</v>
      </c>
      <c r="E30" s="73">
        <f t="shared" si="4"/>
        <v>1</v>
      </c>
      <c r="F30" s="22">
        <f>C30</f>
        <v>0.25</v>
      </c>
      <c r="G30" s="22">
        <f>E30*F30</f>
        <v>0.25</v>
      </c>
      <c r="H30" s="22">
        <f t="shared" si="3"/>
        <v>0</v>
      </c>
      <c r="I30" s="23">
        <f t="shared" si="8"/>
        <v>0</v>
      </c>
      <c r="J30" s="124">
        <f t="shared" ref="J30:J37" si="10">G30/$G$37</f>
        <v>5.0340495905546096E-4</v>
      </c>
    </row>
    <row r="31" spans="1:10" s="1" customFormat="1" x14ac:dyDescent="0.2">
      <c r="A31" s="110" t="s">
        <v>45</v>
      </c>
      <c r="B31" s="74"/>
      <c r="C31" s="35"/>
      <c r="D31" s="35">
        <f>SUM(D27:D30)</f>
        <v>12.698799999999999</v>
      </c>
      <c r="E31" s="73"/>
      <c r="F31" s="35"/>
      <c r="G31" s="35">
        <f>SUM(G27:G30)</f>
        <v>12.698799999999999</v>
      </c>
      <c r="H31" s="35">
        <f t="shared" si="3"/>
        <v>0</v>
      </c>
      <c r="I31" s="36">
        <f t="shared" si="8"/>
        <v>0</v>
      </c>
      <c r="J31" s="111">
        <f t="shared" si="10"/>
        <v>2.557055557621395E-2</v>
      </c>
    </row>
    <row r="32" spans="1:10" ht="13.5" thickBot="1" x14ac:dyDescent="0.25">
      <c r="A32" s="112" t="s">
        <v>46</v>
      </c>
      <c r="B32" s="113">
        <f>B4</f>
        <v>2000</v>
      </c>
      <c r="C32" s="114">
        <v>7.0000000000000001E-3</v>
      </c>
      <c r="D32" s="115">
        <f>B32*C32</f>
        <v>14</v>
      </c>
      <c r="E32" s="116">
        <f t="shared" si="4"/>
        <v>2000</v>
      </c>
      <c r="F32" s="114">
        <f>C32</f>
        <v>7.0000000000000001E-3</v>
      </c>
      <c r="G32" s="115">
        <f>E32*F32</f>
        <v>14</v>
      </c>
      <c r="H32" s="115">
        <f t="shared" si="3"/>
        <v>0</v>
      </c>
      <c r="I32" s="117">
        <f t="shared" si="8"/>
        <v>0</v>
      </c>
      <c r="J32" s="118">
        <f t="shared" si="10"/>
        <v>2.8190677707105816E-2</v>
      </c>
    </row>
    <row r="33" spans="1:10" x14ac:dyDescent="0.2">
      <c r="A33" s="37" t="s">
        <v>111</v>
      </c>
      <c r="B33" s="38"/>
      <c r="C33" s="39"/>
      <c r="D33" s="39">
        <f>SUM(D14,D22,D25,D31,D32)</f>
        <v>465.83959199999998</v>
      </c>
      <c r="E33" s="38"/>
      <c r="F33" s="39"/>
      <c r="G33" s="39">
        <f>SUM(G14,G22,G25,G31,G32)</f>
        <v>472.96959199999998</v>
      </c>
      <c r="H33" s="39">
        <f t="shared" si="3"/>
        <v>7.1299999999999955</v>
      </c>
      <c r="I33" s="40">
        <f t="shared" si="8"/>
        <v>1.5305697760442816E-2</v>
      </c>
      <c r="J33" s="41">
        <f t="shared" si="10"/>
        <v>0.95238095238095233</v>
      </c>
    </row>
    <row r="34" spans="1:10" x14ac:dyDescent="0.2">
      <c r="A34" s="46" t="s">
        <v>102</v>
      </c>
      <c r="B34" s="43"/>
      <c r="C34" s="26">
        <v>0.13</v>
      </c>
      <c r="D34" s="26">
        <f>D33*C34</f>
        <v>60.55914696</v>
      </c>
      <c r="E34" s="26"/>
      <c r="F34" s="26">
        <f>C34</f>
        <v>0.13</v>
      </c>
      <c r="G34" s="26">
        <f>G33*F34</f>
        <v>61.486046959999996</v>
      </c>
      <c r="H34" s="26">
        <f t="shared" si="3"/>
        <v>0.92689999999999628</v>
      </c>
      <c r="I34" s="44">
        <f t="shared" si="8"/>
        <v>1.5305697760442764E-2</v>
      </c>
      <c r="J34" s="45">
        <f t="shared" si="10"/>
        <v>0.1238095238095238</v>
      </c>
    </row>
    <row r="35" spans="1:10" x14ac:dyDescent="0.2">
      <c r="A35" s="46" t="s">
        <v>103</v>
      </c>
      <c r="B35" s="24"/>
      <c r="C35" s="25"/>
      <c r="D35" s="25">
        <f>SUM(D33:D34)</f>
        <v>526.39873895999995</v>
      </c>
      <c r="E35" s="25"/>
      <c r="F35" s="25"/>
      <c r="G35" s="25">
        <f>SUM(G33:G34)</f>
        <v>534.45563895999999</v>
      </c>
      <c r="H35" s="25">
        <f t="shared" si="3"/>
        <v>8.0569000000000415</v>
      </c>
      <c r="I35" s="27">
        <f t="shared" si="8"/>
        <v>1.5305697760442907E-2</v>
      </c>
      <c r="J35" s="47">
        <f t="shared" si="10"/>
        <v>1.0761904761904761</v>
      </c>
    </row>
    <row r="36" spans="1:10" x14ac:dyDescent="0.2">
      <c r="A36" s="46" t="s">
        <v>104</v>
      </c>
      <c r="B36" s="43"/>
      <c r="C36" s="26">
        <v>-0.08</v>
      </c>
      <c r="D36" s="26">
        <f>D33*C36</f>
        <v>-37.267167360000002</v>
      </c>
      <c r="E36" s="26"/>
      <c r="F36" s="26">
        <f>C36</f>
        <v>-0.08</v>
      </c>
      <c r="G36" s="26">
        <f>G33*F36</f>
        <v>-37.837567360000001</v>
      </c>
      <c r="H36" s="26">
        <f t="shared" si="3"/>
        <v>-0.57039999999999935</v>
      </c>
      <c r="I36" s="44">
        <f t="shared" si="8"/>
        <v>-1.5305697760442808E-2</v>
      </c>
      <c r="J36" s="45">
        <f t="shared" si="10"/>
        <v>-7.6190476190476197E-2</v>
      </c>
    </row>
    <row r="37" spans="1:10" ht="13.5" thickBot="1" x14ac:dyDescent="0.25">
      <c r="A37" s="46" t="s">
        <v>105</v>
      </c>
      <c r="B37" s="49"/>
      <c r="C37" s="50"/>
      <c r="D37" s="50">
        <f>SUM(D35:D36)</f>
        <v>489.13157159999992</v>
      </c>
      <c r="E37" s="50"/>
      <c r="F37" s="50"/>
      <c r="G37" s="50">
        <f>SUM(G35:G36)</f>
        <v>496.61807160000001</v>
      </c>
      <c r="H37" s="50">
        <f t="shared" si="3"/>
        <v>7.4865000000000919</v>
      </c>
      <c r="I37" s="51">
        <f t="shared" si="8"/>
        <v>1.5305697760443018E-2</v>
      </c>
      <c r="J37" s="52">
        <f t="shared" si="10"/>
        <v>1</v>
      </c>
    </row>
    <row r="38" spans="1:10" x14ac:dyDescent="0.2">
      <c r="A38" s="169"/>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paperSize="266" scale="79"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tint="0.499984740745262"/>
    <pageSetUpPr fitToPage="1"/>
  </sheetPr>
  <dimension ref="A1:K68"/>
  <sheetViews>
    <sheetView tabSelected="1" view="pageLayout" topLeftCell="A7"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120</v>
      </c>
      <c r="B1" s="186"/>
      <c r="C1" s="186"/>
      <c r="D1" s="186"/>
      <c r="E1" s="186"/>
      <c r="F1" s="186"/>
      <c r="G1" s="186"/>
      <c r="H1" s="186"/>
      <c r="I1" s="186"/>
      <c r="J1" s="186"/>
      <c r="K1" s="187"/>
    </row>
    <row r="3" spans="1:11" x14ac:dyDescent="0.2">
      <c r="A3" s="13" t="s">
        <v>13</v>
      </c>
      <c r="B3" s="13" t="s">
        <v>0</v>
      </c>
    </row>
    <row r="4" spans="1:11" x14ac:dyDescent="0.2">
      <c r="A4" s="15" t="s">
        <v>62</v>
      </c>
      <c r="B4" s="15">
        <f>VLOOKUP(B3,'Data for Bill Impacts'!$A$22:$D$34,3,FALSE)</f>
        <v>755</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67">
        <f>B4*B6</f>
        <v>798.03499999999997</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0.40824841807520185</v>
      </c>
      <c r="K12" s="106"/>
    </row>
    <row r="13" spans="1:11" x14ac:dyDescent="0.2">
      <c r="A13" s="107" t="s">
        <v>32</v>
      </c>
      <c r="B13" s="73">
        <f>IF(B4&gt;B7,(B4)-B7,0)</f>
        <v>155</v>
      </c>
      <c r="C13" s="21">
        <v>0.106</v>
      </c>
      <c r="D13" s="22">
        <f>B13*C13</f>
        <v>16.43</v>
      </c>
      <c r="E13" s="73">
        <f t="shared" ref="E13" si="1">B13</f>
        <v>155</v>
      </c>
      <c r="F13" s="21">
        <f>C13</f>
        <v>0.106</v>
      </c>
      <c r="G13" s="22">
        <f>E13*F13</f>
        <v>16.43</v>
      </c>
      <c r="H13" s="22">
        <f t="shared" ref="H13:H46" si="2">G13-D13</f>
        <v>0</v>
      </c>
      <c r="I13" s="23">
        <f t="shared" si="0"/>
        <v>0</v>
      </c>
      <c r="J13" s="23">
        <f>G13/$G$46</f>
        <v>0.12284837928526678</v>
      </c>
      <c r="K13" s="108"/>
    </row>
    <row r="14" spans="1:11" s="1" customFormat="1" x14ac:dyDescent="0.2">
      <c r="A14" s="46" t="s">
        <v>33</v>
      </c>
      <c r="B14" s="24"/>
      <c r="C14" s="25"/>
      <c r="D14" s="25">
        <f>SUM(D12:D13)</f>
        <v>71.03</v>
      </c>
      <c r="E14" s="76"/>
      <c r="F14" s="25"/>
      <c r="G14" s="25">
        <f>SUM(G12:G13)</f>
        <v>71.03</v>
      </c>
      <c r="H14" s="25">
        <f t="shared" si="2"/>
        <v>0</v>
      </c>
      <c r="I14" s="27">
        <f t="shared" si="0"/>
        <v>0</v>
      </c>
      <c r="J14" s="27">
        <f>G14/$G$46</f>
        <v>0.53109679736046855</v>
      </c>
      <c r="K14" s="108"/>
    </row>
    <row r="15" spans="1:11" s="1" customFormat="1" x14ac:dyDescent="0.2">
      <c r="A15" s="109" t="s">
        <v>34</v>
      </c>
      <c r="B15" s="75">
        <f>B4*0.65</f>
        <v>490.75</v>
      </c>
      <c r="C15" s="28">
        <v>7.6999999999999999E-2</v>
      </c>
      <c r="D15" s="22">
        <f>B15*C15</f>
        <v>37.787750000000003</v>
      </c>
      <c r="E15" s="73">
        <f t="shared" ref="E15:F17" si="3">B15</f>
        <v>490.75</v>
      </c>
      <c r="F15" s="28">
        <f t="shared" si="3"/>
        <v>7.6999999999999999E-2</v>
      </c>
      <c r="G15" s="22">
        <f>E15*F15</f>
        <v>37.787750000000003</v>
      </c>
      <c r="H15" s="22">
        <f t="shared" si="2"/>
        <v>0</v>
      </c>
      <c r="I15" s="23">
        <f t="shared" si="0"/>
        <v>0</v>
      </c>
      <c r="J15" s="23"/>
      <c r="K15" s="108">
        <f t="shared" ref="K15:K26" si="4">G15/$G$51</f>
        <v>0.27767470903995778</v>
      </c>
    </row>
    <row r="16" spans="1:11" s="1" customFormat="1" x14ac:dyDescent="0.2">
      <c r="A16" s="109" t="s">
        <v>35</v>
      </c>
      <c r="B16" s="75">
        <f>B4*0.17</f>
        <v>128.35000000000002</v>
      </c>
      <c r="C16" s="28">
        <v>0.113</v>
      </c>
      <c r="D16" s="22">
        <f>B16*C16</f>
        <v>14.503550000000002</v>
      </c>
      <c r="E16" s="73">
        <f t="shared" si="3"/>
        <v>128.35000000000002</v>
      </c>
      <c r="F16" s="28">
        <f t="shared" si="3"/>
        <v>0.113</v>
      </c>
      <c r="G16" s="22">
        <f>E16*F16</f>
        <v>14.503550000000002</v>
      </c>
      <c r="H16" s="22">
        <f t="shared" si="2"/>
        <v>0</v>
      </c>
      <c r="I16" s="23">
        <f t="shared" si="0"/>
        <v>0</v>
      </c>
      <c r="J16" s="23"/>
      <c r="K16" s="108">
        <f t="shared" si="4"/>
        <v>0.10657604716598582</v>
      </c>
    </row>
    <row r="17" spans="1:11" s="1" customFormat="1" x14ac:dyDescent="0.2">
      <c r="A17" s="109" t="s">
        <v>36</v>
      </c>
      <c r="B17" s="75">
        <f>B4*0.18</f>
        <v>135.9</v>
      </c>
      <c r="C17" s="28">
        <v>0.157</v>
      </c>
      <c r="D17" s="22">
        <f>B17*C17</f>
        <v>21.336300000000001</v>
      </c>
      <c r="E17" s="73">
        <f t="shared" si="3"/>
        <v>135.9</v>
      </c>
      <c r="F17" s="28">
        <f t="shared" si="3"/>
        <v>0.157</v>
      </c>
      <c r="G17" s="22">
        <f>E17*F17</f>
        <v>21.336300000000001</v>
      </c>
      <c r="H17" s="22">
        <f t="shared" si="2"/>
        <v>0</v>
      </c>
      <c r="I17" s="23">
        <f t="shared" si="0"/>
        <v>0</v>
      </c>
      <c r="J17" s="23"/>
      <c r="K17" s="108">
        <f t="shared" si="4"/>
        <v>0.15678496058879535</v>
      </c>
    </row>
    <row r="18" spans="1:11" s="1" customFormat="1" x14ac:dyDescent="0.2">
      <c r="A18" s="61" t="s">
        <v>37</v>
      </c>
      <c r="B18" s="29"/>
      <c r="C18" s="30"/>
      <c r="D18" s="30">
        <f>SUM(D15:D17)</f>
        <v>73.627600000000001</v>
      </c>
      <c r="E18" s="77"/>
      <c r="F18" s="30"/>
      <c r="G18" s="30">
        <f>SUM(G15:G17)</f>
        <v>73.627600000000001</v>
      </c>
      <c r="H18" s="31">
        <f t="shared" si="2"/>
        <v>0</v>
      </c>
      <c r="I18" s="32">
        <f t="shared" si="0"/>
        <v>0</v>
      </c>
      <c r="J18" s="33">
        <f t="shared" ref="J18:J26" si="5">G18/$G$46</f>
        <v>0.55051925323578266</v>
      </c>
      <c r="K18" s="62">
        <f t="shared" si="4"/>
        <v>0.54103571679473894</v>
      </c>
    </row>
    <row r="19" spans="1:11" x14ac:dyDescent="0.2">
      <c r="A19" s="107" t="s">
        <v>38</v>
      </c>
      <c r="B19" s="73">
        <v>1</v>
      </c>
      <c r="C19" s="78">
        <f>VLOOKUP($B$3,'Data for Bill Impacts'!$A$6:$Y$18,7,0)</f>
        <v>27.71</v>
      </c>
      <c r="D19" s="22">
        <f>B19*C19</f>
        <v>27.71</v>
      </c>
      <c r="E19" s="73">
        <f t="shared" ref="E19:E41" si="6">B19</f>
        <v>1</v>
      </c>
      <c r="F19" s="78">
        <f>VLOOKUP($B$3,'Data for Bill Impacts'!$A$6:$Y$18,17,0)</f>
        <v>31.23</v>
      </c>
      <c r="G19" s="22">
        <f>E19*F19</f>
        <v>31.23</v>
      </c>
      <c r="H19" s="22">
        <f t="shared" si="2"/>
        <v>3.5199999999999996</v>
      </c>
      <c r="I19" s="23">
        <f>IF(ISERROR(H19/ABS(D19)),"N/A",(H19/ABS(D19)))</f>
        <v>0.12702995308552867</v>
      </c>
      <c r="J19" s="23">
        <f t="shared" si="5"/>
        <v>0.23350912264631049</v>
      </c>
      <c r="K19" s="108">
        <f t="shared" si="4"/>
        <v>0.22948657073569825</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7.0000000000000001E-3</v>
      </c>
      <c r="D22" s="22">
        <f t="shared" si="9"/>
        <v>7.0000000000000001E-3</v>
      </c>
      <c r="E22" s="73">
        <f t="shared" si="6"/>
        <v>1</v>
      </c>
      <c r="F22" s="121">
        <f>VLOOKUP($B$3,'Data for Bill Impacts'!$A$6:$Y$18,22,0)</f>
        <v>7.0000000000000001E-3</v>
      </c>
      <c r="G22" s="22">
        <f t="shared" si="7"/>
        <v>7.0000000000000001E-3</v>
      </c>
      <c r="H22" s="22">
        <f t="shared" si="2"/>
        <v>0</v>
      </c>
      <c r="I22" s="23">
        <f t="shared" ref="I22:I51" si="10">IF(ISERROR(H22/ABS(D22)),"N/A",(H22/ABS(D22)))</f>
        <v>0</v>
      </c>
      <c r="J22" s="23">
        <f>G22/$G$46</f>
        <v>5.2339540778872028E-5</v>
      </c>
      <c r="K22" s="108">
        <f t="shared" si="4"/>
        <v>5.143791210854588E-5</v>
      </c>
    </row>
    <row r="23" spans="1:11" x14ac:dyDescent="0.2">
      <c r="A23" s="107" t="s">
        <v>39</v>
      </c>
      <c r="B23" s="73">
        <f>IF($B$9="kWh",$B$4,$B$5)</f>
        <v>755</v>
      </c>
      <c r="C23" s="78">
        <f>VLOOKUP($B$3,'Data for Bill Impacts'!$A$6:$Y$18,10,0)</f>
        <v>7.7999999999999996E-3</v>
      </c>
      <c r="D23" s="22">
        <f>B23*C23</f>
        <v>5.8889999999999993</v>
      </c>
      <c r="E23" s="73">
        <f t="shared" si="6"/>
        <v>755</v>
      </c>
      <c r="F23" s="78">
        <f>VLOOKUP($B$3,'Data for Bill Impacts'!$A$6:$Y$18,19,0)</f>
        <v>4.7000000000000002E-3</v>
      </c>
      <c r="G23" s="22">
        <f>E23*F23</f>
        <v>3.5485000000000002</v>
      </c>
      <c r="H23" s="22">
        <f t="shared" si="2"/>
        <v>-2.3404999999999991</v>
      </c>
      <c r="I23" s="23">
        <f t="shared" si="10"/>
        <v>-0.39743589743589736</v>
      </c>
      <c r="J23" s="23">
        <f t="shared" si="5"/>
        <v>2.6532408636261058E-2</v>
      </c>
      <c r="K23" s="108">
        <f t="shared" si="4"/>
        <v>2.6075347302453578E-2</v>
      </c>
    </row>
    <row r="24" spans="1:11" x14ac:dyDescent="0.2">
      <c r="A24" s="107" t="s">
        <v>122</v>
      </c>
      <c r="B24" s="73">
        <f>IF($B$9="kWh",$B$4,$B$5)</f>
        <v>755</v>
      </c>
      <c r="C24" s="125">
        <f>VLOOKUP($B$3,'Data for Bill Impacts'!$A$6:$Y$18,14,0)</f>
        <v>3.0000000000000004E-5</v>
      </c>
      <c r="D24" s="22">
        <f>B24*C24</f>
        <v>2.2650000000000003E-2</v>
      </c>
      <c r="E24" s="73">
        <f>B24</f>
        <v>755</v>
      </c>
      <c r="F24" s="125">
        <f>VLOOKUP($B$3,'Data for Bill Impacts'!$A$6:$Y$18,23,0)</f>
        <v>3.0000000000000004E-5</v>
      </c>
      <c r="G24" s="22">
        <f>E24*F24</f>
        <v>2.2650000000000003E-2</v>
      </c>
      <c r="H24" s="22">
        <f>G24-D24</f>
        <v>0</v>
      </c>
      <c r="I24" s="23">
        <f t="shared" si="10"/>
        <v>0</v>
      </c>
      <c r="J24" s="23">
        <f t="shared" si="5"/>
        <v>1.6935579980592165E-4</v>
      </c>
      <c r="K24" s="108">
        <f t="shared" si="4"/>
        <v>1.6643838703693777E-4</v>
      </c>
    </row>
    <row r="25" spans="1:11" s="1" customFormat="1" x14ac:dyDescent="0.2">
      <c r="A25" s="110" t="s">
        <v>72</v>
      </c>
      <c r="B25" s="74"/>
      <c r="C25" s="35"/>
      <c r="D25" s="35">
        <f>SUM(D19:D24)</f>
        <v>33.62865</v>
      </c>
      <c r="E25" s="73"/>
      <c r="F25" s="35"/>
      <c r="G25" s="35">
        <f>SUM(G19:G24)</f>
        <v>34.808149999999998</v>
      </c>
      <c r="H25" s="35">
        <f t="shared" si="2"/>
        <v>1.1794999999999973</v>
      </c>
      <c r="I25" s="36">
        <f t="shared" si="10"/>
        <v>3.5074259597099415E-2</v>
      </c>
      <c r="J25" s="36">
        <f t="shared" si="5"/>
        <v>0.26026322662315632</v>
      </c>
      <c r="K25" s="111">
        <f t="shared" si="4"/>
        <v>0.25577979433729731</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5.906891030758415E-3</v>
      </c>
      <c r="K26" s="108">
        <f t="shared" si="4"/>
        <v>5.8051357951073206E-3</v>
      </c>
    </row>
    <row r="27" spans="1:11" s="1" customFormat="1" x14ac:dyDescent="0.2">
      <c r="A27" s="119" t="s">
        <v>75</v>
      </c>
      <c r="B27" s="120">
        <f>B8-B4</f>
        <v>43.034999999999968</v>
      </c>
      <c r="C27" s="170">
        <f>IF(B4&gt;B7,C13,C12)</f>
        <v>0.106</v>
      </c>
      <c r="D27" s="22">
        <f>B27*C27</f>
        <v>4.5617099999999962</v>
      </c>
      <c r="E27" s="73">
        <f>B27</f>
        <v>43.034999999999968</v>
      </c>
      <c r="F27" s="170">
        <f>C27</f>
        <v>0.106</v>
      </c>
      <c r="G27" s="22">
        <f>E27*F27</f>
        <v>4.5617099999999962</v>
      </c>
      <c r="H27" s="22">
        <f t="shared" si="2"/>
        <v>0</v>
      </c>
      <c r="I27" s="23">
        <f t="shared" si="10"/>
        <v>0</v>
      </c>
      <c r="J27" s="23">
        <f t="shared" ref="J27:J46" si="11">G27/$G$46</f>
        <v>3.4108258080912592E-2</v>
      </c>
      <c r="K27" s="108">
        <f t="shared" ref="K27:K41" si="12">G27/$G$51</f>
        <v>3.352069114923923E-2</v>
      </c>
    </row>
    <row r="28" spans="1:11" s="1" customFormat="1" x14ac:dyDescent="0.2">
      <c r="A28" s="119" t="s">
        <v>74</v>
      </c>
      <c r="B28" s="120">
        <f>B8-B4</f>
        <v>43.034999999999968</v>
      </c>
      <c r="C28" s="170">
        <f>0.65*C15+0.17*C16+0.18*C17</f>
        <v>9.7519999999999996E-2</v>
      </c>
      <c r="D28" s="22">
        <f>B28*C28</f>
        <v>4.1967731999999964</v>
      </c>
      <c r="E28" s="73">
        <f>B28</f>
        <v>43.034999999999968</v>
      </c>
      <c r="F28" s="170">
        <f>C28</f>
        <v>9.7519999999999996E-2</v>
      </c>
      <c r="G28" s="22">
        <f>E28*F28</f>
        <v>4.1967731999999964</v>
      </c>
      <c r="H28" s="22">
        <f t="shared" si="2"/>
        <v>0</v>
      </c>
      <c r="I28" s="23">
        <f t="shared" si="10"/>
        <v>0</v>
      </c>
      <c r="J28" s="23">
        <f t="shared" si="11"/>
        <v>3.1379597434439584E-2</v>
      </c>
      <c r="K28" s="108">
        <f t="shared" si="12"/>
        <v>3.0839035857300093E-2</v>
      </c>
    </row>
    <row r="29" spans="1:11" s="1" customFormat="1" x14ac:dyDescent="0.2">
      <c r="A29" s="110" t="s">
        <v>78</v>
      </c>
      <c r="B29" s="74"/>
      <c r="C29" s="35"/>
      <c r="D29" s="35">
        <f>SUM(D25,D26:D27)</f>
        <v>38.980359999999997</v>
      </c>
      <c r="E29" s="73"/>
      <c r="F29" s="35"/>
      <c r="G29" s="35">
        <f>SUM(G25,G26:G27)</f>
        <v>40.159859999999995</v>
      </c>
      <c r="H29" s="35">
        <f t="shared" si="2"/>
        <v>1.1794999999999973</v>
      </c>
      <c r="I29" s="36">
        <f t="shared" si="10"/>
        <v>3.0258827778912187E-2</v>
      </c>
      <c r="J29" s="36">
        <f t="shared" si="11"/>
        <v>0.30027837573482735</v>
      </c>
      <c r="K29" s="111">
        <f t="shared" si="12"/>
        <v>0.29510562128164386</v>
      </c>
    </row>
    <row r="30" spans="1:11" s="1" customFormat="1" x14ac:dyDescent="0.2">
      <c r="A30" s="110" t="s">
        <v>77</v>
      </c>
      <c r="B30" s="74"/>
      <c r="C30" s="35"/>
      <c r="D30" s="35">
        <f>SUM(D25,D26,D28)</f>
        <v>38.615423199999995</v>
      </c>
      <c r="E30" s="73"/>
      <c r="F30" s="35"/>
      <c r="G30" s="35">
        <f>SUM(G25,G26,G28)</f>
        <v>39.794923199999992</v>
      </c>
      <c r="H30" s="35">
        <f t="shared" si="2"/>
        <v>1.1794999999999973</v>
      </c>
      <c r="I30" s="36">
        <f t="shared" si="10"/>
        <v>3.0544790196679692E-2</v>
      </c>
      <c r="J30" s="36">
        <f t="shared" si="11"/>
        <v>0.29754971508835432</v>
      </c>
      <c r="K30" s="111">
        <f t="shared" si="12"/>
        <v>0.29242396598970471</v>
      </c>
    </row>
    <row r="31" spans="1:11" x14ac:dyDescent="0.2">
      <c r="A31" s="107" t="s">
        <v>40</v>
      </c>
      <c r="B31" s="73">
        <f>B8</f>
        <v>798.03499999999997</v>
      </c>
      <c r="C31" s="125">
        <f>VLOOKUP($B$3,'Data for Bill Impacts'!$A$6:$Y$18,15,0)</f>
        <v>7.8279999999999999E-3</v>
      </c>
      <c r="D31" s="22">
        <f>B31*C31</f>
        <v>6.2470179799999999</v>
      </c>
      <c r="E31" s="73">
        <f t="shared" si="6"/>
        <v>798.03499999999997</v>
      </c>
      <c r="F31" s="125">
        <f>VLOOKUP($B$3,'Data for Bill Impacts'!$A$6:$Y$18,24,0)</f>
        <v>7.8279999999999999E-3</v>
      </c>
      <c r="G31" s="22">
        <f>E31*F31</f>
        <v>6.2470179799999999</v>
      </c>
      <c r="H31" s="22">
        <f t="shared" si="2"/>
        <v>0</v>
      </c>
      <c r="I31" s="23">
        <f t="shared" si="10"/>
        <v>0</v>
      </c>
      <c r="J31" s="23">
        <f t="shared" si="11"/>
        <v>4.6709436044365255E-2</v>
      </c>
      <c r="K31" s="108">
        <f t="shared" si="12"/>
        <v>4.5904794542249404E-2</v>
      </c>
    </row>
    <row r="32" spans="1:11" x14ac:dyDescent="0.2">
      <c r="A32" s="107" t="s">
        <v>41</v>
      </c>
      <c r="B32" s="73">
        <f>B8</f>
        <v>798.03499999999997</v>
      </c>
      <c r="C32" s="125">
        <f>VLOOKUP($B$3,'Data for Bill Impacts'!$A$6:$Y$18,16,0)</f>
        <v>6.4380000000000001E-3</v>
      </c>
      <c r="D32" s="22">
        <f>B32*C32</f>
        <v>5.1377493300000001</v>
      </c>
      <c r="E32" s="73">
        <f t="shared" si="6"/>
        <v>798.03499999999997</v>
      </c>
      <c r="F32" s="125">
        <f>VLOOKUP($B$3,'Data for Bill Impacts'!$A$6:$Y$18,25,0)</f>
        <v>6.4380000000000001E-3</v>
      </c>
      <c r="G32" s="22">
        <f>E32*F32</f>
        <v>5.1377493300000001</v>
      </c>
      <c r="H32" s="22">
        <f t="shared" si="2"/>
        <v>0</v>
      </c>
      <c r="I32" s="23">
        <f t="shared" si="10"/>
        <v>0</v>
      </c>
      <c r="J32" s="23">
        <f t="shared" si="11"/>
        <v>3.8415348652736776E-2</v>
      </c>
      <c r="K32" s="108">
        <f t="shared" si="12"/>
        <v>3.7753585496040069E-2</v>
      </c>
    </row>
    <row r="33" spans="1:11" s="1" customFormat="1" x14ac:dyDescent="0.2">
      <c r="A33" s="110" t="s">
        <v>76</v>
      </c>
      <c r="B33" s="74"/>
      <c r="C33" s="35"/>
      <c r="D33" s="35">
        <f>SUM(D31:D32)</f>
        <v>11.384767310000001</v>
      </c>
      <c r="E33" s="73"/>
      <c r="F33" s="35"/>
      <c r="G33" s="35">
        <f>SUM(G31:G32)</f>
        <v>11.384767310000001</v>
      </c>
      <c r="H33" s="35">
        <f t="shared" si="2"/>
        <v>0</v>
      </c>
      <c r="I33" s="36">
        <f t="shared" si="10"/>
        <v>0</v>
      </c>
      <c r="J33" s="36">
        <f t="shared" si="11"/>
        <v>8.5124784697102038E-2</v>
      </c>
      <c r="K33" s="111">
        <f t="shared" si="12"/>
        <v>8.3658380038289473E-2</v>
      </c>
    </row>
    <row r="34" spans="1:11" s="1" customFormat="1" x14ac:dyDescent="0.2">
      <c r="A34" s="110" t="s">
        <v>91</v>
      </c>
      <c r="B34" s="74"/>
      <c r="C34" s="35"/>
      <c r="D34" s="35">
        <f>D29+D33</f>
        <v>50.365127309999998</v>
      </c>
      <c r="E34" s="73"/>
      <c r="F34" s="35"/>
      <c r="G34" s="35">
        <f>G29+G33</f>
        <v>51.544627309999996</v>
      </c>
      <c r="H34" s="35">
        <f t="shared" si="2"/>
        <v>1.1794999999999973</v>
      </c>
      <c r="I34" s="36">
        <f t="shared" si="10"/>
        <v>2.3418981803423489E-2</v>
      </c>
      <c r="J34" s="36">
        <f t="shared" si="11"/>
        <v>0.38540316043192935</v>
      </c>
      <c r="K34" s="111">
        <f t="shared" si="12"/>
        <v>0.37876400131993332</v>
      </c>
    </row>
    <row r="35" spans="1:11" s="1" customFormat="1" x14ac:dyDescent="0.2">
      <c r="A35" s="110" t="s">
        <v>92</v>
      </c>
      <c r="B35" s="74"/>
      <c r="C35" s="35"/>
      <c r="D35" s="35">
        <f>D30+D33</f>
        <v>50.000190509999996</v>
      </c>
      <c r="E35" s="73"/>
      <c r="F35" s="35"/>
      <c r="G35" s="35">
        <f>G30+G33</f>
        <v>51.179690509999993</v>
      </c>
      <c r="H35" s="35">
        <f t="shared" si="2"/>
        <v>1.1794999999999973</v>
      </c>
      <c r="I35" s="36">
        <f t="shared" si="10"/>
        <v>2.3589910117724419E-2</v>
      </c>
      <c r="J35" s="36">
        <f t="shared" si="11"/>
        <v>0.38267449978545637</v>
      </c>
      <c r="K35" s="111">
        <f t="shared" si="12"/>
        <v>0.37608234602799417</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2"/>
        <v>0</v>
      </c>
      <c r="I36" s="23">
        <f t="shared" si="10"/>
        <v>0</v>
      </c>
      <c r="J36" s="23">
        <f t="shared" si="11"/>
        <v>2.1481089647383097E-2</v>
      </c>
      <c r="K36" s="108">
        <f t="shared" si="12"/>
        <v>2.1111045011765181E-2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10"/>
        <v>0</v>
      </c>
      <c r="J37" s="23">
        <f t="shared" si="11"/>
        <v>1.253063562764014E-2</v>
      </c>
      <c r="K37" s="108">
        <f t="shared" si="12"/>
        <v>1.2314776256863022E-2</v>
      </c>
    </row>
    <row r="38" spans="1:11" x14ac:dyDescent="0.2">
      <c r="A38" s="107" t="s">
        <v>96</v>
      </c>
      <c r="B38" s="73">
        <f>B8</f>
        <v>798.03499999999997</v>
      </c>
      <c r="C38" s="34">
        <v>0</v>
      </c>
      <c r="D38" s="22">
        <f>B38*C38</f>
        <v>0</v>
      </c>
      <c r="E38" s="73">
        <f t="shared" si="6"/>
        <v>798.03499999999997</v>
      </c>
      <c r="F38" s="34">
        <v>0</v>
      </c>
      <c r="G38" s="22">
        <f>E38*F38</f>
        <v>0</v>
      </c>
      <c r="H38" s="22">
        <f>G38-D38</f>
        <v>0</v>
      </c>
      <c r="I38" s="23" t="str">
        <f t="shared" si="10"/>
        <v>N/A</v>
      </c>
      <c r="J38" s="23">
        <f t="shared" si="11"/>
        <v>0</v>
      </c>
      <c r="K38" s="108">
        <f t="shared" si="12"/>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1.869269313531144E-3</v>
      </c>
      <c r="K39" s="108">
        <f t="shared" si="12"/>
        <v>1.8370682895909242E-3</v>
      </c>
    </row>
    <row r="40" spans="1:11" s="1" customFormat="1" x14ac:dyDescent="0.2">
      <c r="A40" s="110" t="s">
        <v>45</v>
      </c>
      <c r="B40" s="74"/>
      <c r="C40" s="35"/>
      <c r="D40" s="35">
        <f>SUM(D36:D39)</f>
        <v>4.7987994999999994</v>
      </c>
      <c r="E40" s="73"/>
      <c r="F40" s="35"/>
      <c r="G40" s="35">
        <f>SUM(G36:G39)</f>
        <v>4.7987994999999994</v>
      </c>
      <c r="H40" s="35">
        <f t="shared" si="2"/>
        <v>0</v>
      </c>
      <c r="I40" s="36">
        <f t="shared" si="10"/>
        <v>0</v>
      </c>
      <c r="J40" s="36">
        <f t="shared" si="11"/>
        <v>3.5880994588554385E-2</v>
      </c>
      <c r="K40" s="111">
        <f t="shared" si="12"/>
        <v>3.5262889558219122E-2</v>
      </c>
    </row>
    <row r="41" spans="1:11" s="1" customFormat="1" ht="13.5" thickBot="1" x14ac:dyDescent="0.25">
      <c r="A41" s="112" t="s">
        <v>46</v>
      </c>
      <c r="B41" s="113">
        <f>B4</f>
        <v>755</v>
      </c>
      <c r="C41" s="114">
        <v>0</v>
      </c>
      <c r="D41" s="115">
        <f>B41*C41</f>
        <v>0</v>
      </c>
      <c r="E41" s="116">
        <f t="shared" si="6"/>
        <v>755</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126.19392680999999</v>
      </c>
      <c r="E42" s="38"/>
      <c r="F42" s="39"/>
      <c r="G42" s="39">
        <f>SUM(G14,G25,G26,G27,G33,G40,G41)</f>
        <v>127.37342681</v>
      </c>
      <c r="H42" s="39">
        <f t="shared" si="2"/>
        <v>1.1795000000000044</v>
      </c>
      <c r="I42" s="40">
        <f t="shared" si="10"/>
        <v>9.346725550238898E-3</v>
      </c>
      <c r="J42" s="40">
        <f t="shared" si="11"/>
        <v>0.95238095238095233</v>
      </c>
      <c r="K42" s="41"/>
    </row>
    <row r="43" spans="1:11" x14ac:dyDescent="0.2">
      <c r="A43" s="153" t="s">
        <v>102</v>
      </c>
      <c r="B43" s="43"/>
      <c r="C43" s="26">
        <v>0.13</v>
      </c>
      <c r="D43" s="26">
        <f>D42*C43</f>
        <v>16.4052104853</v>
      </c>
      <c r="E43" s="26"/>
      <c r="F43" s="26">
        <f>C43</f>
        <v>0.13</v>
      </c>
      <c r="G43" s="26">
        <f>G42*F43</f>
        <v>16.558545485300002</v>
      </c>
      <c r="H43" s="26">
        <f t="shared" si="2"/>
        <v>0.153335000000002</v>
      </c>
      <c r="I43" s="44">
        <f t="shared" si="10"/>
        <v>9.3467255502389848E-3</v>
      </c>
      <c r="J43" s="44">
        <f t="shared" si="11"/>
        <v>0.12380952380952383</v>
      </c>
      <c r="K43" s="45"/>
    </row>
    <row r="44" spans="1:11" s="1" customFormat="1" x14ac:dyDescent="0.2">
      <c r="A44" s="46" t="s">
        <v>103</v>
      </c>
      <c r="B44" s="24"/>
      <c r="C44" s="25"/>
      <c r="D44" s="25">
        <f>SUM(D42:D43)</f>
        <v>142.59913729529998</v>
      </c>
      <c r="E44" s="25"/>
      <c r="F44" s="25"/>
      <c r="G44" s="25">
        <f>SUM(G42:G43)</f>
        <v>143.9319722953</v>
      </c>
      <c r="H44" s="25">
        <f t="shared" si="2"/>
        <v>1.3328350000000171</v>
      </c>
      <c r="I44" s="27">
        <f t="shared" si="10"/>
        <v>9.346725550238983E-3</v>
      </c>
      <c r="J44" s="27">
        <f t="shared" si="11"/>
        <v>1.0761904761904761</v>
      </c>
      <c r="K44" s="47"/>
    </row>
    <row r="45" spans="1:11" x14ac:dyDescent="0.2">
      <c r="A45" s="42" t="s">
        <v>104</v>
      </c>
      <c r="B45" s="43"/>
      <c r="C45" s="26">
        <v>-0.08</v>
      </c>
      <c r="D45" s="26">
        <f>D42*C45</f>
        <v>-10.095514144799999</v>
      </c>
      <c r="E45" s="26"/>
      <c r="F45" s="26">
        <f>C45</f>
        <v>-0.08</v>
      </c>
      <c r="G45" s="26">
        <f>G42*F45</f>
        <v>-10.189874144799999</v>
      </c>
      <c r="H45" s="26">
        <f t="shared" si="2"/>
        <v>-9.4359999999999999E-2</v>
      </c>
      <c r="I45" s="44">
        <f t="shared" si="10"/>
        <v>-9.3467255502388633E-3</v>
      </c>
      <c r="J45" s="44">
        <f t="shared" si="11"/>
        <v>-7.6190476190476183E-2</v>
      </c>
      <c r="K45" s="45"/>
    </row>
    <row r="46" spans="1:11" s="1" customFormat="1" ht="13.5" thickBot="1" x14ac:dyDescent="0.25">
      <c r="A46" s="48" t="s">
        <v>105</v>
      </c>
      <c r="B46" s="49"/>
      <c r="C46" s="50"/>
      <c r="D46" s="50">
        <f>SUM(D44:D45)</f>
        <v>132.50362315049998</v>
      </c>
      <c r="E46" s="50"/>
      <c r="F46" s="50"/>
      <c r="G46" s="50">
        <f>SUM(G44:G45)</f>
        <v>133.7420981505</v>
      </c>
      <c r="H46" s="50">
        <f t="shared" si="2"/>
        <v>1.2384750000000224</v>
      </c>
      <c r="I46" s="51">
        <f t="shared" si="10"/>
        <v>9.3467255502390333E-3</v>
      </c>
      <c r="J46" s="51">
        <f t="shared" si="11"/>
        <v>1</v>
      </c>
      <c r="K46" s="52"/>
    </row>
    <row r="47" spans="1:11" x14ac:dyDescent="0.2">
      <c r="A47" s="53" t="s">
        <v>106</v>
      </c>
      <c r="B47" s="54"/>
      <c r="C47" s="55"/>
      <c r="D47" s="55">
        <f>SUM(D18,D25,D26,D28,D33,D40,D41)</f>
        <v>128.42659000999998</v>
      </c>
      <c r="E47" s="55"/>
      <c r="F47" s="55"/>
      <c r="G47" s="55">
        <f>SUM(G18,G25,G26,G28,G33,G40,G41)</f>
        <v>129.60609001</v>
      </c>
      <c r="H47" s="55">
        <f>G47-D47</f>
        <v>1.1795000000000186</v>
      </c>
      <c r="I47" s="56">
        <f t="shared" si="10"/>
        <v>9.1842351331463089E-3</v>
      </c>
      <c r="J47" s="56"/>
      <c r="K47" s="57">
        <f>G47/$G$51</f>
        <v>0.95238095238095233</v>
      </c>
    </row>
    <row r="48" spans="1:11" x14ac:dyDescent="0.2">
      <c r="A48" s="154" t="s">
        <v>102</v>
      </c>
      <c r="B48" s="59"/>
      <c r="C48" s="31">
        <v>0.13</v>
      </c>
      <c r="D48" s="31">
        <f>D47*C48</f>
        <v>16.695456701299999</v>
      </c>
      <c r="E48" s="31"/>
      <c r="F48" s="31">
        <f>C48</f>
        <v>0.13</v>
      </c>
      <c r="G48" s="31">
        <f>G47*F48</f>
        <v>16.848791701300001</v>
      </c>
      <c r="H48" s="31">
        <f>G48-D48</f>
        <v>0.153335000000002</v>
      </c>
      <c r="I48" s="32">
        <f t="shared" si="10"/>
        <v>9.1842351331462829E-3</v>
      </c>
      <c r="J48" s="32"/>
      <c r="K48" s="60">
        <f>G48/$G$51</f>
        <v>0.12380952380952381</v>
      </c>
    </row>
    <row r="49" spans="1:11" x14ac:dyDescent="0.2">
      <c r="A49" s="61" t="s">
        <v>107</v>
      </c>
      <c r="B49" s="29"/>
      <c r="C49" s="30"/>
      <c r="D49" s="30">
        <f>SUM(D47:D48)</f>
        <v>145.12204671129999</v>
      </c>
      <c r="E49" s="30"/>
      <c r="F49" s="30"/>
      <c r="G49" s="30">
        <f>SUM(G47:G48)</f>
        <v>146.4548817113</v>
      </c>
      <c r="H49" s="30">
        <f>G49-D49</f>
        <v>1.3328350000000171</v>
      </c>
      <c r="I49" s="33">
        <f t="shared" si="10"/>
        <v>9.1842351331462811E-3</v>
      </c>
      <c r="J49" s="33"/>
      <c r="K49" s="62">
        <f>G49/$G$51</f>
        <v>1.0761904761904761</v>
      </c>
    </row>
    <row r="50" spans="1:11" x14ac:dyDescent="0.2">
      <c r="A50" s="58" t="s">
        <v>104</v>
      </c>
      <c r="B50" s="59"/>
      <c r="C50" s="31">
        <v>-0.08</v>
      </c>
      <c r="D50" s="31">
        <f>D47*C50</f>
        <v>-10.274127200799999</v>
      </c>
      <c r="E50" s="31"/>
      <c r="F50" s="31">
        <f>C50</f>
        <v>-0.08</v>
      </c>
      <c r="G50" s="31">
        <f>G47*F50</f>
        <v>-10.368487200800001</v>
      </c>
      <c r="H50" s="31">
        <f>G50-D50</f>
        <v>-9.4360000000001776E-2</v>
      </c>
      <c r="I50" s="32">
        <f t="shared" si="10"/>
        <v>-9.1842351331463366E-3</v>
      </c>
      <c r="J50" s="32"/>
      <c r="K50" s="60">
        <f>G50/$G$51</f>
        <v>-7.6190476190476183E-2</v>
      </c>
    </row>
    <row r="51" spans="1:11" ht="13.5" thickBot="1" x14ac:dyDescent="0.25">
      <c r="A51" s="63" t="s">
        <v>116</v>
      </c>
      <c r="B51" s="64"/>
      <c r="C51" s="65"/>
      <c r="D51" s="65">
        <f>SUM(D49:D50)</f>
        <v>134.84791951049999</v>
      </c>
      <c r="E51" s="65"/>
      <c r="F51" s="65"/>
      <c r="G51" s="65">
        <f>SUM(G49:G50)</f>
        <v>136.08639451050001</v>
      </c>
      <c r="H51" s="65">
        <f>G51-D51</f>
        <v>1.2384750000000224</v>
      </c>
      <c r="I51" s="66">
        <f t="shared" si="10"/>
        <v>9.1842351331463297E-3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121</v>
      </c>
      <c r="B1" s="186"/>
      <c r="C1" s="186"/>
      <c r="D1" s="186"/>
      <c r="E1" s="186"/>
      <c r="F1" s="186"/>
      <c r="G1" s="186"/>
      <c r="H1" s="186"/>
      <c r="I1" s="186"/>
      <c r="J1" s="186"/>
      <c r="K1" s="187"/>
    </row>
    <row r="3" spans="1:11" ht="12" customHeight="1" x14ac:dyDescent="0.2">
      <c r="A3" s="13" t="s">
        <v>13</v>
      </c>
      <c r="B3" s="13" t="s">
        <v>0</v>
      </c>
    </row>
    <row r="4" spans="1:11" x14ac:dyDescent="0.2">
      <c r="A4" s="15" t="s">
        <v>62</v>
      </c>
      <c r="B4" s="15">
        <v>1400</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67">
        <f>B4*B6</f>
        <v>1479.8</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0.24040296700385874</v>
      </c>
      <c r="K12" s="106"/>
    </row>
    <row r="13" spans="1:11" x14ac:dyDescent="0.2">
      <c r="A13" s="107" t="s">
        <v>32</v>
      </c>
      <c r="B13" s="73">
        <f>IF(B4&gt;B7,(B4)-B7,0)</f>
        <v>800</v>
      </c>
      <c r="C13" s="21">
        <v>0.106</v>
      </c>
      <c r="D13" s="22">
        <f>B13*C13</f>
        <v>84.8</v>
      </c>
      <c r="E13" s="73">
        <f t="shared" ref="E13" si="1">B13</f>
        <v>800</v>
      </c>
      <c r="F13" s="21">
        <f>C13</f>
        <v>0.106</v>
      </c>
      <c r="G13" s="22">
        <f>E13*F13</f>
        <v>84.8</v>
      </c>
      <c r="H13" s="22">
        <f t="shared" ref="H13:H46" si="2">G13-D13</f>
        <v>0</v>
      </c>
      <c r="I13" s="23">
        <f t="shared" si="0"/>
        <v>0</v>
      </c>
      <c r="J13" s="23">
        <f>G13/$G$46</f>
        <v>0.37337310626240328</v>
      </c>
      <c r="K13" s="108"/>
    </row>
    <row r="14" spans="1:11" s="1" customFormat="1" x14ac:dyDescent="0.2">
      <c r="A14" s="46" t="s">
        <v>33</v>
      </c>
      <c r="B14" s="24"/>
      <c r="C14" s="25"/>
      <c r="D14" s="25">
        <f>SUM(D12:D13)</f>
        <v>139.4</v>
      </c>
      <c r="E14" s="76"/>
      <c r="F14" s="25"/>
      <c r="G14" s="25">
        <f>SUM(G12:G13)</f>
        <v>139.4</v>
      </c>
      <c r="H14" s="25">
        <f t="shared" si="2"/>
        <v>0</v>
      </c>
      <c r="I14" s="27">
        <f t="shared" si="0"/>
        <v>0</v>
      </c>
      <c r="J14" s="27">
        <f>G14/$G$46</f>
        <v>0.61377607326626205</v>
      </c>
      <c r="K14" s="108"/>
    </row>
    <row r="15" spans="1:11" s="1" customFormat="1" x14ac:dyDescent="0.2">
      <c r="A15" s="109" t="s">
        <v>34</v>
      </c>
      <c r="B15" s="75">
        <f>B4*0.65</f>
        <v>910</v>
      </c>
      <c r="C15" s="28">
        <v>7.6999999999999999E-2</v>
      </c>
      <c r="D15" s="22">
        <f>B15*C15</f>
        <v>70.069999999999993</v>
      </c>
      <c r="E15" s="73">
        <f t="shared" ref="E15:F17" si="3">B15</f>
        <v>910</v>
      </c>
      <c r="F15" s="28">
        <f t="shared" si="3"/>
        <v>7.6999999999999999E-2</v>
      </c>
      <c r="G15" s="22">
        <f>E15*F15</f>
        <v>70.069999999999993</v>
      </c>
      <c r="H15" s="22">
        <f t="shared" si="2"/>
        <v>0</v>
      </c>
      <c r="I15" s="23">
        <f t="shared" si="0"/>
        <v>0</v>
      </c>
      <c r="J15" s="23"/>
      <c r="K15" s="108">
        <f t="shared" ref="K15:K26" si="4">G15/$G$51</f>
        <v>0.31366314051828376</v>
      </c>
    </row>
    <row r="16" spans="1:11" s="1" customFormat="1" x14ac:dyDescent="0.2">
      <c r="A16" s="109" t="s">
        <v>35</v>
      </c>
      <c r="B16" s="75">
        <f>B4*0.17</f>
        <v>238.00000000000003</v>
      </c>
      <c r="C16" s="28">
        <v>0.113</v>
      </c>
      <c r="D16" s="22">
        <f>B16*C16</f>
        <v>26.894000000000005</v>
      </c>
      <c r="E16" s="73">
        <f t="shared" si="3"/>
        <v>238.00000000000003</v>
      </c>
      <c r="F16" s="28">
        <f t="shared" si="3"/>
        <v>0.113</v>
      </c>
      <c r="G16" s="22">
        <f>E16*F16</f>
        <v>26.894000000000005</v>
      </c>
      <c r="H16" s="22">
        <f t="shared" si="2"/>
        <v>0</v>
      </c>
      <c r="I16" s="23">
        <f t="shared" si="0"/>
        <v>0</v>
      </c>
      <c r="J16" s="23"/>
      <c r="K16" s="108">
        <f t="shared" si="4"/>
        <v>0.12038898959752713</v>
      </c>
    </row>
    <row r="17" spans="1:11" s="1" customFormat="1" x14ac:dyDescent="0.2">
      <c r="A17" s="109" t="s">
        <v>36</v>
      </c>
      <c r="B17" s="75">
        <f>B4*0.18</f>
        <v>252</v>
      </c>
      <c r="C17" s="28">
        <v>0.157</v>
      </c>
      <c r="D17" s="22">
        <f>B17*C17</f>
        <v>39.564</v>
      </c>
      <c r="E17" s="73">
        <f t="shared" si="3"/>
        <v>252</v>
      </c>
      <c r="F17" s="28">
        <f t="shared" si="3"/>
        <v>0.157</v>
      </c>
      <c r="G17" s="22">
        <f>E17*F17</f>
        <v>39.564</v>
      </c>
      <c r="H17" s="22">
        <f t="shared" si="2"/>
        <v>0</v>
      </c>
      <c r="I17" s="23">
        <f t="shared" si="0"/>
        <v>0</v>
      </c>
      <c r="J17" s="23"/>
      <c r="K17" s="108">
        <f t="shared" si="4"/>
        <v>0.17710530171921476</v>
      </c>
    </row>
    <row r="18" spans="1:11" s="1" customFormat="1" x14ac:dyDescent="0.2">
      <c r="A18" s="61" t="s">
        <v>37</v>
      </c>
      <c r="B18" s="29"/>
      <c r="C18" s="30"/>
      <c r="D18" s="30">
        <f>SUM(D15:D17)</f>
        <v>136.52799999999999</v>
      </c>
      <c r="E18" s="77"/>
      <c r="F18" s="30"/>
      <c r="G18" s="30">
        <f>SUM(G15:G17)</f>
        <v>136.52799999999999</v>
      </c>
      <c r="H18" s="31">
        <f t="shared" si="2"/>
        <v>0</v>
      </c>
      <c r="I18" s="32">
        <f t="shared" si="0"/>
        <v>0</v>
      </c>
      <c r="J18" s="33">
        <f t="shared" ref="J18:J26" si="5">G18/$G$46</f>
        <v>0.60113070108246924</v>
      </c>
      <c r="K18" s="62">
        <f t="shared" si="4"/>
        <v>0.61115743183502558</v>
      </c>
    </row>
    <row r="19" spans="1:11" x14ac:dyDescent="0.2">
      <c r="A19" s="107" t="s">
        <v>38</v>
      </c>
      <c r="B19" s="73">
        <v>1</v>
      </c>
      <c r="C19" s="78">
        <f>VLOOKUP($B$3,'Data for Bill Impacts'!$A$6:$Y$18,7,0)</f>
        <v>27.71</v>
      </c>
      <c r="D19" s="22">
        <f>B19*C19</f>
        <v>27.71</v>
      </c>
      <c r="E19" s="73">
        <f t="shared" ref="E19:E41" si="6">B19</f>
        <v>1</v>
      </c>
      <c r="F19" s="78">
        <f>VLOOKUP($B$3,'Data for Bill Impacts'!$A$6:$Y$18,17,0)</f>
        <v>31.23</v>
      </c>
      <c r="G19" s="22">
        <f>E19*F19</f>
        <v>31.23</v>
      </c>
      <c r="H19" s="22">
        <f t="shared" si="2"/>
        <v>3.5199999999999996</v>
      </c>
      <c r="I19" s="23">
        <f>IF(ISERROR(H19/ABS(D19)),"N/A",(H19/ABS(D19)))</f>
        <v>0.12702995308552867</v>
      </c>
      <c r="J19" s="23">
        <f t="shared" si="5"/>
        <v>0.13750521354451481</v>
      </c>
      <c r="K19" s="108">
        <f t="shared" si="4"/>
        <v>0.13979877092030829</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7.0000000000000001E-3</v>
      </c>
      <c r="D22" s="22">
        <f t="shared" si="9"/>
        <v>7.0000000000000001E-3</v>
      </c>
      <c r="E22" s="73">
        <f t="shared" si="6"/>
        <v>1</v>
      </c>
      <c r="F22" s="121">
        <f>VLOOKUP($B$3,'Data for Bill Impacts'!$A$6:$Y$18,22,0)</f>
        <v>7.0000000000000001E-3</v>
      </c>
      <c r="G22" s="22">
        <f t="shared" si="7"/>
        <v>7.0000000000000001E-3</v>
      </c>
      <c r="H22" s="22">
        <f t="shared" si="2"/>
        <v>0</v>
      </c>
      <c r="I22" s="23">
        <f t="shared" ref="I22:I51" si="10">IF(ISERROR(H22/ABS(D22)),"N/A",(H22/ABS(D22)))</f>
        <v>0</v>
      </c>
      <c r="J22" s="23">
        <f>G22/$G$46</f>
        <v>3.0820893205622915E-5</v>
      </c>
      <c r="K22" s="108">
        <f t="shared" si="4"/>
        <v>3.1334979072755624E-5</v>
      </c>
    </row>
    <row r="23" spans="1:11" x14ac:dyDescent="0.2">
      <c r="A23" s="107" t="s">
        <v>39</v>
      </c>
      <c r="B23" s="73">
        <f>IF($B$9="kWh",$B$4,$B$5)</f>
        <v>1400</v>
      </c>
      <c r="C23" s="78">
        <f>VLOOKUP($B$3,'Data for Bill Impacts'!$A$6:$Y$18,10,0)</f>
        <v>7.7999999999999996E-3</v>
      </c>
      <c r="D23" s="22">
        <f>B23*C23</f>
        <v>10.92</v>
      </c>
      <c r="E23" s="73">
        <f t="shared" si="6"/>
        <v>1400</v>
      </c>
      <c r="F23" s="78">
        <f>VLOOKUP($B$3,'Data for Bill Impacts'!$A$6:$Y$18,19,0)</f>
        <v>4.7000000000000002E-3</v>
      </c>
      <c r="G23" s="22">
        <f>E23*F23</f>
        <v>6.58</v>
      </c>
      <c r="H23" s="22">
        <f t="shared" si="2"/>
        <v>-4.34</v>
      </c>
      <c r="I23" s="23">
        <f t="shared" si="10"/>
        <v>-0.39743589743589741</v>
      </c>
      <c r="J23" s="23">
        <f t="shared" si="5"/>
        <v>2.8971639613285541E-2</v>
      </c>
      <c r="K23" s="108">
        <f t="shared" si="4"/>
        <v>2.9454880328390283E-2</v>
      </c>
    </row>
    <row r="24" spans="1:11" x14ac:dyDescent="0.2">
      <c r="A24" s="107" t="s">
        <v>122</v>
      </c>
      <c r="B24" s="73">
        <f>IF($B$9="kWh",$B$4,$B$5)</f>
        <v>1400</v>
      </c>
      <c r="C24" s="125">
        <f>VLOOKUP($B$3,'Data for Bill Impacts'!$A$6:$Y$18,14,0)</f>
        <v>3.0000000000000004E-5</v>
      </c>
      <c r="D24" s="22">
        <f>B24*C24</f>
        <v>4.2000000000000003E-2</v>
      </c>
      <c r="E24" s="73">
        <f>B24</f>
        <v>1400</v>
      </c>
      <c r="F24" s="125">
        <f>VLOOKUP($B$3,'Data for Bill Impacts'!$A$6:$Y$18,23,0)</f>
        <v>3.0000000000000004E-5</v>
      </c>
      <c r="G24" s="22">
        <f>E24*F24</f>
        <v>4.2000000000000003E-2</v>
      </c>
      <c r="H24" s="22">
        <f>G24-D24</f>
        <v>0</v>
      </c>
      <c r="I24" s="23">
        <f t="shared" si="10"/>
        <v>0</v>
      </c>
      <c r="J24" s="23">
        <f t="shared" si="5"/>
        <v>1.8492535923373749E-4</v>
      </c>
      <c r="K24" s="108">
        <f t="shared" si="4"/>
        <v>1.8800987443653373E-4</v>
      </c>
    </row>
    <row r="25" spans="1:11" s="1" customFormat="1" x14ac:dyDescent="0.2">
      <c r="A25" s="110" t="s">
        <v>72</v>
      </c>
      <c r="B25" s="74"/>
      <c r="C25" s="35"/>
      <c r="D25" s="35">
        <f>SUM(D19:D24)</f>
        <v>38.679000000000002</v>
      </c>
      <c r="E25" s="73"/>
      <c r="F25" s="35"/>
      <c r="G25" s="35">
        <f>SUM(G19:G24)</f>
        <v>37.859000000000002</v>
      </c>
      <c r="H25" s="35">
        <f t="shared" si="2"/>
        <v>-0.82000000000000028</v>
      </c>
      <c r="I25" s="36">
        <f t="shared" si="10"/>
        <v>-2.1200134439876943E-2</v>
      </c>
      <c r="J25" s="36">
        <f t="shared" si="5"/>
        <v>0.1666925994102397</v>
      </c>
      <c r="K25" s="111">
        <f t="shared" si="4"/>
        <v>0.16947299610220787</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3.4783579474917292E-3</v>
      </c>
      <c r="K26" s="108">
        <f t="shared" si="4"/>
        <v>3.536376209639563E-3</v>
      </c>
    </row>
    <row r="27" spans="1:11" s="1" customFormat="1" x14ac:dyDescent="0.2">
      <c r="A27" s="119" t="s">
        <v>75</v>
      </c>
      <c r="B27" s="120">
        <f>B8-B4</f>
        <v>79.799999999999955</v>
      </c>
      <c r="C27" s="170">
        <f>IF(B4&gt;B7,C13,C12)</f>
        <v>0.106</v>
      </c>
      <c r="D27" s="22">
        <f>B27*C27</f>
        <v>8.4587999999999948</v>
      </c>
      <c r="E27" s="73">
        <f>B27</f>
        <v>79.799999999999955</v>
      </c>
      <c r="F27" s="170">
        <f>C27</f>
        <v>0.106</v>
      </c>
      <c r="G27" s="22">
        <f>E27*F27</f>
        <v>8.4587999999999948</v>
      </c>
      <c r="H27" s="22">
        <f t="shared" si="2"/>
        <v>0</v>
      </c>
      <c r="I27" s="23">
        <f t="shared" si="10"/>
        <v>0</v>
      </c>
      <c r="J27" s="23">
        <f t="shared" ref="J27:J46" si="11">G27/$G$46</f>
        <v>3.7243967349674709E-2</v>
      </c>
      <c r="K27" s="108">
        <f t="shared" ref="K27:K41" si="12">G27/$G$51</f>
        <v>3.7865188711517866E-2</v>
      </c>
    </row>
    <row r="28" spans="1:11" s="1" customFormat="1" x14ac:dyDescent="0.2">
      <c r="A28" s="119" t="s">
        <v>74</v>
      </c>
      <c r="B28" s="120">
        <f>B8-B4</f>
        <v>79.799999999999955</v>
      </c>
      <c r="C28" s="170">
        <f>0.65*C15+0.17*C16+0.18*C17</f>
        <v>9.7519999999999996E-2</v>
      </c>
      <c r="D28" s="22">
        <f>B28*C28</f>
        <v>7.7820959999999948</v>
      </c>
      <c r="E28" s="73">
        <f>B28</f>
        <v>79.799999999999955</v>
      </c>
      <c r="F28" s="170">
        <f>C28</f>
        <v>9.7519999999999996E-2</v>
      </c>
      <c r="G28" s="22">
        <f>E28*F28</f>
        <v>7.7820959999999948</v>
      </c>
      <c r="H28" s="22">
        <f t="shared" si="2"/>
        <v>0</v>
      </c>
      <c r="I28" s="23">
        <f t="shared" si="10"/>
        <v>0</v>
      </c>
      <c r="J28" s="23">
        <f t="shared" si="11"/>
        <v>3.4264449961700728E-2</v>
      </c>
      <c r="K28" s="108">
        <f t="shared" si="12"/>
        <v>3.4835973614596435E-2</v>
      </c>
    </row>
    <row r="29" spans="1:11" s="1" customFormat="1" x14ac:dyDescent="0.2">
      <c r="A29" s="110" t="s">
        <v>78</v>
      </c>
      <c r="B29" s="74"/>
      <c r="C29" s="35"/>
      <c r="D29" s="35">
        <f>SUM(D25,D26:D27)</f>
        <v>47.927799999999998</v>
      </c>
      <c r="E29" s="73"/>
      <c r="F29" s="35"/>
      <c r="G29" s="35">
        <f>SUM(G25,G26:G27)</f>
        <v>47.107799999999997</v>
      </c>
      <c r="H29" s="35">
        <f t="shared" si="2"/>
        <v>-0.82000000000000028</v>
      </c>
      <c r="I29" s="36">
        <f t="shared" si="10"/>
        <v>-1.7109068223452782E-2</v>
      </c>
      <c r="J29" s="36">
        <f t="shared" si="11"/>
        <v>0.20741492470740616</v>
      </c>
      <c r="K29" s="111">
        <f t="shared" si="12"/>
        <v>0.21087456102336533</v>
      </c>
    </row>
    <row r="30" spans="1:11" s="1" customFormat="1" x14ac:dyDescent="0.2">
      <c r="A30" s="110" t="s">
        <v>77</v>
      </c>
      <c r="B30" s="74"/>
      <c r="C30" s="35"/>
      <c r="D30" s="35">
        <f>SUM(D25,D26,D28)</f>
        <v>47.251095999999997</v>
      </c>
      <c r="E30" s="73"/>
      <c r="F30" s="35"/>
      <c r="G30" s="35">
        <f>SUM(G25,G26,G28)</f>
        <v>46.431095999999997</v>
      </c>
      <c r="H30" s="35">
        <f t="shared" si="2"/>
        <v>-0.82000000000000028</v>
      </c>
      <c r="I30" s="36">
        <f t="shared" si="10"/>
        <v>-1.7354094812954187E-2</v>
      </c>
      <c r="J30" s="36">
        <f t="shared" si="11"/>
        <v>0.20443540731943216</v>
      </c>
      <c r="K30" s="111">
        <f t="shared" si="12"/>
        <v>0.20784534592644388</v>
      </c>
    </row>
    <row r="31" spans="1:11" x14ac:dyDescent="0.2">
      <c r="A31" s="107" t="s">
        <v>40</v>
      </c>
      <c r="B31" s="73">
        <f>B8</f>
        <v>1479.8</v>
      </c>
      <c r="C31" s="125">
        <f>VLOOKUP($B$3,'Data for Bill Impacts'!$A$6:$Y$18,15,0)</f>
        <v>7.8279999999999999E-3</v>
      </c>
      <c r="D31" s="22">
        <f>B31*C31</f>
        <v>11.583874399999999</v>
      </c>
      <c r="E31" s="73">
        <f t="shared" si="6"/>
        <v>1479.8</v>
      </c>
      <c r="F31" s="125">
        <f>VLOOKUP($B$3,'Data for Bill Impacts'!$A$6:$Y$18,24,0)</f>
        <v>7.8279999999999999E-3</v>
      </c>
      <c r="G31" s="22">
        <f>E31*F31</f>
        <v>11.583874399999999</v>
      </c>
      <c r="H31" s="22">
        <f t="shared" si="2"/>
        <v>0</v>
      </c>
      <c r="I31" s="23">
        <f t="shared" si="10"/>
        <v>0</v>
      </c>
      <c r="J31" s="23">
        <f t="shared" si="11"/>
        <v>5.1003622255678456E-2</v>
      </c>
      <c r="K31" s="108">
        <f t="shared" si="12"/>
        <v>5.1854351700775653E-2</v>
      </c>
    </row>
    <row r="32" spans="1:11" x14ac:dyDescent="0.2">
      <c r="A32" s="107" t="s">
        <v>41</v>
      </c>
      <c r="B32" s="73">
        <f>B8</f>
        <v>1479.8</v>
      </c>
      <c r="C32" s="125">
        <f>VLOOKUP($B$3,'Data for Bill Impacts'!$A$6:$Y$18,16,0)</f>
        <v>6.4380000000000001E-3</v>
      </c>
      <c r="D32" s="22">
        <f>B32*C32</f>
        <v>9.5269524000000008</v>
      </c>
      <c r="E32" s="73">
        <f t="shared" si="6"/>
        <v>1479.8</v>
      </c>
      <c r="F32" s="125">
        <f>VLOOKUP($B$3,'Data for Bill Impacts'!$A$6:$Y$18,25,0)</f>
        <v>6.4380000000000001E-3</v>
      </c>
      <c r="G32" s="22">
        <f>E32*F32</f>
        <v>9.5269524000000008</v>
      </c>
      <c r="H32" s="22">
        <f t="shared" si="2"/>
        <v>0</v>
      </c>
      <c r="I32" s="23">
        <f t="shared" si="10"/>
        <v>0</v>
      </c>
      <c r="J32" s="23">
        <f t="shared" si="11"/>
        <v>4.1947026070778992E-2</v>
      </c>
      <c r="K32" s="108">
        <f t="shared" si="12"/>
        <v>4.2646693440162711E-2</v>
      </c>
    </row>
    <row r="33" spans="1:11" s="1" customFormat="1" x14ac:dyDescent="0.2">
      <c r="A33" s="110" t="s">
        <v>76</v>
      </c>
      <c r="B33" s="74"/>
      <c r="C33" s="35"/>
      <c r="D33" s="35">
        <f>SUM(D31:D32)</f>
        <v>21.110826799999998</v>
      </c>
      <c r="E33" s="73"/>
      <c r="F33" s="35"/>
      <c r="G33" s="35">
        <f>SUM(G31:G32)</f>
        <v>21.110826799999998</v>
      </c>
      <c r="H33" s="35">
        <f t="shared" si="2"/>
        <v>0</v>
      </c>
      <c r="I33" s="36">
        <f t="shared" si="10"/>
        <v>0</v>
      </c>
      <c r="J33" s="36">
        <f t="shared" si="11"/>
        <v>9.2950648326457441E-2</v>
      </c>
      <c r="K33" s="111">
        <f t="shared" si="12"/>
        <v>9.450104514093835E-2</v>
      </c>
    </row>
    <row r="34" spans="1:11" s="1" customFormat="1" x14ac:dyDescent="0.2">
      <c r="A34" s="110" t="s">
        <v>91</v>
      </c>
      <c r="B34" s="74"/>
      <c r="C34" s="35"/>
      <c r="D34" s="35">
        <f>D29+D33</f>
        <v>69.038626800000003</v>
      </c>
      <c r="E34" s="73"/>
      <c r="F34" s="35"/>
      <c r="G34" s="35">
        <f>G29+G33</f>
        <v>68.218626799999996</v>
      </c>
      <c r="H34" s="35">
        <f t="shared" si="2"/>
        <v>-0.82000000000000739</v>
      </c>
      <c r="I34" s="36">
        <f t="shared" si="10"/>
        <v>-1.187740889423379E-2</v>
      </c>
      <c r="J34" s="36">
        <f t="shared" si="11"/>
        <v>0.30036557303386358</v>
      </c>
      <c r="K34" s="111">
        <f t="shared" si="12"/>
        <v>0.30537560616430365</v>
      </c>
    </row>
    <row r="35" spans="1:11" s="1" customFormat="1" x14ac:dyDescent="0.2">
      <c r="A35" s="110" t="s">
        <v>92</v>
      </c>
      <c r="B35" s="74"/>
      <c r="C35" s="35"/>
      <c r="D35" s="35">
        <f>D30+D33</f>
        <v>68.361922800000002</v>
      </c>
      <c r="E35" s="73"/>
      <c r="F35" s="35"/>
      <c r="G35" s="35">
        <f>G30+G33</f>
        <v>67.541922799999995</v>
      </c>
      <c r="H35" s="35">
        <f t="shared" si="2"/>
        <v>-0.82000000000000739</v>
      </c>
      <c r="I35" s="36">
        <f t="shared" si="10"/>
        <v>-1.1994981510379742E-2</v>
      </c>
      <c r="J35" s="36">
        <f t="shared" si="11"/>
        <v>0.2973860556458896</v>
      </c>
      <c r="K35" s="111">
        <f t="shared" si="12"/>
        <v>0.3023463910673822</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2"/>
        <v>0</v>
      </c>
      <c r="I36" s="23">
        <f t="shared" si="10"/>
        <v>0</v>
      </c>
      <c r="J36" s="23">
        <f t="shared" si="11"/>
        <v>2.3455932565207262E-2</v>
      </c>
      <c r="K36" s="108">
        <f t="shared" si="12"/>
        <v>2.3847172473529937E-2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10"/>
        <v>0</v>
      </c>
      <c r="J37" s="23">
        <f t="shared" si="11"/>
        <v>1.3682627329704235E-2</v>
      </c>
      <c r="K37" s="108">
        <f t="shared" si="12"/>
        <v>1.391085060955913E-2</v>
      </c>
    </row>
    <row r="38" spans="1:11" x14ac:dyDescent="0.2">
      <c r="A38" s="107" t="s">
        <v>96</v>
      </c>
      <c r="B38" s="73">
        <f>B8</f>
        <v>1479.8</v>
      </c>
      <c r="C38" s="34">
        <v>0</v>
      </c>
      <c r="D38" s="22">
        <f>B38*C38</f>
        <v>0</v>
      </c>
      <c r="E38" s="73">
        <f t="shared" si="6"/>
        <v>1479.8</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1.1007461859151042E-3</v>
      </c>
      <c r="K39" s="108">
        <f t="shared" si="12"/>
        <v>1.119106395455558E-3</v>
      </c>
    </row>
    <row r="40" spans="1:11" s="1" customFormat="1" x14ac:dyDescent="0.2">
      <c r="A40" s="110" t="s">
        <v>45</v>
      </c>
      <c r="B40" s="74"/>
      <c r="C40" s="35"/>
      <c r="D40" s="35">
        <f>SUM(D36:D39)</f>
        <v>8.6848600000000005</v>
      </c>
      <c r="E40" s="73"/>
      <c r="F40" s="35"/>
      <c r="G40" s="35">
        <f>SUM(G36:G39)</f>
        <v>8.6848600000000005</v>
      </c>
      <c r="H40" s="35">
        <f t="shared" si="2"/>
        <v>0</v>
      </c>
      <c r="I40" s="36">
        <f t="shared" si="10"/>
        <v>0</v>
      </c>
      <c r="J40" s="36">
        <f t="shared" si="11"/>
        <v>3.8239306080826603E-2</v>
      </c>
      <c r="K40" s="111">
        <f t="shared" si="12"/>
        <v>3.8877129478544631E-2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217.12348680000002</v>
      </c>
      <c r="E42" s="38"/>
      <c r="F42" s="39"/>
      <c r="G42" s="39">
        <f>SUM(G14,G25,G26,G27,G33,G40,G41)</f>
        <v>216.30348680000003</v>
      </c>
      <c r="H42" s="39">
        <f t="shared" si="2"/>
        <v>-0.81999999999999318</v>
      </c>
      <c r="I42" s="40">
        <f t="shared" si="10"/>
        <v>-3.7766526877643764E-3</v>
      </c>
      <c r="J42" s="40">
        <f t="shared" si="11"/>
        <v>0.95238095238095244</v>
      </c>
      <c r="K42" s="41"/>
    </row>
    <row r="43" spans="1:11" x14ac:dyDescent="0.2">
      <c r="A43" s="153" t="s">
        <v>102</v>
      </c>
      <c r="B43" s="43"/>
      <c r="C43" s="26">
        <v>0.13</v>
      </c>
      <c r="D43" s="26">
        <f>D42*C43</f>
        <v>28.226053284000002</v>
      </c>
      <c r="E43" s="26"/>
      <c r="F43" s="26">
        <f>C43</f>
        <v>0.13</v>
      </c>
      <c r="G43" s="26">
        <f>G42*F43</f>
        <v>28.119453284000006</v>
      </c>
      <c r="H43" s="26">
        <f t="shared" si="2"/>
        <v>-0.1065999999999967</v>
      </c>
      <c r="I43" s="44">
        <f t="shared" si="10"/>
        <v>-3.776652687764291E-3</v>
      </c>
      <c r="J43" s="44">
        <f t="shared" si="11"/>
        <v>0.12380952380952381</v>
      </c>
      <c r="K43" s="45"/>
    </row>
    <row r="44" spans="1:11" s="1" customFormat="1" x14ac:dyDescent="0.2">
      <c r="A44" s="46" t="s">
        <v>103</v>
      </c>
      <c r="B44" s="24"/>
      <c r="C44" s="25"/>
      <c r="D44" s="25">
        <f>SUM(D42:D43)</f>
        <v>245.34954008400001</v>
      </c>
      <c r="E44" s="25"/>
      <c r="F44" s="25"/>
      <c r="G44" s="25">
        <f>SUM(G42:G43)</f>
        <v>244.42294008400003</v>
      </c>
      <c r="H44" s="25">
        <f t="shared" si="2"/>
        <v>-0.92659999999997922</v>
      </c>
      <c r="I44" s="27">
        <f t="shared" si="10"/>
        <v>-3.7766526877643235E-3</v>
      </c>
      <c r="J44" s="27">
        <f t="shared" si="11"/>
        <v>1.0761904761904761</v>
      </c>
      <c r="K44" s="47"/>
    </row>
    <row r="45" spans="1:11" x14ac:dyDescent="0.2">
      <c r="A45" s="42" t="s">
        <v>104</v>
      </c>
      <c r="B45" s="43"/>
      <c r="C45" s="26">
        <v>-0.08</v>
      </c>
      <c r="D45" s="26">
        <f>D42*C45</f>
        <v>-17.369878944000003</v>
      </c>
      <c r="E45" s="26"/>
      <c r="F45" s="26">
        <f>C45</f>
        <v>-0.08</v>
      </c>
      <c r="G45" s="26">
        <f>G42*F45</f>
        <v>-17.304278944000004</v>
      </c>
      <c r="H45" s="26">
        <f t="shared" si="2"/>
        <v>6.5599999999999881E-2</v>
      </c>
      <c r="I45" s="44">
        <f t="shared" si="10"/>
        <v>3.7766526877644007E-3</v>
      </c>
      <c r="J45" s="44">
        <f t="shared" si="11"/>
        <v>-7.6190476190476197E-2</v>
      </c>
      <c r="K45" s="45"/>
    </row>
    <row r="46" spans="1:11" s="1" customFormat="1" ht="13.5" thickBot="1" x14ac:dyDescent="0.25">
      <c r="A46" s="48" t="s">
        <v>105</v>
      </c>
      <c r="B46" s="49"/>
      <c r="C46" s="50"/>
      <c r="D46" s="50">
        <f>SUM(D44:D45)</f>
        <v>227.97966114000002</v>
      </c>
      <c r="E46" s="50"/>
      <c r="F46" s="50"/>
      <c r="G46" s="50">
        <f>SUM(G44:G45)</f>
        <v>227.11866114000003</v>
      </c>
      <c r="H46" s="50">
        <f t="shared" si="2"/>
        <v>-0.86099999999999</v>
      </c>
      <c r="I46" s="51">
        <f t="shared" si="10"/>
        <v>-3.7766526877643638E-3</v>
      </c>
      <c r="J46" s="51">
        <f t="shared" si="11"/>
        <v>1</v>
      </c>
      <c r="K46" s="52"/>
    </row>
    <row r="47" spans="1:11" x14ac:dyDescent="0.2">
      <c r="A47" s="53" t="s">
        <v>106</v>
      </c>
      <c r="B47" s="54"/>
      <c r="C47" s="55"/>
      <c r="D47" s="55">
        <f>SUM(D18,D25,D26,D28,D33,D40,D41)</f>
        <v>213.57478279999998</v>
      </c>
      <c r="E47" s="55"/>
      <c r="F47" s="55"/>
      <c r="G47" s="55">
        <f>SUM(G18,G25,G26,G28,G33,G40,G41)</f>
        <v>212.75478279999999</v>
      </c>
      <c r="H47" s="55">
        <f>G47-D47</f>
        <v>-0.81999999999999318</v>
      </c>
      <c r="I47" s="56">
        <f t="shared" si="10"/>
        <v>-3.8394045834890264E-3</v>
      </c>
      <c r="J47" s="56"/>
      <c r="K47" s="57">
        <f>G47/$G$51</f>
        <v>0.95238095238095244</v>
      </c>
    </row>
    <row r="48" spans="1:11" x14ac:dyDescent="0.2">
      <c r="A48" s="58" t="s">
        <v>102</v>
      </c>
      <c r="B48" s="59"/>
      <c r="C48" s="31">
        <v>0.13</v>
      </c>
      <c r="D48" s="31">
        <f>D47*C48</f>
        <v>27.764721763999997</v>
      </c>
      <c r="E48" s="31"/>
      <c r="F48" s="31">
        <f>C48</f>
        <v>0.13</v>
      </c>
      <c r="G48" s="31">
        <f>G47*F48</f>
        <v>27.658121764000001</v>
      </c>
      <c r="H48" s="31">
        <f>G48-D48</f>
        <v>-0.1065999999999967</v>
      </c>
      <c r="I48" s="32">
        <f t="shared" si="10"/>
        <v>-3.8394045834889393E-3</v>
      </c>
      <c r="J48" s="32"/>
      <c r="K48" s="60">
        <f>G48/$G$51</f>
        <v>0.12380952380952383</v>
      </c>
    </row>
    <row r="49" spans="1:11" x14ac:dyDescent="0.2">
      <c r="A49" s="61" t="s">
        <v>107</v>
      </c>
      <c r="B49" s="29"/>
      <c r="C49" s="30"/>
      <c r="D49" s="30">
        <f>SUM(D47:D48)</f>
        <v>241.33950456399998</v>
      </c>
      <c r="E49" s="30"/>
      <c r="F49" s="30"/>
      <c r="G49" s="30">
        <f>SUM(G47:G48)</f>
        <v>240.41290456399997</v>
      </c>
      <c r="H49" s="30">
        <f>G49-D49</f>
        <v>-0.92660000000000764</v>
      </c>
      <c r="I49" s="33">
        <f t="shared" si="10"/>
        <v>-3.8394045834890898E-3</v>
      </c>
      <c r="J49" s="33"/>
      <c r="K49" s="62">
        <f>G49/$G$51</f>
        <v>1.0761904761904761</v>
      </c>
    </row>
    <row r="50" spans="1:11" x14ac:dyDescent="0.2">
      <c r="A50" s="58" t="s">
        <v>104</v>
      </c>
      <c r="B50" s="59"/>
      <c r="C50" s="31">
        <v>-0.08</v>
      </c>
      <c r="D50" s="31">
        <f>D47*C50</f>
        <v>-17.085982624</v>
      </c>
      <c r="E50" s="31"/>
      <c r="F50" s="31">
        <f>C50</f>
        <v>-0.08</v>
      </c>
      <c r="G50" s="31">
        <f>G47*F50</f>
        <v>-17.020382624</v>
      </c>
      <c r="H50" s="31">
        <f>G50-D50</f>
        <v>6.5599999999999881E-2</v>
      </c>
      <c r="I50" s="32">
        <f t="shared" si="10"/>
        <v>3.8394045834890512E-3</v>
      </c>
      <c r="J50" s="32"/>
      <c r="K50" s="60">
        <f>G50/$G$51</f>
        <v>-7.6190476190476197E-2</v>
      </c>
    </row>
    <row r="51" spans="1:11" ht="13.5" thickBot="1" x14ac:dyDescent="0.25">
      <c r="A51" s="63" t="s">
        <v>116</v>
      </c>
      <c r="B51" s="64"/>
      <c r="C51" s="65"/>
      <c r="D51" s="65">
        <f>SUM(D49:D50)</f>
        <v>224.25352193999998</v>
      </c>
      <c r="E51" s="65"/>
      <c r="F51" s="65"/>
      <c r="G51" s="65">
        <f>SUM(G49:G50)</f>
        <v>223.39252193999997</v>
      </c>
      <c r="H51" s="65">
        <f>G51-D51</f>
        <v>-0.86100000000001842</v>
      </c>
      <c r="I51" s="66">
        <f t="shared" si="10"/>
        <v>-3.8394045834891401E-3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118</v>
      </c>
      <c r="B1" s="186"/>
      <c r="C1" s="186"/>
      <c r="D1" s="186"/>
      <c r="E1" s="186"/>
      <c r="F1" s="186"/>
      <c r="G1" s="186"/>
      <c r="H1" s="186"/>
      <c r="I1" s="186"/>
      <c r="J1" s="186"/>
      <c r="K1" s="187"/>
    </row>
    <row r="3" spans="1:11" x14ac:dyDescent="0.2">
      <c r="A3" s="13" t="s">
        <v>13</v>
      </c>
      <c r="B3" s="13" t="s">
        <v>1</v>
      </c>
    </row>
    <row r="4" spans="1:11" x14ac:dyDescent="0.2">
      <c r="A4" s="15" t="s">
        <v>62</v>
      </c>
      <c r="B4" s="15">
        <v>400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67">
        <f>B4*B6</f>
        <v>430.40000000000003</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9.0999999999999998E-2</v>
      </c>
      <c r="D12" s="104">
        <f>B12*C12</f>
        <v>36.4</v>
      </c>
      <c r="E12" s="102">
        <f>B12</f>
        <v>400</v>
      </c>
      <c r="F12" s="103">
        <f>C12</f>
        <v>9.0999999999999998E-2</v>
      </c>
      <c r="G12" s="104">
        <f>E12*F12</f>
        <v>36.4</v>
      </c>
      <c r="H12" s="104">
        <f>G12-D12</f>
        <v>0</v>
      </c>
      <c r="I12" s="105">
        <f t="shared" ref="I12:I18" si="0">IF(ISERROR(H12/ABS(D12)),"N/A",(H12/ABS(D12)))</f>
        <v>0</v>
      </c>
      <c r="J12" s="105">
        <f>G12/$G$46</f>
        <v>0.35273459912849692</v>
      </c>
      <c r="K12" s="106"/>
    </row>
    <row r="13" spans="1:11" x14ac:dyDescent="0.2">
      <c r="A13" s="107" t="s">
        <v>32</v>
      </c>
      <c r="B13" s="73">
        <f>IF(B4&gt;B7,(B4)-B7,0)</f>
        <v>0</v>
      </c>
      <c r="C13" s="21">
        <v>0.106</v>
      </c>
      <c r="D13" s="22">
        <f>B13*C13</f>
        <v>0</v>
      </c>
      <c r="E13" s="73">
        <f t="shared" ref="E13"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36.4</v>
      </c>
      <c r="E14" s="76"/>
      <c r="F14" s="25"/>
      <c r="G14" s="25">
        <f>SUM(G12:G13)</f>
        <v>36.4</v>
      </c>
      <c r="H14" s="25">
        <f t="shared" si="2"/>
        <v>0</v>
      </c>
      <c r="I14" s="27">
        <f t="shared" si="0"/>
        <v>0</v>
      </c>
      <c r="J14" s="27">
        <f>G14/$G$46</f>
        <v>0.35273459912849692</v>
      </c>
      <c r="K14" s="108"/>
    </row>
    <row r="15" spans="1:11" s="1" customFormat="1" x14ac:dyDescent="0.2">
      <c r="A15" s="109" t="s">
        <v>34</v>
      </c>
      <c r="B15" s="75">
        <f>B4*0.65</f>
        <v>260</v>
      </c>
      <c r="C15" s="28">
        <v>7.6999999999999999E-2</v>
      </c>
      <c r="D15" s="22">
        <f>B15*C15</f>
        <v>20.02</v>
      </c>
      <c r="E15" s="73">
        <f t="shared" ref="E15:F17" si="3">B15</f>
        <v>260</v>
      </c>
      <c r="F15" s="28">
        <f t="shared" si="3"/>
        <v>7.6999999999999999E-2</v>
      </c>
      <c r="G15" s="22">
        <f>E15*F15</f>
        <v>20.02</v>
      </c>
      <c r="H15" s="22">
        <f t="shared" si="2"/>
        <v>0</v>
      </c>
      <c r="I15" s="23">
        <f t="shared" si="0"/>
        <v>0</v>
      </c>
      <c r="J15" s="23"/>
      <c r="K15" s="108">
        <f t="shared" ref="K15:K26" si="4">G15/$G$51</f>
        <v>0.18861835880892025</v>
      </c>
    </row>
    <row r="16" spans="1:11" s="1" customFormat="1" x14ac:dyDescent="0.2">
      <c r="A16" s="109" t="s">
        <v>35</v>
      </c>
      <c r="B16" s="75">
        <f>B4*0.17</f>
        <v>68</v>
      </c>
      <c r="C16" s="28">
        <v>0.113</v>
      </c>
      <c r="D16" s="22">
        <f>B16*C16</f>
        <v>7.6840000000000002</v>
      </c>
      <c r="E16" s="73">
        <f t="shared" si="3"/>
        <v>68</v>
      </c>
      <c r="F16" s="28">
        <f t="shared" si="3"/>
        <v>0.113</v>
      </c>
      <c r="G16" s="22">
        <f>E16*F16</f>
        <v>7.6840000000000002</v>
      </c>
      <c r="H16" s="22">
        <f t="shared" si="2"/>
        <v>0</v>
      </c>
      <c r="I16" s="23">
        <f t="shared" si="0"/>
        <v>0</v>
      </c>
      <c r="J16" s="23"/>
      <c r="K16" s="108">
        <f t="shared" si="4"/>
        <v>7.2394778675711452E-2</v>
      </c>
    </row>
    <row r="17" spans="1:11" s="1" customFormat="1" x14ac:dyDescent="0.2">
      <c r="A17" s="109" t="s">
        <v>36</v>
      </c>
      <c r="B17" s="75">
        <f>B4*0.18</f>
        <v>72</v>
      </c>
      <c r="C17" s="28">
        <v>0.157</v>
      </c>
      <c r="D17" s="22">
        <f>B17*C17</f>
        <v>11.304</v>
      </c>
      <c r="E17" s="73">
        <f t="shared" si="3"/>
        <v>72</v>
      </c>
      <c r="F17" s="28">
        <f t="shared" si="3"/>
        <v>0.157</v>
      </c>
      <c r="G17" s="22">
        <f>E17*F17</f>
        <v>11.304</v>
      </c>
      <c r="H17" s="22">
        <f t="shared" si="2"/>
        <v>0</v>
      </c>
      <c r="I17" s="23">
        <f t="shared" si="0"/>
        <v>0</v>
      </c>
      <c r="J17" s="23"/>
      <c r="K17" s="108">
        <f t="shared" si="4"/>
        <v>0.10650059580299873</v>
      </c>
    </row>
    <row r="18" spans="1:11" s="1" customFormat="1" x14ac:dyDescent="0.2">
      <c r="A18" s="61" t="s">
        <v>37</v>
      </c>
      <c r="B18" s="29"/>
      <c r="C18" s="30"/>
      <c r="D18" s="30">
        <f>SUM(D15:D17)</f>
        <v>39.008000000000003</v>
      </c>
      <c r="E18" s="77"/>
      <c r="F18" s="30"/>
      <c r="G18" s="30">
        <f>SUM(G15:G17)</f>
        <v>39.008000000000003</v>
      </c>
      <c r="H18" s="31">
        <f t="shared" si="2"/>
        <v>0</v>
      </c>
      <c r="I18" s="32">
        <f t="shared" si="0"/>
        <v>0</v>
      </c>
      <c r="J18" s="33">
        <f t="shared" ref="J18:J26" si="5">G18/$G$46</f>
        <v>0.3780074517253959</v>
      </c>
      <c r="K18" s="62">
        <f t="shared" si="4"/>
        <v>0.36751373328763043</v>
      </c>
    </row>
    <row r="19" spans="1:11" x14ac:dyDescent="0.2">
      <c r="A19" s="107" t="s">
        <v>38</v>
      </c>
      <c r="B19" s="73">
        <v>1</v>
      </c>
      <c r="C19" s="78">
        <f>VLOOKUP($B$3,'Data for Bill Impacts'!$A$6:$Y$18,7,0)</f>
        <v>37.79</v>
      </c>
      <c r="D19" s="22">
        <f>B19*C19</f>
        <v>37.79</v>
      </c>
      <c r="E19" s="73">
        <f t="shared" ref="E19:E41" si="6">B19</f>
        <v>1</v>
      </c>
      <c r="F19" s="78">
        <f>VLOOKUP($B$3,'Data for Bill Impacts'!$A$6:$Y$18,17,0)</f>
        <v>42.19</v>
      </c>
      <c r="G19" s="22">
        <f>E19*F19</f>
        <v>42.19</v>
      </c>
      <c r="H19" s="22">
        <f t="shared" si="2"/>
        <v>4.3999999999999986</v>
      </c>
      <c r="I19" s="23">
        <f>IF(ISERROR(H19/ABS(D19)),"N/A",(H19/ABS(D19)))</f>
        <v>0.1164329187615771</v>
      </c>
      <c r="J19" s="23">
        <f t="shared" si="5"/>
        <v>0.40884265761624411</v>
      </c>
      <c r="K19" s="108">
        <f t="shared" si="4"/>
        <v>0.39749293497244481</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4.0000000000000001E-3</v>
      </c>
      <c r="D22" s="22">
        <f t="shared" si="9"/>
        <v>4.0000000000000001E-3</v>
      </c>
      <c r="E22" s="73">
        <f t="shared" si="6"/>
        <v>1</v>
      </c>
      <c r="F22" s="121">
        <f>VLOOKUP($B$3,'Data for Bill Impacts'!$A$6:$Y$18,22,0)</f>
        <v>4.0000000000000001E-3</v>
      </c>
      <c r="G22" s="22">
        <f t="shared" si="7"/>
        <v>4.0000000000000001E-3</v>
      </c>
      <c r="H22" s="22">
        <f t="shared" si="2"/>
        <v>0</v>
      </c>
      <c r="I22" s="23">
        <f t="shared" ref="I22:I51" si="10">IF(ISERROR(H22/ABS(D22)),"N/A",(H22/ABS(D22)))</f>
        <v>0</v>
      </c>
      <c r="J22" s="23">
        <f t="shared" si="5"/>
        <v>3.8762043860274393E-5</v>
      </c>
      <c r="K22" s="108">
        <f t="shared" si="4"/>
        <v>3.7685985776008046E-5</v>
      </c>
    </row>
    <row r="23" spans="1:11" x14ac:dyDescent="0.2">
      <c r="A23" s="107" t="s">
        <v>39</v>
      </c>
      <c r="B23" s="73">
        <f>IF($B$9="kWh",$B$4,$B$5)</f>
        <v>400</v>
      </c>
      <c r="C23" s="78">
        <f>VLOOKUP($B$3,'Data for Bill Impacts'!$A$6:$Y$18,10,0)</f>
        <v>2.18E-2</v>
      </c>
      <c r="D23" s="22">
        <f>B23*C23</f>
        <v>8.7200000000000006</v>
      </c>
      <c r="E23" s="73">
        <f t="shared" si="6"/>
        <v>400</v>
      </c>
      <c r="F23" s="78">
        <f>VLOOKUP($B$3,'Data for Bill Impacts'!$A$6:$Y$18,19,0)</f>
        <v>1.9300000000000001E-2</v>
      </c>
      <c r="G23" s="22">
        <f>E23*F23</f>
        <v>7.7200000000000006</v>
      </c>
      <c r="H23" s="22">
        <f t="shared" si="2"/>
        <v>-1</v>
      </c>
      <c r="I23" s="23">
        <f t="shared" si="10"/>
        <v>-0.1146788990825688</v>
      </c>
      <c r="J23" s="23">
        <f t="shared" si="5"/>
        <v>7.481074465032958E-2</v>
      </c>
      <c r="K23" s="108">
        <f t="shared" si="4"/>
        <v>7.2733952547695532E-2</v>
      </c>
    </row>
    <row r="24" spans="1:11" x14ac:dyDescent="0.2">
      <c r="A24" s="107" t="s">
        <v>122</v>
      </c>
      <c r="B24" s="73">
        <f>IF($B$9="kWh",$B$4,$B$5)</f>
        <v>400</v>
      </c>
      <c r="C24" s="125">
        <f>VLOOKUP($B$3,'Data for Bill Impacts'!$A$6:$Y$18,14,0)</f>
        <v>2.0000000000000002E-5</v>
      </c>
      <c r="D24" s="22">
        <f>B24*C24</f>
        <v>8.0000000000000002E-3</v>
      </c>
      <c r="E24" s="73">
        <f>B24</f>
        <v>400</v>
      </c>
      <c r="F24" s="125">
        <f>VLOOKUP($B$3,'Data for Bill Impacts'!$A$6:$Y$18,23,0)</f>
        <v>2.0000000000000002E-5</v>
      </c>
      <c r="G24" s="22">
        <f>E24*F24</f>
        <v>8.0000000000000002E-3</v>
      </c>
      <c r="H24" s="22">
        <f>G24-D24</f>
        <v>0</v>
      </c>
      <c r="I24" s="23">
        <f t="shared" si="10"/>
        <v>0</v>
      </c>
      <c r="J24" s="23">
        <f t="shared" si="5"/>
        <v>7.7524087720548787E-5</v>
      </c>
      <c r="K24" s="108">
        <f t="shared" si="4"/>
        <v>7.5371971552016091E-5</v>
      </c>
    </row>
    <row r="25" spans="1:11" s="1" customFormat="1" x14ac:dyDescent="0.2">
      <c r="A25" s="110" t="s">
        <v>72</v>
      </c>
      <c r="B25" s="74"/>
      <c r="C25" s="35"/>
      <c r="D25" s="35">
        <f>SUM(D19:D24)</f>
        <v>46.521999999999998</v>
      </c>
      <c r="E25" s="73"/>
      <c r="F25" s="35"/>
      <c r="G25" s="35">
        <f>SUM(G19:G24)</f>
        <v>49.921999999999997</v>
      </c>
      <c r="H25" s="35">
        <f t="shared" si="2"/>
        <v>3.3999999999999986</v>
      </c>
      <c r="I25" s="36">
        <f t="shared" si="10"/>
        <v>7.30837023343794E-2</v>
      </c>
      <c r="J25" s="36">
        <f t="shared" si="5"/>
        <v>0.48376968839815448</v>
      </c>
      <c r="K25" s="111">
        <f t="shared" si="4"/>
        <v>0.47033994547746832</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7.6555036624041924E-3</v>
      </c>
      <c r="K26" s="108">
        <f t="shared" si="4"/>
        <v>7.4429821907615887E-3</v>
      </c>
    </row>
    <row r="27" spans="1:11" s="1" customFormat="1" x14ac:dyDescent="0.2">
      <c r="A27" s="119" t="s">
        <v>75</v>
      </c>
      <c r="B27" s="120">
        <f>B8-B4</f>
        <v>30.400000000000034</v>
      </c>
      <c r="C27" s="170">
        <f>IF(B4&gt;B7,C13,C12)</f>
        <v>9.0999999999999998E-2</v>
      </c>
      <c r="D27" s="22">
        <f>B27*C27</f>
        <v>2.7664000000000031</v>
      </c>
      <c r="E27" s="73">
        <f>B27</f>
        <v>30.400000000000034</v>
      </c>
      <c r="F27" s="170">
        <f>C27</f>
        <v>9.0999999999999998E-2</v>
      </c>
      <c r="G27" s="22">
        <f>E27*F27</f>
        <v>2.7664000000000031</v>
      </c>
      <c r="H27" s="22">
        <f t="shared" si="2"/>
        <v>0</v>
      </c>
      <c r="I27" s="23">
        <f t="shared" si="10"/>
        <v>0</v>
      </c>
      <c r="J27" s="23">
        <f t="shared" ref="J27:J46" si="11">G27/$G$46</f>
        <v>2.6807829533765797E-2</v>
      </c>
      <c r="K27" s="108">
        <f t="shared" ref="K27:K41" si="12">G27/$G$51</f>
        <v>2.606362776268719E-2</v>
      </c>
    </row>
    <row r="28" spans="1:11" s="1" customFormat="1" x14ac:dyDescent="0.2">
      <c r="A28" s="119" t="s">
        <v>74</v>
      </c>
      <c r="B28" s="120">
        <f>B8-B4</f>
        <v>30.400000000000034</v>
      </c>
      <c r="C28" s="170">
        <f>0.65*C15+0.17*C16+0.18*C17</f>
        <v>9.7519999999999996E-2</v>
      </c>
      <c r="D28" s="22">
        <f>B28*C28</f>
        <v>2.9646080000000032</v>
      </c>
      <c r="E28" s="73">
        <f>B28</f>
        <v>30.400000000000034</v>
      </c>
      <c r="F28" s="170">
        <f>C28</f>
        <v>9.7519999999999996E-2</v>
      </c>
      <c r="G28" s="22">
        <f>E28*F28</f>
        <v>2.9646080000000032</v>
      </c>
      <c r="H28" s="22">
        <f t="shared" si="2"/>
        <v>0</v>
      </c>
      <c r="I28" s="23">
        <f t="shared" si="10"/>
        <v>0</v>
      </c>
      <c r="J28" s="23">
        <f t="shared" si="11"/>
        <v>2.8728566331130117E-2</v>
      </c>
      <c r="K28" s="108">
        <f t="shared" si="12"/>
        <v>2.7931043729859942E-2</v>
      </c>
    </row>
    <row r="29" spans="1:11" s="1" customFormat="1" x14ac:dyDescent="0.2">
      <c r="A29" s="110" t="s">
        <v>78</v>
      </c>
      <c r="B29" s="74"/>
      <c r="C29" s="35"/>
      <c r="D29" s="35">
        <f>SUM(D25,D26:D27)</f>
        <v>50.078400000000002</v>
      </c>
      <c r="E29" s="73"/>
      <c r="F29" s="35"/>
      <c r="G29" s="35">
        <f>SUM(G25,G26:G27)</f>
        <v>53.478400000000001</v>
      </c>
      <c r="H29" s="35">
        <f t="shared" si="2"/>
        <v>3.3999999999999986</v>
      </c>
      <c r="I29" s="36">
        <f t="shared" si="10"/>
        <v>6.7893542924694045E-2</v>
      </c>
      <c r="J29" s="36">
        <f t="shared" si="11"/>
        <v>0.51823302159432449</v>
      </c>
      <c r="K29" s="111">
        <f t="shared" si="12"/>
        <v>0.50384655543091716</v>
      </c>
    </row>
    <row r="30" spans="1:11" s="1" customFormat="1" x14ac:dyDescent="0.2">
      <c r="A30" s="110" t="s">
        <v>77</v>
      </c>
      <c r="B30" s="74"/>
      <c r="C30" s="35"/>
      <c r="D30" s="35">
        <f>SUM(D25,D26,D28)</f>
        <v>50.276608000000003</v>
      </c>
      <c r="E30" s="73"/>
      <c r="F30" s="35"/>
      <c r="G30" s="35">
        <f>SUM(G25,G26,G28)</f>
        <v>53.676608000000002</v>
      </c>
      <c r="H30" s="35">
        <f t="shared" si="2"/>
        <v>3.3999999999999986</v>
      </c>
      <c r="I30" s="36">
        <f t="shared" si="10"/>
        <v>6.7625882796229969E-2</v>
      </c>
      <c r="J30" s="36">
        <f t="shared" si="11"/>
        <v>0.52015375839168887</v>
      </c>
      <c r="K30" s="111">
        <f t="shared" si="12"/>
        <v>0.50571397139808993</v>
      </c>
    </row>
    <row r="31" spans="1:11" x14ac:dyDescent="0.2">
      <c r="A31" s="107" t="s">
        <v>40</v>
      </c>
      <c r="B31" s="73">
        <f>B8</f>
        <v>430.40000000000003</v>
      </c>
      <c r="C31" s="125">
        <f>VLOOKUP($B$3,'Data for Bill Impacts'!$A$6:$Y$18,15,0)</f>
        <v>7.2069999999999999E-3</v>
      </c>
      <c r="D31" s="22">
        <f>B31*C31</f>
        <v>3.1018928000000003</v>
      </c>
      <c r="E31" s="73">
        <f t="shared" si="6"/>
        <v>430.40000000000003</v>
      </c>
      <c r="F31" s="125">
        <f>VLOOKUP($B$3,'Data for Bill Impacts'!$A$6:$Y$18,24,0)</f>
        <v>7.2069999999999999E-3</v>
      </c>
      <c r="G31" s="22">
        <f>E31*F31</f>
        <v>3.1018928000000003</v>
      </c>
      <c r="H31" s="22">
        <f t="shared" si="2"/>
        <v>0</v>
      </c>
      <c r="I31" s="23">
        <f t="shared" si="10"/>
        <v>0</v>
      </c>
      <c r="J31" s="23">
        <f t="shared" si="11"/>
        <v>3.0058926190867339E-2</v>
      </c>
      <c r="K31" s="108">
        <f t="shared" si="12"/>
        <v>2.9224471984875443E-2</v>
      </c>
    </row>
    <row r="32" spans="1:11" x14ac:dyDescent="0.2">
      <c r="A32" s="107" t="s">
        <v>41</v>
      </c>
      <c r="B32" s="73">
        <f>B8</f>
        <v>430.40000000000003</v>
      </c>
      <c r="C32" s="125">
        <f>VLOOKUP($B$3,'Data for Bill Impacts'!$A$6:$Y$18,16,0)</f>
        <v>6.0319999999999992E-3</v>
      </c>
      <c r="D32" s="22">
        <f>B32*C32</f>
        <v>2.5961727999999997</v>
      </c>
      <c r="E32" s="73">
        <f t="shared" si="6"/>
        <v>430.40000000000003</v>
      </c>
      <c r="F32" s="125">
        <f>VLOOKUP($B$3,'Data for Bill Impacts'!$A$6:$Y$18,25,0)</f>
        <v>6.0319999999999992E-3</v>
      </c>
      <c r="G32" s="22">
        <f>E32*F32</f>
        <v>2.5961727999999997</v>
      </c>
      <c r="H32" s="22">
        <f t="shared" si="2"/>
        <v>0</v>
      </c>
      <c r="I32" s="23">
        <f t="shared" si="10"/>
        <v>0</v>
      </c>
      <c r="J32" s="23">
        <f t="shared" si="11"/>
        <v>2.515824098561284E-2</v>
      </c>
      <c r="K32" s="108">
        <f t="shared" si="12"/>
        <v>2.4459832803214742E-2</v>
      </c>
    </row>
    <row r="33" spans="1:11" s="1" customFormat="1" x14ac:dyDescent="0.2">
      <c r="A33" s="110" t="s">
        <v>76</v>
      </c>
      <c r="B33" s="74"/>
      <c r="C33" s="35"/>
      <c r="D33" s="35">
        <f>SUM(D31:D32)</f>
        <v>5.6980655999999996</v>
      </c>
      <c r="E33" s="73"/>
      <c r="F33" s="35"/>
      <c r="G33" s="35">
        <f>SUM(G31:G32)</f>
        <v>5.6980655999999996</v>
      </c>
      <c r="H33" s="35">
        <f t="shared" si="2"/>
        <v>0</v>
      </c>
      <c r="I33" s="36">
        <f t="shared" si="10"/>
        <v>0</v>
      </c>
      <c r="J33" s="36">
        <f t="shared" si="11"/>
        <v>5.5217167176480175E-2</v>
      </c>
      <c r="K33" s="111">
        <f t="shared" si="12"/>
        <v>5.3684304788090179E-2</v>
      </c>
    </row>
    <row r="34" spans="1:11" s="1" customFormat="1" x14ac:dyDescent="0.2">
      <c r="A34" s="110" t="s">
        <v>91</v>
      </c>
      <c r="B34" s="74"/>
      <c r="C34" s="35"/>
      <c r="D34" s="35">
        <f>D29+D33</f>
        <v>55.776465600000002</v>
      </c>
      <c r="E34" s="73"/>
      <c r="F34" s="35"/>
      <c r="G34" s="35">
        <f>G29+G33</f>
        <v>59.1764656</v>
      </c>
      <c r="H34" s="35">
        <f t="shared" si="2"/>
        <v>3.3999999999999986</v>
      </c>
      <c r="I34" s="36">
        <f t="shared" si="10"/>
        <v>6.0957609332635776E-2</v>
      </c>
      <c r="J34" s="36">
        <f t="shared" si="11"/>
        <v>0.57345018877080467</v>
      </c>
      <c r="K34" s="111">
        <f t="shared" si="12"/>
        <v>0.55753086021900733</v>
      </c>
    </row>
    <row r="35" spans="1:11" s="1" customFormat="1" x14ac:dyDescent="0.2">
      <c r="A35" s="110" t="s">
        <v>92</v>
      </c>
      <c r="B35" s="74"/>
      <c r="C35" s="35"/>
      <c r="D35" s="35">
        <f>D30+D33</f>
        <v>55.974673600000003</v>
      </c>
      <c r="E35" s="73"/>
      <c r="F35" s="35"/>
      <c r="G35" s="35">
        <f>G30+G33</f>
        <v>59.374673600000001</v>
      </c>
      <c r="H35" s="35">
        <f t="shared" si="2"/>
        <v>3.3999999999999986</v>
      </c>
      <c r="I35" s="36">
        <f t="shared" si="10"/>
        <v>6.0741756607581153E-2</v>
      </c>
      <c r="J35" s="36">
        <f t="shared" si="11"/>
        <v>0.57537092556816904</v>
      </c>
      <c r="K35" s="111">
        <f t="shared" si="12"/>
        <v>0.5593982761861801</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2"/>
        <v>0</v>
      </c>
      <c r="I36" s="23">
        <f t="shared" si="10"/>
        <v>0</v>
      </c>
      <c r="J36" s="23">
        <f t="shared" si="11"/>
        <v>1.5014865309715889E-2</v>
      </c>
      <c r="K36" s="108">
        <f t="shared" si="12"/>
        <v>1.4598043450194477E-2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10"/>
        <v>0</v>
      </c>
      <c r="J37" s="23">
        <f t="shared" si="11"/>
        <v>8.7586714306676014E-3</v>
      </c>
      <c r="K37" s="108">
        <f t="shared" si="12"/>
        <v>8.5155253459467777E-3</v>
      </c>
    </row>
    <row r="38" spans="1:11" x14ac:dyDescent="0.2">
      <c r="A38" s="107" t="s">
        <v>96</v>
      </c>
      <c r="B38" s="73">
        <f>B8</f>
        <v>430.40000000000003</v>
      </c>
      <c r="C38" s="34">
        <v>0</v>
      </c>
      <c r="D38" s="22">
        <f>B38*C38</f>
        <v>0</v>
      </c>
      <c r="E38" s="73">
        <f t="shared" si="6"/>
        <v>430.40000000000003</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2.4226277412671493E-3</v>
      </c>
      <c r="K39" s="108">
        <f t="shared" si="12"/>
        <v>2.3553741110005025E-3</v>
      </c>
    </row>
    <row r="40" spans="1:11" s="1" customFormat="1" x14ac:dyDescent="0.2">
      <c r="A40" s="110" t="s">
        <v>45</v>
      </c>
      <c r="B40" s="74"/>
      <c r="C40" s="35"/>
      <c r="D40" s="35">
        <f>SUM(D36:D39)</f>
        <v>2.7032800000000003</v>
      </c>
      <c r="E40" s="73"/>
      <c r="F40" s="35"/>
      <c r="G40" s="35">
        <f>SUM(G36:G39)</f>
        <v>2.7032800000000003</v>
      </c>
      <c r="H40" s="35">
        <f t="shared" si="2"/>
        <v>0</v>
      </c>
      <c r="I40" s="36">
        <f t="shared" si="10"/>
        <v>0</v>
      </c>
      <c r="J40" s="36">
        <f t="shared" si="11"/>
        <v>2.619616448165064E-2</v>
      </c>
      <c r="K40" s="111">
        <f t="shared" si="12"/>
        <v>2.5468942907141759E-2</v>
      </c>
    </row>
    <row r="41" spans="1:11" s="1" customFormat="1" ht="13.5" thickBot="1" x14ac:dyDescent="0.25">
      <c r="A41" s="112" t="s">
        <v>46</v>
      </c>
      <c r="B41" s="113">
        <f>B4</f>
        <v>400</v>
      </c>
      <c r="C41" s="114">
        <v>0</v>
      </c>
      <c r="D41" s="115">
        <f>B41*C41</f>
        <v>0</v>
      </c>
      <c r="E41" s="116">
        <f t="shared" si="6"/>
        <v>400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94.879745600000007</v>
      </c>
      <c r="E42" s="38"/>
      <c r="F42" s="39"/>
      <c r="G42" s="39">
        <f>SUM(G14,G25,G26,G27,G33,G40,G41)</f>
        <v>98.279745600000012</v>
      </c>
      <c r="H42" s="39">
        <f t="shared" si="2"/>
        <v>3.4000000000000057</v>
      </c>
      <c r="I42" s="40">
        <f t="shared" si="10"/>
        <v>3.5834834700484333E-2</v>
      </c>
      <c r="J42" s="40">
        <f t="shared" si="11"/>
        <v>0.95238095238095233</v>
      </c>
      <c r="K42" s="41"/>
    </row>
    <row r="43" spans="1:11" x14ac:dyDescent="0.2">
      <c r="A43" s="153" t="s">
        <v>102</v>
      </c>
      <c r="B43" s="43"/>
      <c r="C43" s="26">
        <v>0.13</v>
      </c>
      <c r="D43" s="26">
        <f>D42*C43</f>
        <v>12.334366928000001</v>
      </c>
      <c r="E43" s="26"/>
      <c r="F43" s="26">
        <f>C43</f>
        <v>0.13</v>
      </c>
      <c r="G43" s="26">
        <f>G42*F43</f>
        <v>12.776366928000002</v>
      </c>
      <c r="H43" s="26">
        <f t="shared" si="2"/>
        <v>0.44200000000000017</v>
      </c>
      <c r="I43" s="44">
        <f t="shared" si="10"/>
        <v>3.5834834700484285E-2</v>
      </c>
      <c r="J43" s="44">
        <f t="shared" si="11"/>
        <v>0.12380952380952381</v>
      </c>
      <c r="K43" s="45"/>
    </row>
    <row r="44" spans="1:11" s="1" customFormat="1" x14ac:dyDescent="0.2">
      <c r="A44" s="46" t="s">
        <v>103</v>
      </c>
      <c r="B44" s="24"/>
      <c r="C44" s="25"/>
      <c r="D44" s="25">
        <f>SUM(D42:D43)</f>
        <v>107.21411252800002</v>
      </c>
      <c r="E44" s="25"/>
      <c r="F44" s="25"/>
      <c r="G44" s="25">
        <f>SUM(G42:G43)</f>
        <v>111.05611252800001</v>
      </c>
      <c r="H44" s="25">
        <f t="shared" si="2"/>
        <v>3.8419999999999987</v>
      </c>
      <c r="I44" s="27">
        <f t="shared" si="10"/>
        <v>3.5834834700484257E-2</v>
      </c>
      <c r="J44" s="27">
        <f t="shared" si="11"/>
        <v>1.0761904761904761</v>
      </c>
      <c r="K44" s="47"/>
    </row>
    <row r="45" spans="1:11" x14ac:dyDescent="0.2">
      <c r="A45" s="42" t="s">
        <v>104</v>
      </c>
      <c r="B45" s="43"/>
      <c r="C45" s="26">
        <v>-0.08</v>
      </c>
      <c r="D45" s="26">
        <f>D42*C45</f>
        <v>-7.5903796480000008</v>
      </c>
      <c r="E45" s="26"/>
      <c r="F45" s="26">
        <f>C45</f>
        <v>-0.08</v>
      </c>
      <c r="G45" s="26">
        <f>G42*F45</f>
        <v>-7.862379648000001</v>
      </c>
      <c r="H45" s="26">
        <f t="shared" si="2"/>
        <v>-0.27200000000000024</v>
      </c>
      <c r="I45" s="44">
        <f t="shared" si="10"/>
        <v>-3.5834834700484298E-2</v>
      </c>
      <c r="J45" s="44">
        <f t="shared" si="11"/>
        <v>-7.6190476190476197E-2</v>
      </c>
      <c r="K45" s="45"/>
    </row>
    <row r="46" spans="1:11" s="1" customFormat="1" ht="13.5" thickBot="1" x14ac:dyDescent="0.25">
      <c r="A46" s="48" t="s">
        <v>105</v>
      </c>
      <c r="B46" s="49"/>
      <c r="C46" s="50"/>
      <c r="D46" s="50">
        <f>SUM(D44:D45)</f>
        <v>99.62373288000002</v>
      </c>
      <c r="E46" s="50"/>
      <c r="F46" s="50"/>
      <c r="G46" s="50">
        <f>SUM(G44:G45)</f>
        <v>103.19373288000001</v>
      </c>
      <c r="H46" s="50">
        <f t="shared" si="2"/>
        <v>3.5699999999999932</v>
      </c>
      <c r="I46" s="51">
        <f t="shared" si="10"/>
        <v>3.5834834700484194E-2</v>
      </c>
      <c r="J46" s="51">
        <f t="shared" si="11"/>
        <v>1</v>
      </c>
      <c r="K46" s="52"/>
    </row>
    <row r="47" spans="1:11" x14ac:dyDescent="0.2">
      <c r="A47" s="53" t="s">
        <v>106</v>
      </c>
      <c r="B47" s="54"/>
      <c r="C47" s="55"/>
      <c r="D47" s="55">
        <f>SUM(D18,D25,D26,D28,D33,D40,D41)</f>
        <v>97.685953600000005</v>
      </c>
      <c r="E47" s="55"/>
      <c r="F47" s="55"/>
      <c r="G47" s="55">
        <f>SUM(G18,G25,G26,G28,G33,G40,G41)</f>
        <v>101.08595360000001</v>
      </c>
      <c r="H47" s="55">
        <f>G47-D47</f>
        <v>3.4000000000000057</v>
      </c>
      <c r="I47" s="56">
        <f t="shared" si="10"/>
        <v>3.4805413416161869E-2</v>
      </c>
      <c r="J47" s="56"/>
      <c r="K47" s="57">
        <f>G47/$G$51</f>
        <v>0.95238095238095233</v>
      </c>
    </row>
    <row r="48" spans="1:11" x14ac:dyDescent="0.2">
      <c r="A48" s="154" t="s">
        <v>102</v>
      </c>
      <c r="B48" s="59"/>
      <c r="C48" s="31">
        <v>0.13</v>
      </c>
      <c r="D48" s="31">
        <f>D47*C48</f>
        <v>12.699173968</v>
      </c>
      <c r="E48" s="31"/>
      <c r="F48" s="31">
        <f>C48</f>
        <v>0.13</v>
      </c>
      <c r="G48" s="31">
        <f>G47*F48</f>
        <v>13.141173968000002</v>
      </c>
      <c r="H48" s="31">
        <f>G48-D48</f>
        <v>0.44200000000000195</v>
      </c>
      <c r="I48" s="32">
        <f t="shared" si="10"/>
        <v>3.4805413416161959E-2</v>
      </c>
      <c r="J48" s="32"/>
      <c r="K48" s="60">
        <f>G48/$G$51</f>
        <v>0.12380952380952381</v>
      </c>
    </row>
    <row r="49" spans="1:11" x14ac:dyDescent="0.2">
      <c r="A49" s="61" t="s">
        <v>107</v>
      </c>
      <c r="B49" s="29"/>
      <c r="C49" s="30"/>
      <c r="D49" s="30">
        <f>SUM(D47:D48)</f>
        <v>110.385127568</v>
      </c>
      <c r="E49" s="30"/>
      <c r="F49" s="30"/>
      <c r="G49" s="30">
        <f>SUM(G47:G48)</f>
        <v>114.22712756800001</v>
      </c>
      <c r="H49" s="30">
        <f>G49-D49</f>
        <v>3.842000000000013</v>
      </c>
      <c r="I49" s="33">
        <f t="shared" si="10"/>
        <v>3.4805413416161925E-2</v>
      </c>
      <c r="J49" s="33"/>
      <c r="K49" s="62">
        <f>G49/$G$51</f>
        <v>1.0761904761904761</v>
      </c>
    </row>
    <row r="50" spans="1:11" x14ac:dyDescent="0.2">
      <c r="A50" s="58" t="s">
        <v>104</v>
      </c>
      <c r="B50" s="59"/>
      <c r="C50" s="31">
        <v>-0.08</v>
      </c>
      <c r="D50" s="31">
        <f>D47*C50</f>
        <v>-7.8148762880000007</v>
      </c>
      <c r="E50" s="31"/>
      <c r="F50" s="31">
        <f>C50</f>
        <v>-0.08</v>
      </c>
      <c r="G50" s="31">
        <f>G47*F50</f>
        <v>-8.0868762880000009</v>
      </c>
      <c r="H50" s="31">
        <f>G50-D50</f>
        <v>-0.27200000000000024</v>
      </c>
      <c r="I50" s="32">
        <f t="shared" si="10"/>
        <v>-3.4805413416161834E-2</v>
      </c>
      <c r="J50" s="32"/>
      <c r="K50" s="60">
        <f>G50/$G$51</f>
        <v>-7.6190476190476183E-2</v>
      </c>
    </row>
    <row r="51" spans="1:11" ht="13.5" thickBot="1" x14ac:dyDescent="0.25">
      <c r="A51" s="63" t="s">
        <v>116</v>
      </c>
      <c r="B51" s="64"/>
      <c r="C51" s="65"/>
      <c r="D51" s="65">
        <f>SUM(D49:D50)</f>
        <v>102.57025128000001</v>
      </c>
      <c r="E51" s="65"/>
      <c r="F51" s="65"/>
      <c r="G51" s="65">
        <f>SUM(G49:G50)</f>
        <v>106.14025128000002</v>
      </c>
      <c r="H51" s="65">
        <f>G51-D51</f>
        <v>3.5700000000000074</v>
      </c>
      <c r="I51" s="66">
        <f t="shared" si="10"/>
        <v>3.4805413416161876E-2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119</v>
      </c>
      <c r="B1" s="186"/>
      <c r="C1" s="186"/>
      <c r="D1" s="186"/>
      <c r="E1" s="186"/>
      <c r="F1" s="186"/>
      <c r="G1" s="186"/>
      <c r="H1" s="186"/>
      <c r="I1" s="186"/>
      <c r="J1" s="186"/>
      <c r="K1" s="187"/>
    </row>
    <row r="3" spans="1:11" x14ac:dyDescent="0.2">
      <c r="A3" s="13" t="s">
        <v>13</v>
      </c>
      <c r="B3" s="13" t="s">
        <v>1</v>
      </c>
    </row>
    <row r="4" spans="1:11" x14ac:dyDescent="0.2">
      <c r="A4" s="15" t="s">
        <v>62</v>
      </c>
      <c r="B4" s="15">
        <v>750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67">
        <f>B4*B6</f>
        <v>807</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0.34771032383980954</v>
      </c>
      <c r="K12" s="106"/>
    </row>
    <row r="13" spans="1:11" x14ac:dyDescent="0.2">
      <c r="A13" s="107" t="s">
        <v>32</v>
      </c>
      <c r="B13" s="73">
        <f>IF(B4&gt;B7,(B4)-B7,0)</f>
        <v>150</v>
      </c>
      <c r="C13" s="21">
        <v>0.106</v>
      </c>
      <c r="D13" s="22">
        <f>B13*C13</f>
        <v>15.9</v>
      </c>
      <c r="E13" s="73">
        <f t="shared" ref="E13" si="1">B13</f>
        <v>150</v>
      </c>
      <c r="F13" s="21">
        <f>C13</f>
        <v>0.106</v>
      </c>
      <c r="G13" s="22">
        <f>E13*F13</f>
        <v>15.9</v>
      </c>
      <c r="H13" s="22">
        <f t="shared" ref="H13:H46" si="2">G13-D13</f>
        <v>0</v>
      </c>
      <c r="I13" s="23">
        <f t="shared" si="0"/>
        <v>0</v>
      </c>
      <c r="J13" s="23">
        <f>G13/$G$46</f>
        <v>0.10125630309620827</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0.4489666269360178</v>
      </c>
      <c r="K14" s="108"/>
    </row>
    <row r="15" spans="1:11" s="1" customFormat="1" x14ac:dyDescent="0.2">
      <c r="A15" s="109" t="s">
        <v>34</v>
      </c>
      <c r="B15" s="75">
        <f>B4*0.65</f>
        <v>487.5</v>
      </c>
      <c r="C15" s="28">
        <v>7.6999999999999999E-2</v>
      </c>
      <c r="D15" s="22">
        <f>B15*C15</f>
        <v>37.537500000000001</v>
      </c>
      <c r="E15" s="73">
        <f t="shared" ref="E15:F17" si="3">B15</f>
        <v>487.5</v>
      </c>
      <c r="F15" s="28">
        <f t="shared" si="3"/>
        <v>7.6999999999999999E-2</v>
      </c>
      <c r="G15" s="22">
        <f>E15*F15</f>
        <v>37.537500000000001</v>
      </c>
      <c r="H15" s="22">
        <f t="shared" si="2"/>
        <v>0</v>
      </c>
      <c r="I15" s="23">
        <f t="shared" si="0"/>
        <v>0</v>
      </c>
      <c r="J15" s="23"/>
      <c r="K15" s="108">
        <f t="shared" ref="K15:K26" si="4">G15/$G$51</f>
        <v>0.23565252973188419</v>
      </c>
    </row>
    <row r="16" spans="1:11" s="1" customFormat="1" x14ac:dyDescent="0.2">
      <c r="A16" s="109" t="s">
        <v>35</v>
      </c>
      <c r="B16" s="75">
        <f>B4*0.17</f>
        <v>127.50000000000001</v>
      </c>
      <c r="C16" s="28">
        <v>0.113</v>
      </c>
      <c r="D16" s="22">
        <f>B16*C16</f>
        <v>14.407500000000002</v>
      </c>
      <c r="E16" s="73">
        <f t="shared" si="3"/>
        <v>127.50000000000001</v>
      </c>
      <c r="F16" s="28">
        <f t="shared" si="3"/>
        <v>0.113</v>
      </c>
      <c r="G16" s="22">
        <f>E16*F16</f>
        <v>14.407500000000002</v>
      </c>
      <c r="H16" s="22">
        <f t="shared" si="2"/>
        <v>0</v>
      </c>
      <c r="I16" s="23">
        <f t="shared" si="0"/>
        <v>0</v>
      </c>
      <c r="J16" s="23"/>
      <c r="K16" s="108">
        <f t="shared" si="4"/>
        <v>9.0447254668321597E-2</v>
      </c>
    </row>
    <row r="17" spans="1:11" s="1" customFormat="1" x14ac:dyDescent="0.2">
      <c r="A17" s="109" t="s">
        <v>36</v>
      </c>
      <c r="B17" s="75">
        <f>B4*0.18</f>
        <v>135</v>
      </c>
      <c r="C17" s="28">
        <v>0.157</v>
      </c>
      <c r="D17" s="22">
        <f>B17*C17</f>
        <v>21.195</v>
      </c>
      <c r="E17" s="73">
        <f t="shared" si="3"/>
        <v>135</v>
      </c>
      <c r="F17" s="28">
        <f t="shared" si="3"/>
        <v>0.157</v>
      </c>
      <c r="G17" s="22">
        <f>E17*F17</f>
        <v>21.195</v>
      </c>
      <c r="H17" s="22">
        <f t="shared" si="2"/>
        <v>0</v>
      </c>
      <c r="I17" s="23">
        <f t="shared" si="0"/>
        <v>0</v>
      </c>
      <c r="J17" s="23"/>
      <c r="K17" s="108">
        <f t="shared" si="4"/>
        <v>0.13305775205240852</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6" si="5">G18/$G$46</f>
        <v>0.46577899424255814</v>
      </c>
      <c r="K18" s="62">
        <f t="shared" si="4"/>
        <v>0.45915753645261437</v>
      </c>
    </row>
    <row r="19" spans="1:11" x14ac:dyDescent="0.2">
      <c r="A19" s="107" t="s">
        <v>38</v>
      </c>
      <c r="B19" s="73">
        <v>1</v>
      </c>
      <c r="C19" s="78">
        <f>VLOOKUP($B$3,'Data for Bill Impacts'!$A$6:$Y$18,7,0)</f>
        <v>37.79</v>
      </c>
      <c r="D19" s="22">
        <f>B19*C19</f>
        <v>37.79</v>
      </c>
      <c r="E19" s="73">
        <f t="shared" ref="E19:E41" si="6">B19</f>
        <v>1</v>
      </c>
      <c r="F19" s="78">
        <f>VLOOKUP($B$3,'Data for Bill Impacts'!$A$6:$Y$18,17,0)</f>
        <v>42.19</v>
      </c>
      <c r="G19" s="22">
        <f>E19*F19</f>
        <v>42.19</v>
      </c>
      <c r="H19" s="22">
        <f t="shared" si="2"/>
        <v>4.3999999999999986</v>
      </c>
      <c r="I19" s="23">
        <f>IF(ISERROR(H19/ABS(D19)),"N/A",(H19/ABS(D19)))</f>
        <v>0.1164329187615771</v>
      </c>
      <c r="J19" s="23">
        <f t="shared" si="5"/>
        <v>0.26867946085717148</v>
      </c>
      <c r="K19" s="108">
        <f t="shared" si="4"/>
        <v>0.26485994617084763</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4.0000000000000001E-3</v>
      </c>
      <c r="D22" s="22">
        <f t="shared" si="9"/>
        <v>4.0000000000000001E-3</v>
      </c>
      <c r="E22" s="73">
        <f t="shared" si="6"/>
        <v>1</v>
      </c>
      <c r="F22" s="121">
        <f>VLOOKUP($B$3,'Data for Bill Impacts'!$A$6:$Y$18,22,0)</f>
        <v>4.0000000000000001E-3</v>
      </c>
      <c r="G22" s="22">
        <f t="shared" si="7"/>
        <v>4.0000000000000001E-3</v>
      </c>
      <c r="H22" s="22">
        <f t="shared" si="2"/>
        <v>0</v>
      </c>
      <c r="I22" s="23">
        <f t="shared" ref="I22:I51" si="10">IF(ISERROR(H22/ABS(D22)),"N/A",(H22/ABS(D22)))</f>
        <v>0</v>
      </c>
      <c r="J22" s="23">
        <f t="shared" si="5"/>
        <v>2.5473283797788246E-5</v>
      </c>
      <c r="K22" s="108">
        <f t="shared" si="4"/>
        <v>2.5111158679388257E-5</v>
      </c>
    </row>
    <row r="23" spans="1:11" x14ac:dyDescent="0.2">
      <c r="A23" s="107" t="s">
        <v>39</v>
      </c>
      <c r="B23" s="73">
        <f>IF($B$9="kWh",$B$4,$B$5)</f>
        <v>750</v>
      </c>
      <c r="C23" s="78">
        <f>VLOOKUP($B$3,'Data for Bill Impacts'!$A$6:$Y$18,10,0)</f>
        <v>2.18E-2</v>
      </c>
      <c r="D23" s="22">
        <f>B23*C23</f>
        <v>16.350000000000001</v>
      </c>
      <c r="E23" s="73">
        <f t="shared" si="6"/>
        <v>750</v>
      </c>
      <c r="F23" s="78">
        <f>VLOOKUP($B$3,'Data for Bill Impacts'!$A$6:$Y$18,19,0)</f>
        <v>1.9300000000000001E-2</v>
      </c>
      <c r="G23" s="22">
        <f>E23*F23</f>
        <v>14.475000000000001</v>
      </c>
      <c r="H23" s="22">
        <f t="shared" si="2"/>
        <v>-1.875</v>
      </c>
      <c r="I23" s="23">
        <f t="shared" si="10"/>
        <v>-0.1146788990825688</v>
      </c>
      <c r="J23" s="23">
        <f t="shared" si="5"/>
        <v>9.2181445743246215E-2</v>
      </c>
      <c r="K23" s="108">
        <f t="shared" si="4"/>
        <v>9.087100547103627E-2</v>
      </c>
    </row>
    <row r="24" spans="1:11" x14ac:dyDescent="0.2">
      <c r="A24" s="107" t="s">
        <v>122</v>
      </c>
      <c r="B24" s="73">
        <f>IF($B$9="kWh",$B$4,$B$5)</f>
        <v>750</v>
      </c>
      <c r="C24" s="125">
        <f>VLOOKUP($B$3,'Data for Bill Impacts'!$A$6:$Y$18,14,0)</f>
        <v>2.0000000000000002E-5</v>
      </c>
      <c r="D24" s="22">
        <f>B24*C24</f>
        <v>1.5000000000000001E-2</v>
      </c>
      <c r="E24" s="73">
        <f>B24</f>
        <v>750</v>
      </c>
      <c r="F24" s="125">
        <f>VLOOKUP($B$3,'Data for Bill Impacts'!$A$6:$Y$18,23,0)</f>
        <v>2.0000000000000002E-5</v>
      </c>
      <c r="G24" s="22">
        <f>E24*F24</f>
        <v>1.5000000000000001E-2</v>
      </c>
      <c r="H24" s="22">
        <f>G24-D24</f>
        <v>0</v>
      </c>
      <c r="I24" s="23">
        <f t="shared" si="10"/>
        <v>0</v>
      </c>
      <c r="J24" s="23">
        <f t="shared" si="5"/>
        <v>9.5524814241705922E-5</v>
      </c>
      <c r="K24" s="108">
        <f t="shared" si="4"/>
        <v>9.416684504770597E-5</v>
      </c>
    </row>
    <row r="25" spans="1:11" s="1" customFormat="1" x14ac:dyDescent="0.2">
      <c r="A25" s="110" t="s">
        <v>72</v>
      </c>
      <c r="B25" s="74"/>
      <c r="C25" s="35"/>
      <c r="D25" s="35">
        <f>SUM(D19:D24)</f>
        <v>54.158999999999999</v>
      </c>
      <c r="E25" s="73"/>
      <c r="F25" s="35"/>
      <c r="G25" s="35">
        <f>SUM(G19:G24)</f>
        <v>56.683999999999997</v>
      </c>
      <c r="H25" s="35">
        <f t="shared" si="2"/>
        <v>2.5249999999999986</v>
      </c>
      <c r="I25" s="36">
        <f t="shared" si="10"/>
        <v>4.6621983419191611E-2</v>
      </c>
      <c r="J25" s="36">
        <f t="shared" si="5"/>
        <v>0.3609819046984572</v>
      </c>
      <c r="K25" s="111">
        <f t="shared" si="4"/>
        <v>0.35585022964561097</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5.0309735500631784E-3</v>
      </c>
      <c r="K26" s="108">
        <f t="shared" si="4"/>
        <v>4.959453839179181E-3</v>
      </c>
    </row>
    <row r="27" spans="1:11" s="1" customFormat="1" x14ac:dyDescent="0.2">
      <c r="A27" s="119" t="s">
        <v>75</v>
      </c>
      <c r="B27" s="120">
        <f>B8-B4</f>
        <v>57</v>
      </c>
      <c r="C27" s="170">
        <f>IF(B4&gt;B7,C13,C12)</f>
        <v>0.106</v>
      </c>
      <c r="D27" s="22">
        <f>B27*C27</f>
        <v>6.0419999999999998</v>
      </c>
      <c r="E27" s="73">
        <f>B27</f>
        <v>57</v>
      </c>
      <c r="F27" s="170">
        <f>C27</f>
        <v>0.106</v>
      </c>
      <c r="G27" s="22">
        <f>E27*F27</f>
        <v>6.0419999999999998</v>
      </c>
      <c r="H27" s="22">
        <f t="shared" si="2"/>
        <v>0</v>
      </c>
      <c r="I27" s="23">
        <f t="shared" si="10"/>
        <v>0</v>
      </c>
      <c r="J27" s="23">
        <f t="shared" ref="J27:J46" si="11">G27/$G$46</f>
        <v>3.847739517655914E-2</v>
      </c>
      <c r="K27" s="108">
        <f t="shared" ref="K27:K41" si="12">G27/$G$51</f>
        <v>3.7930405185215961E-2</v>
      </c>
    </row>
    <row r="28" spans="1:11" s="1" customFormat="1" x14ac:dyDescent="0.2">
      <c r="A28" s="119" t="s">
        <v>74</v>
      </c>
      <c r="B28" s="120">
        <f>B8-B4</f>
        <v>57</v>
      </c>
      <c r="C28" s="170">
        <f>0.65*C15+0.17*C16+0.18*C17</f>
        <v>9.7519999999999996E-2</v>
      </c>
      <c r="D28" s="22">
        <f>B28*C28</f>
        <v>5.5586399999999996</v>
      </c>
      <c r="E28" s="73">
        <f>B28</f>
        <v>57</v>
      </c>
      <c r="F28" s="170">
        <f>C28</f>
        <v>9.7519999999999996E-2</v>
      </c>
      <c r="G28" s="22">
        <f>E28*F28</f>
        <v>5.5586399999999996</v>
      </c>
      <c r="H28" s="22">
        <f t="shared" si="2"/>
        <v>0</v>
      </c>
      <c r="I28" s="23">
        <f t="shared" si="10"/>
        <v>0</v>
      </c>
      <c r="J28" s="23">
        <f t="shared" si="11"/>
        <v>3.5399203562434409E-2</v>
      </c>
      <c r="K28" s="108">
        <f t="shared" si="12"/>
        <v>3.4895972770398687E-2</v>
      </c>
    </row>
    <row r="29" spans="1:11" s="1" customFormat="1" x14ac:dyDescent="0.2">
      <c r="A29" s="110" t="s">
        <v>78</v>
      </c>
      <c r="B29" s="74"/>
      <c r="C29" s="35"/>
      <c r="D29" s="35">
        <f>SUM(D25,D26:D27)</f>
        <v>60.991</v>
      </c>
      <c r="E29" s="73"/>
      <c r="F29" s="35"/>
      <c r="G29" s="35">
        <f>SUM(G25,G26:G27)</f>
        <v>63.515999999999998</v>
      </c>
      <c r="H29" s="35">
        <f t="shared" si="2"/>
        <v>2.5249999999999986</v>
      </c>
      <c r="I29" s="36">
        <f t="shared" si="10"/>
        <v>4.1399550753389823E-2</v>
      </c>
      <c r="J29" s="36">
        <f t="shared" si="11"/>
        <v>0.40449027342507954</v>
      </c>
      <c r="K29" s="111">
        <f t="shared" si="12"/>
        <v>0.39874008867000615</v>
      </c>
    </row>
    <row r="30" spans="1:11" s="1" customFormat="1" x14ac:dyDescent="0.2">
      <c r="A30" s="110" t="s">
        <v>77</v>
      </c>
      <c r="B30" s="74"/>
      <c r="C30" s="35"/>
      <c r="D30" s="35">
        <f>SUM(D25,D26,D28)</f>
        <v>60.507639999999995</v>
      </c>
      <c r="E30" s="73"/>
      <c r="F30" s="35"/>
      <c r="G30" s="35">
        <f>SUM(G25,G26,G28)</f>
        <v>63.032639999999994</v>
      </c>
      <c r="H30" s="35">
        <f t="shared" si="2"/>
        <v>2.5249999999999986</v>
      </c>
      <c r="I30" s="36">
        <f t="shared" si="10"/>
        <v>4.1730267450523585E-2</v>
      </c>
      <c r="J30" s="36">
        <f t="shared" si="11"/>
        <v>0.40141208181095478</v>
      </c>
      <c r="K30" s="111">
        <f t="shared" si="12"/>
        <v>0.39570565625518883</v>
      </c>
    </row>
    <row r="31" spans="1:11" x14ac:dyDescent="0.2">
      <c r="A31" s="107" t="s">
        <v>40</v>
      </c>
      <c r="B31" s="73">
        <f>B8</f>
        <v>807</v>
      </c>
      <c r="C31" s="125">
        <f>VLOOKUP($B$3,'Data for Bill Impacts'!$A$6:$Y$18,15,0)</f>
        <v>7.2069999999999999E-3</v>
      </c>
      <c r="D31" s="22">
        <f>B31*C31</f>
        <v>5.8160489999999996</v>
      </c>
      <c r="E31" s="73">
        <f t="shared" si="6"/>
        <v>807</v>
      </c>
      <c r="F31" s="125">
        <f>VLOOKUP($B$3,'Data for Bill Impacts'!$A$6:$Y$18,24,0)</f>
        <v>7.2069999999999999E-3</v>
      </c>
      <c r="G31" s="22">
        <f>E31*F31</f>
        <v>5.8160489999999996</v>
      </c>
      <c r="H31" s="22">
        <f t="shared" si="2"/>
        <v>0</v>
      </c>
      <c r="I31" s="23">
        <f t="shared" si="10"/>
        <v>0</v>
      </c>
      <c r="J31" s="23">
        <f t="shared" si="11"/>
        <v>3.7038466689710628E-2</v>
      </c>
      <c r="K31" s="108">
        <f t="shared" si="12"/>
        <v>3.6511932331524347E-2</v>
      </c>
    </row>
    <row r="32" spans="1:11" x14ac:dyDescent="0.2">
      <c r="A32" s="107" t="s">
        <v>41</v>
      </c>
      <c r="B32" s="73">
        <f>B8</f>
        <v>807</v>
      </c>
      <c r="C32" s="125">
        <f>VLOOKUP($B$3,'Data for Bill Impacts'!$A$6:$Y$18,16,0)</f>
        <v>6.0319999999999992E-3</v>
      </c>
      <c r="D32" s="22">
        <f>B32*C32</f>
        <v>4.8678239999999997</v>
      </c>
      <c r="E32" s="73">
        <f t="shared" si="6"/>
        <v>807</v>
      </c>
      <c r="F32" s="125">
        <f>VLOOKUP($B$3,'Data for Bill Impacts'!$A$6:$Y$18,25,0)</f>
        <v>6.0319999999999992E-3</v>
      </c>
      <c r="G32" s="22">
        <f>E32*F32</f>
        <v>4.8678239999999997</v>
      </c>
      <c r="H32" s="22">
        <f t="shared" si="2"/>
        <v>0</v>
      </c>
      <c r="I32" s="23">
        <f t="shared" si="10"/>
        <v>0</v>
      </c>
      <c r="J32" s="23">
        <f t="shared" si="11"/>
        <v>3.0999865557421191E-2</v>
      </c>
      <c r="K32" s="108">
        <f t="shared" si="12"/>
        <v>3.0559175221833615E-2</v>
      </c>
    </row>
    <row r="33" spans="1:11" s="1" customFormat="1" x14ac:dyDescent="0.2">
      <c r="A33" s="110" t="s">
        <v>76</v>
      </c>
      <c r="B33" s="74"/>
      <c r="C33" s="35"/>
      <c r="D33" s="35">
        <f>SUM(D31:D32)</f>
        <v>10.683872999999998</v>
      </c>
      <c r="E33" s="73"/>
      <c r="F33" s="35"/>
      <c r="G33" s="35">
        <f>SUM(G31:G32)</f>
        <v>10.683872999999998</v>
      </c>
      <c r="H33" s="35">
        <f t="shared" si="2"/>
        <v>0</v>
      </c>
      <c r="I33" s="36">
        <f t="shared" si="10"/>
        <v>0</v>
      </c>
      <c r="J33" s="36">
        <f t="shared" si="11"/>
        <v>6.8038332247131808E-2</v>
      </c>
      <c r="K33" s="111">
        <f t="shared" si="12"/>
        <v>6.7071107553357961E-2</v>
      </c>
    </row>
    <row r="34" spans="1:11" s="1" customFormat="1" x14ac:dyDescent="0.2">
      <c r="A34" s="110" t="s">
        <v>91</v>
      </c>
      <c r="B34" s="74"/>
      <c r="C34" s="35"/>
      <c r="D34" s="35">
        <f>D29+D33</f>
        <v>71.674872999999991</v>
      </c>
      <c r="E34" s="73"/>
      <c r="F34" s="35"/>
      <c r="G34" s="35">
        <f>G29+G33</f>
        <v>74.199872999999997</v>
      </c>
      <c r="H34" s="35">
        <f t="shared" si="2"/>
        <v>2.5250000000000057</v>
      </c>
      <c r="I34" s="36">
        <f t="shared" si="10"/>
        <v>3.5228524227730491E-2</v>
      </c>
      <c r="J34" s="36">
        <f t="shared" si="11"/>
        <v>0.47252860567221133</v>
      </c>
      <c r="K34" s="111">
        <f t="shared" si="12"/>
        <v>0.46581119622336409</v>
      </c>
    </row>
    <row r="35" spans="1:11" s="1" customFormat="1" x14ac:dyDescent="0.2">
      <c r="A35" s="110" t="s">
        <v>92</v>
      </c>
      <c r="B35" s="74"/>
      <c r="C35" s="35"/>
      <c r="D35" s="35">
        <f>D30+D33</f>
        <v>71.191512999999986</v>
      </c>
      <c r="E35" s="73"/>
      <c r="F35" s="35"/>
      <c r="G35" s="35">
        <f>G30+G33</f>
        <v>73.716512999999992</v>
      </c>
      <c r="H35" s="35">
        <f t="shared" si="2"/>
        <v>2.5250000000000057</v>
      </c>
      <c r="I35" s="36">
        <f t="shared" si="10"/>
        <v>3.5467710877278395E-2</v>
      </c>
      <c r="J35" s="36">
        <f t="shared" si="11"/>
        <v>0.46945041405808657</v>
      </c>
      <c r="K35" s="111">
        <f t="shared" si="12"/>
        <v>0.46277676380854676</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2"/>
        <v>0</v>
      </c>
      <c r="I36" s="23">
        <f t="shared" si="10"/>
        <v>0</v>
      </c>
      <c r="J36" s="23">
        <f t="shared" si="11"/>
        <v>1.8501246022333599E-2</v>
      </c>
      <c r="K36" s="108">
        <f t="shared" si="12"/>
        <v>1.8238234548839691E-2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10"/>
        <v>0</v>
      </c>
      <c r="J37" s="23">
        <f t="shared" si="11"/>
        <v>1.0792393513027933E-2</v>
      </c>
      <c r="K37" s="108">
        <f t="shared" si="12"/>
        <v>1.0638970153489819E-2</v>
      </c>
    </row>
    <row r="38" spans="1:11" x14ac:dyDescent="0.2">
      <c r="A38" s="107" t="s">
        <v>96</v>
      </c>
      <c r="B38" s="73">
        <f>B8</f>
        <v>807</v>
      </c>
      <c r="C38" s="34">
        <v>0</v>
      </c>
      <c r="D38" s="22">
        <f>B38*C38</f>
        <v>0</v>
      </c>
      <c r="E38" s="73">
        <f t="shared" si="6"/>
        <v>807</v>
      </c>
      <c r="F38" s="34">
        <v>0</v>
      </c>
      <c r="G38" s="22">
        <f>E38*F38</f>
        <v>0</v>
      </c>
      <c r="H38" s="22">
        <f>G38-D38</f>
        <v>0</v>
      </c>
      <c r="I38" s="23" t="str">
        <f t="shared" si="10"/>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1.5920802373617653E-3</v>
      </c>
      <c r="K39" s="108">
        <f t="shared" si="12"/>
        <v>1.5694474174617662E-3</v>
      </c>
    </row>
    <row r="40" spans="1:11" s="1" customFormat="1" x14ac:dyDescent="0.2">
      <c r="A40" s="110" t="s">
        <v>45</v>
      </c>
      <c r="B40" s="74"/>
      <c r="C40" s="35"/>
      <c r="D40" s="35">
        <f>SUM(D36:D39)</f>
        <v>4.8498999999999999</v>
      </c>
      <c r="E40" s="73"/>
      <c r="F40" s="35"/>
      <c r="G40" s="35">
        <f>SUM(G36:G39)</f>
        <v>4.8498999999999999</v>
      </c>
      <c r="H40" s="35">
        <f t="shared" si="2"/>
        <v>0</v>
      </c>
      <c r="I40" s="36">
        <f t="shared" si="10"/>
        <v>0</v>
      </c>
      <c r="J40" s="36">
        <f t="shared" si="11"/>
        <v>3.0885719772723301E-2</v>
      </c>
      <c r="K40" s="111">
        <f t="shared" si="12"/>
        <v>3.0446652119791275E-2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147.02477299999998</v>
      </c>
      <c r="E42" s="38"/>
      <c r="F42" s="39"/>
      <c r="G42" s="39">
        <f>SUM(G14,G25,G26,G27,G33,G40,G41)</f>
        <v>149.54977299999999</v>
      </c>
      <c r="H42" s="39">
        <f t="shared" si="2"/>
        <v>2.5250000000000057</v>
      </c>
      <c r="I42" s="40">
        <f t="shared" si="10"/>
        <v>1.7173976524350803E-2</v>
      </c>
      <c r="J42" s="40">
        <f t="shared" si="11"/>
        <v>0.95238095238095244</v>
      </c>
      <c r="K42" s="41"/>
    </row>
    <row r="43" spans="1:11" x14ac:dyDescent="0.2">
      <c r="A43" s="153" t="s">
        <v>102</v>
      </c>
      <c r="B43" s="43"/>
      <c r="C43" s="26">
        <v>0.13</v>
      </c>
      <c r="D43" s="26">
        <f>D42*C43</f>
        <v>19.11322049</v>
      </c>
      <c r="E43" s="26"/>
      <c r="F43" s="26">
        <f>C43</f>
        <v>0.13</v>
      </c>
      <c r="G43" s="26">
        <f>G42*F43</f>
        <v>19.44147049</v>
      </c>
      <c r="H43" s="26">
        <f t="shared" si="2"/>
        <v>0.3282500000000006</v>
      </c>
      <c r="I43" s="44">
        <f t="shared" si="10"/>
        <v>1.7173976524350796E-2</v>
      </c>
      <c r="J43" s="44">
        <f t="shared" si="11"/>
        <v>0.12380952380952383</v>
      </c>
      <c r="K43" s="45"/>
    </row>
    <row r="44" spans="1:11" s="1" customFormat="1" x14ac:dyDescent="0.2">
      <c r="A44" s="46" t="s">
        <v>103</v>
      </c>
      <c r="B44" s="24"/>
      <c r="C44" s="25"/>
      <c r="D44" s="25">
        <f>SUM(D42:D43)</f>
        <v>166.13799348999999</v>
      </c>
      <c r="E44" s="25"/>
      <c r="F44" s="25"/>
      <c r="G44" s="25">
        <f>SUM(G42:G43)</f>
        <v>168.99124348999999</v>
      </c>
      <c r="H44" s="25">
        <f t="shared" si="2"/>
        <v>2.8532500000000027</v>
      </c>
      <c r="I44" s="27">
        <f t="shared" si="10"/>
        <v>1.7173976524350782E-2</v>
      </c>
      <c r="J44" s="27">
        <f t="shared" si="11"/>
        <v>1.0761904761904761</v>
      </c>
      <c r="K44" s="47"/>
    </row>
    <row r="45" spans="1:11" x14ac:dyDescent="0.2">
      <c r="A45" s="42" t="s">
        <v>104</v>
      </c>
      <c r="B45" s="43"/>
      <c r="C45" s="26">
        <v>-0.08</v>
      </c>
      <c r="D45" s="26">
        <f>D42*C45</f>
        <v>-11.761981839999999</v>
      </c>
      <c r="E45" s="26"/>
      <c r="F45" s="26">
        <f>C45</f>
        <v>-0.08</v>
      </c>
      <c r="G45" s="26">
        <f>G42*F45</f>
        <v>-11.963981839999999</v>
      </c>
      <c r="H45" s="26">
        <f t="shared" si="2"/>
        <v>-0.20199999999999996</v>
      </c>
      <c r="I45" s="44">
        <f t="shared" si="10"/>
        <v>-1.7173976524350761E-2</v>
      </c>
      <c r="J45" s="44">
        <f t="shared" si="11"/>
        <v>-7.6190476190476183E-2</v>
      </c>
      <c r="K45" s="45"/>
    </row>
    <row r="46" spans="1:11" s="1" customFormat="1" ht="13.5" thickBot="1" x14ac:dyDescent="0.25">
      <c r="A46" s="48" t="s">
        <v>105</v>
      </c>
      <c r="B46" s="49"/>
      <c r="C46" s="50"/>
      <c r="D46" s="50">
        <f>SUM(D44:D45)</f>
        <v>154.37601164999998</v>
      </c>
      <c r="E46" s="50"/>
      <c r="F46" s="50"/>
      <c r="G46" s="50">
        <f>SUM(G44:G45)</f>
        <v>157.02726164999999</v>
      </c>
      <c r="H46" s="50">
        <f t="shared" si="2"/>
        <v>2.6512500000000045</v>
      </c>
      <c r="I46" s="51">
        <f t="shared" si="10"/>
        <v>1.7173976524350796E-2</v>
      </c>
      <c r="J46" s="51">
        <f t="shared" si="11"/>
        <v>1</v>
      </c>
      <c r="K46" s="52"/>
    </row>
    <row r="47" spans="1:11" x14ac:dyDescent="0.2">
      <c r="A47" s="53" t="s">
        <v>106</v>
      </c>
      <c r="B47" s="54"/>
      <c r="C47" s="55"/>
      <c r="D47" s="55">
        <f>SUM(D18,D25,D26,D28,D33,D40,D41)</f>
        <v>149.18141299999999</v>
      </c>
      <c r="E47" s="55"/>
      <c r="F47" s="55"/>
      <c r="G47" s="55">
        <f>SUM(G18,G25,G26,G28,G33,G40,G41)</f>
        <v>151.706413</v>
      </c>
      <c r="H47" s="55">
        <f>G47-D47</f>
        <v>2.5250000000000057</v>
      </c>
      <c r="I47" s="56">
        <f t="shared" si="10"/>
        <v>1.6925701059018698E-2</v>
      </c>
      <c r="J47" s="56"/>
      <c r="K47" s="57">
        <f>G47/$G$51</f>
        <v>0.95238095238095233</v>
      </c>
    </row>
    <row r="48" spans="1:11" x14ac:dyDescent="0.2">
      <c r="A48" s="58" t="s">
        <v>102</v>
      </c>
      <c r="B48" s="59"/>
      <c r="C48" s="31">
        <v>0.13</v>
      </c>
      <c r="D48" s="31">
        <f>D47*C48</f>
        <v>19.39358369</v>
      </c>
      <c r="E48" s="31"/>
      <c r="F48" s="31">
        <f>C48</f>
        <v>0.13</v>
      </c>
      <c r="G48" s="31">
        <f>G47*F48</f>
        <v>19.72183369</v>
      </c>
      <c r="H48" s="31">
        <f>G48-D48</f>
        <v>0.3282500000000006</v>
      </c>
      <c r="I48" s="32">
        <f t="shared" si="10"/>
        <v>1.6925701059018691E-2</v>
      </c>
      <c r="J48" s="32"/>
      <c r="K48" s="60">
        <f>G48/$G$51</f>
        <v>0.12380952380952381</v>
      </c>
    </row>
    <row r="49" spans="1:11" x14ac:dyDescent="0.2">
      <c r="A49" s="61" t="s">
        <v>107</v>
      </c>
      <c r="B49" s="29"/>
      <c r="C49" s="30"/>
      <c r="D49" s="30">
        <f>SUM(D47:D48)</f>
        <v>168.57499668999998</v>
      </c>
      <c r="E49" s="30"/>
      <c r="F49" s="30"/>
      <c r="G49" s="30">
        <f>SUM(G47:G48)</f>
        <v>171.42824669000001</v>
      </c>
      <c r="H49" s="30">
        <f>G49-D49</f>
        <v>2.8532500000000312</v>
      </c>
      <c r="I49" s="33">
        <f t="shared" si="10"/>
        <v>1.6925701059018847E-2</v>
      </c>
      <c r="J49" s="33"/>
      <c r="K49" s="62">
        <f>G49/$G$51</f>
        <v>1.0761904761904764</v>
      </c>
    </row>
    <row r="50" spans="1:11" x14ac:dyDescent="0.2">
      <c r="A50" s="58" t="s">
        <v>104</v>
      </c>
      <c r="B50" s="59"/>
      <c r="C50" s="31">
        <v>-0.08</v>
      </c>
      <c r="D50" s="31">
        <f>D47*C50</f>
        <v>-11.934513039999999</v>
      </c>
      <c r="E50" s="31"/>
      <c r="F50" s="31">
        <f>C50</f>
        <v>-0.08</v>
      </c>
      <c r="G50" s="31">
        <f>G47*F50</f>
        <v>-12.136513040000001</v>
      </c>
      <c r="H50" s="31">
        <f>G50-D50</f>
        <v>-0.20200000000000173</v>
      </c>
      <c r="I50" s="32">
        <f t="shared" si="10"/>
        <v>-1.6925701059018805E-2</v>
      </c>
      <c r="J50" s="32"/>
      <c r="K50" s="60">
        <f>G50/$G$51</f>
        <v>-7.6190476190476197E-2</v>
      </c>
    </row>
    <row r="51" spans="1:11" ht="13.5" thickBot="1" x14ac:dyDescent="0.25">
      <c r="A51" s="63" t="s">
        <v>116</v>
      </c>
      <c r="B51" s="64"/>
      <c r="C51" s="65"/>
      <c r="D51" s="65">
        <f>SUM(D49:D50)</f>
        <v>156.64048364999996</v>
      </c>
      <c r="E51" s="65"/>
      <c r="F51" s="65"/>
      <c r="G51" s="65">
        <f>SUM(G49:G50)</f>
        <v>159.29173365</v>
      </c>
      <c r="H51" s="65">
        <f>G51-D51</f>
        <v>2.651250000000033</v>
      </c>
      <c r="I51" s="66">
        <f t="shared" si="10"/>
        <v>1.6925701059018874E-2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5" t="s">
        <v>120</v>
      </c>
      <c r="B1" s="186"/>
      <c r="C1" s="186"/>
      <c r="D1" s="186"/>
      <c r="E1" s="186"/>
      <c r="F1" s="186"/>
      <c r="G1" s="186"/>
      <c r="H1" s="186"/>
      <c r="I1" s="186"/>
      <c r="J1" s="186"/>
      <c r="K1" s="187"/>
    </row>
    <row r="3" spans="1:11" x14ac:dyDescent="0.2">
      <c r="A3" s="13" t="s">
        <v>13</v>
      </c>
      <c r="B3" s="13" t="s">
        <v>1</v>
      </c>
    </row>
    <row r="4" spans="1:11" x14ac:dyDescent="0.2">
      <c r="A4" s="15" t="s">
        <v>62</v>
      </c>
      <c r="B4" s="15">
        <f>VLOOKUP(B3,'Data for Bill Impacts'!A22:D34,3,FALSE)</f>
        <v>920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67">
        <f>B4*B6</f>
        <v>989.92000000000007</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0.29597921085008272</v>
      </c>
      <c r="K12" s="106"/>
    </row>
    <row r="13" spans="1:11" x14ac:dyDescent="0.2">
      <c r="A13" s="107" t="s">
        <v>32</v>
      </c>
      <c r="B13" s="73">
        <f>IF(B4&gt;B7,(B4)-B7,0)</f>
        <v>320</v>
      </c>
      <c r="C13" s="21">
        <v>0.106</v>
      </c>
      <c r="D13" s="22">
        <f>B13*C13</f>
        <v>33.92</v>
      </c>
      <c r="E13" s="73">
        <f t="shared" ref="E13" si="1">B13</f>
        <v>320</v>
      </c>
      <c r="F13" s="21">
        <f>C13</f>
        <v>0.106</v>
      </c>
      <c r="G13" s="22">
        <f>E13*F13</f>
        <v>33.92</v>
      </c>
      <c r="H13" s="22">
        <f t="shared" ref="H13:H46" si="2">G13-D13</f>
        <v>0</v>
      </c>
      <c r="I13" s="23">
        <f t="shared" si="0"/>
        <v>0</v>
      </c>
      <c r="J13" s="23">
        <f>G13/$G$46</f>
        <v>0.183875729524447</v>
      </c>
      <c r="K13" s="108"/>
    </row>
    <row r="14" spans="1:11" s="1" customFormat="1" x14ac:dyDescent="0.2">
      <c r="A14" s="46" t="s">
        <v>33</v>
      </c>
      <c r="B14" s="24"/>
      <c r="C14" s="25"/>
      <c r="D14" s="25">
        <f>SUM(D12:D13)</f>
        <v>88.52000000000001</v>
      </c>
      <c r="E14" s="76"/>
      <c r="F14" s="25"/>
      <c r="G14" s="25">
        <f>SUM(G12:G13)</f>
        <v>88.52000000000001</v>
      </c>
      <c r="H14" s="25">
        <f t="shared" si="2"/>
        <v>0</v>
      </c>
      <c r="I14" s="27">
        <f t="shared" si="0"/>
        <v>0</v>
      </c>
      <c r="J14" s="27">
        <f>G14/$G$46</f>
        <v>0.47985494037452975</v>
      </c>
      <c r="K14" s="108"/>
    </row>
    <row r="15" spans="1:11" s="1" customFormat="1" x14ac:dyDescent="0.2">
      <c r="A15" s="109" t="s">
        <v>34</v>
      </c>
      <c r="B15" s="75">
        <f>B4*0.65</f>
        <v>598</v>
      </c>
      <c r="C15" s="28">
        <v>7.6999999999999999E-2</v>
      </c>
      <c r="D15" s="22">
        <f>B15*C15</f>
        <v>46.045999999999999</v>
      </c>
      <c r="E15" s="73">
        <f t="shared" ref="E15:F17" si="3">B15</f>
        <v>598</v>
      </c>
      <c r="F15" s="28">
        <f t="shared" si="3"/>
        <v>7.6999999999999999E-2</v>
      </c>
      <c r="G15" s="22">
        <f>E15*F15</f>
        <v>46.045999999999999</v>
      </c>
      <c r="H15" s="22">
        <f t="shared" si="2"/>
        <v>0</v>
      </c>
      <c r="I15" s="23">
        <f t="shared" si="0"/>
        <v>0</v>
      </c>
      <c r="J15" s="23"/>
      <c r="K15" s="108">
        <f t="shared" ref="K15:K26" si="4">G15/$G$51</f>
        <v>0.24875185418036283</v>
      </c>
    </row>
    <row r="16" spans="1:11" s="1" customFormat="1" x14ac:dyDescent="0.2">
      <c r="A16" s="109" t="s">
        <v>35</v>
      </c>
      <c r="B16" s="75">
        <f>B4*0.17</f>
        <v>156.4</v>
      </c>
      <c r="C16" s="28">
        <v>0.113</v>
      </c>
      <c r="D16" s="22">
        <f>B16*C16</f>
        <v>17.673200000000001</v>
      </c>
      <c r="E16" s="73">
        <f t="shared" si="3"/>
        <v>156.4</v>
      </c>
      <c r="F16" s="28">
        <f t="shared" si="3"/>
        <v>0.113</v>
      </c>
      <c r="G16" s="22">
        <f>E16*F16</f>
        <v>17.673200000000001</v>
      </c>
      <c r="H16" s="22">
        <f t="shared" si="2"/>
        <v>0</v>
      </c>
      <c r="I16" s="23">
        <f t="shared" si="0"/>
        <v>0</v>
      </c>
      <c r="J16" s="23"/>
      <c r="K16" s="108">
        <f t="shared" si="4"/>
        <v>9.5474987388706703E-2</v>
      </c>
    </row>
    <row r="17" spans="1:11" s="1" customFormat="1" x14ac:dyDescent="0.2">
      <c r="A17" s="109" t="s">
        <v>36</v>
      </c>
      <c r="B17" s="75">
        <f>B4*0.18</f>
        <v>165.6</v>
      </c>
      <c r="C17" s="28">
        <v>0.157</v>
      </c>
      <c r="D17" s="22">
        <f>B17*C17</f>
        <v>25.999199999999998</v>
      </c>
      <c r="E17" s="73">
        <f t="shared" si="3"/>
        <v>165.6</v>
      </c>
      <c r="F17" s="28">
        <f t="shared" si="3"/>
        <v>0.157</v>
      </c>
      <c r="G17" s="22">
        <f>E17*F17</f>
        <v>25.999199999999998</v>
      </c>
      <c r="H17" s="22">
        <f t="shared" si="2"/>
        <v>0</v>
      </c>
      <c r="I17" s="23">
        <f t="shared" si="0"/>
        <v>0</v>
      </c>
      <c r="J17" s="23"/>
      <c r="K17" s="108">
        <f t="shared" si="4"/>
        <v>0.14045409388885222</v>
      </c>
    </row>
    <row r="18" spans="1:11" s="1" customFormat="1" x14ac:dyDescent="0.2">
      <c r="A18" s="61" t="s">
        <v>37</v>
      </c>
      <c r="B18" s="29"/>
      <c r="C18" s="30"/>
      <c r="D18" s="30">
        <f>SUM(D15:D17)</f>
        <v>89.718400000000003</v>
      </c>
      <c r="E18" s="77"/>
      <c r="F18" s="30"/>
      <c r="G18" s="30">
        <f>SUM(G15:G17)</f>
        <v>89.718400000000003</v>
      </c>
      <c r="H18" s="31">
        <f t="shared" si="2"/>
        <v>0</v>
      </c>
      <c r="I18" s="32">
        <f t="shared" si="0"/>
        <v>0</v>
      </c>
      <c r="J18" s="33">
        <f t="shared" ref="J18:J26" si="5">G18/$G$46</f>
        <v>0.4863513045921623</v>
      </c>
      <c r="K18" s="62">
        <f t="shared" si="4"/>
        <v>0.48468093545792174</v>
      </c>
    </row>
    <row r="19" spans="1:11" x14ac:dyDescent="0.2">
      <c r="A19" s="107" t="s">
        <v>38</v>
      </c>
      <c r="B19" s="73">
        <v>1</v>
      </c>
      <c r="C19" s="78">
        <f>VLOOKUP($B$3,'Data for Bill Impacts'!$A$6:$Y$18,7,0)</f>
        <v>37.79</v>
      </c>
      <c r="D19" s="22">
        <f>B19*C19</f>
        <v>37.79</v>
      </c>
      <c r="E19" s="73">
        <f t="shared" ref="E19:E41" si="6">B19</f>
        <v>1</v>
      </c>
      <c r="F19" s="78">
        <f>VLOOKUP($B$3,'Data for Bill Impacts'!$A$6:$Y$18,17,0)</f>
        <v>42.19</v>
      </c>
      <c r="G19" s="22">
        <f>E19*F19</f>
        <v>42.19</v>
      </c>
      <c r="H19" s="22">
        <f t="shared" si="2"/>
        <v>4.3999999999999986</v>
      </c>
      <c r="I19" s="23">
        <f>IF(ISERROR(H19/ABS(D19)),"N/A",(H19/ABS(D19)))</f>
        <v>0.1164329187615771</v>
      </c>
      <c r="J19" s="23">
        <f t="shared" si="5"/>
        <v>0.22870628032536611</v>
      </c>
      <c r="K19" s="108">
        <f t="shared" si="4"/>
        <v>0.22792079068473933</v>
      </c>
    </row>
    <row r="20" spans="1:11" hidden="1" x14ac:dyDescent="0.2">
      <c r="A20" s="107" t="s">
        <v>83</v>
      </c>
      <c r="B20" s="73">
        <v>1</v>
      </c>
      <c r="C20" s="78">
        <f>VLOOKUP($B$3,'Data for Bill Impacts'!$A$6:$Y$18,8,0)</f>
        <v>0</v>
      </c>
      <c r="D20" s="22">
        <f>B20*C20</f>
        <v>0</v>
      </c>
      <c r="E20" s="73">
        <f t="shared" si="6"/>
        <v>1</v>
      </c>
      <c r="F20" s="78">
        <v>0</v>
      </c>
      <c r="G20" s="22">
        <f t="shared" ref="G20:G22" si="7">E20*F20</f>
        <v>0</v>
      </c>
      <c r="H20" s="22">
        <f t="shared" si="2"/>
        <v>0</v>
      </c>
      <c r="I20" s="23">
        <f t="shared" ref="I20:I21" si="8">IF(ISERROR(H20/D20),0,(H20/D20))</f>
        <v>0</v>
      </c>
      <c r="J20" s="23">
        <f t="shared" si="5"/>
        <v>0</v>
      </c>
      <c r="K20" s="108">
        <f t="shared" si="4"/>
        <v>0</v>
      </c>
    </row>
    <row r="21" spans="1:11" hidden="1" x14ac:dyDescent="0.2">
      <c r="A21" s="107" t="s">
        <v>109</v>
      </c>
      <c r="B21" s="73">
        <v>1</v>
      </c>
      <c r="C21" s="78">
        <f>VLOOKUP($B$3,'Data for Bill Impacts'!$A$6:$Y$18,11,0)</f>
        <v>0</v>
      </c>
      <c r="D21" s="22">
        <f t="shared" ref="D21:D22" si="9">B21*C21</f>
        <v>0</v>
      </c>
      <c r="E21" s="73">
        <f t="shared" si="6"/>
        <v>1</v>
      </c>
      <c r="F21" s="121">
        <f>VLOOKUP($B$3,'Data for Bill Impacts'!$A$6:$Y$18,12,0)</f>
        <v>0</v>
      </c>
      <c r="G21" s="22">
        <f t="shared" si="7"/>
        <v>0</v>
      </c>
      <c r="H21" s="22">
        <f t="shared" si="2"/>
        <v>0</v>
      </c>
      <c r="I21" s="23">
        <f t="shared" si="8"/>
        <v>0</v>
      </c>
      <c r="J21" s="23">
        <f t="shared" si="5"/>
        <v>0</v>
      </c>
      <c r="K21" s="108">
        <f t="shared" si="4"/>
        <v>0</v>
      </c>
    </row>
    <row r="22" spans="1:11" x14ac:dyDescent="0.2">
      <c r="A22" s="107" t="s">
        <v>85</v>
      </c>
      <c r="B22" s="73">
        <v>1</v>
      </c>
      <c r="C22" s="121">
        <f>VLOOKUP($B$3,'Data for Bill Impacts'!$A$6:$Y$18,13,0)</f>
        <v>4.0000000000000001E-3</v>
      </c>
      <c r="D22" s="22">
        <f t="shared" si="9"/>
        <v>4.0000000000000001E-3</v>
      </c>
      <c r="E22" s="73">
        <f t="shared" si="6"/>
        <v>1</v>
      </c>
      <c r="F22" s="121">
        <f>VLOOKUP($B$3,'Data for Bill Impacts'!$A$6:$Y$18,22,0)</f>
        <v>4.0000000000000001E-3</v>
      </c>
      <c r="G22" s="22">
        <f t="shared" si="7"/>
        <v>4.0000000000000001E-3</v>
      </c>
      <c r="H22" s="22">
        <f t="shared" si="2"/>
        <v>0</v>
      </c>
      <c r="I22" s="23">
        <f t="shared" ref="I22:I51" si="10">IF(ISERROR(H22/ABS(D22)),"N/A",(H22/ABS(D22)))</f>
        <v>0</v>
      </c>
      <c r="J22" s="23">
        <f t="shared" si="5"/>
        <v>2.168345867033573E-5</v>
      </c>
      <c r="K22" s="108">
        <f t="shared" si="4"/>
        <v>2.1608987028655067E-5</v>
      </c>
    </row>
    <row r="23" spans="1:11" x14ac:dyDescent="0.2">
      <c r="A23" s="107" t="s">
        <v>39</v>
      </c>
      <c r="B23" s="73">
        <f>IF($B$9="kWh",$B$4,$B$5)</f>
        <v>920</v>
      </c>
      <c r="C23" s="78">
        <f>VLOOKUP($B$3,'Data for Bill Impacts'!$A$6:$Y$18,10,0)</f>
        <v>2.18E-2</v>
      </c>
      <c r="D23" s="22">
        <f>B23*C23</f>
        <v>20.056000000000001</v>
      </c>
      <c r="E23" s="73">
        <f t="shared" si="6"/>
        <v>920</v>
      </c>
      <c r="F23" s="78">
        <f>VLOOKUP($B$3,'Data for Bill Impacts'!$A$6:$Y$18,19,0)</f>
        <v>1.9300000000000001E-2</v>
      </c>
      <c r="G23" s="22">
        <f>E23*F23</f>
        <v>17.756</v>
      </c>
      <c r="H23" s="22">
        <f t="shared" si="2"/>
        <v>-2.3000000000000007</v>
      </c>
      <c r="I23" s="23">
        <f t="shared" si="10"/>
        <v>-0.11467889908256884</v>
      </c>
      <c r="J23" s="23">
        <f t="shared" si="5"/>
        <v>9.6252873037620312E-2</v>
      </c>
      <c r="K23" s="108">
        <f t="shared" si="4"/>
        <v>9.5922293420199853E-2</v>
      </c>
    </row>
    <row r="24" spans="1:11" x14ac:dyDescent="0.2">
      <c r="A24" s="107" t="s">
        <v>122</v>
      </c>
      <c r="B24" s="73">
        <f>IF($B$9="kWh",$B$4,$B$5)</f>
        <v>920</v>
      </c>
      <c r="C24" s="125">
        <f>VLOOKUP($B$3,'Data for Bill Impacts'!$A$6:$Y$18,14,0)</f>
        <v>2.0000000000000002E-5</v>
      </c>
      <c r="D24" s="22">
        <f>B24*C24</f>
        <v>1.8400000000000003E-2</v>
      </c>
      <c r="E24" s="73">
        <f>B24</f>
        <v>920</v>
      </c>
      <c r="F24" s="125">
        <f>VLOOKUP($B$3,'Data for Bill Impacts'!$A$6:$Y$18,23,0)</f>
        <v>2.0000000000000002E-5</v>
      </c>
      <c r="G24" s="22">
        <f>E24*F24</f>
        <v>1.8400000000000003E-2</v>
      </c>
      <c r="H24" s="22">
        <f>G24-D24</f>
        <v>0</v>
      </c>
      <c r="I24" s="23">
        <f t="shared" si="10"/>
        <v>0</v>
      </c>
      <c r="J24" s="23">
        <f t="shared" si="5"/>
        <v>9.9743909883544374E-5</v>
      </c>
      <c r="K24" s="108">
        <f t="shared" si="4"/>
        <v>9.9401340331813328E-5</v>
      </c>
    </row>
    <row r="25" spans="1:11" s="1" customFormat="1" x14ac:dyDescent="0.2">
      <c r="A25" s="110" t="s">
        <v>72</v>
      </c>
      <c r="B25" s="74"/>
      <c r="C25" s="35"/>
      <c r="D25" s="35">
        <f>SUM(D19:D24)</f>
        <v>57.868399999999994</v>
      </c>
      <c r="E25" s="73"/>
      <c r="F25" s="35"/>
      <c r="G25" s="35">
        <f>SUM(G19:G24)</f>
        <v>59.968399999999995</v>
      </c>
      <c r="H25" s="35">
        <f t="shared" si="2"/>
        <v>2.1000000000000014</v>
      </c>
      <c r="I25" s="36">
        <f t="shared" si="10"/>
        <v>3.628923557589292E-2</v>
      </c>
      <c r="J25" s="36">
        <f t="shared" si="5"/>
        <v>0.32508058073154028</v>
      </c>
      <c r="K25" s="111">
        <f t="shared" si="4"/>
        <v>0.32396409443229962</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 t="shared" si="5"/>
        <v>4.282483087391307E-3</v>
      </c>
      <c r="K26" s="108">
        <f t="shared" si="4"/>
        <v>4.2677749381593759E-3</v>
      </c>
    </row>
    <row r="27" spans="1:11" s="1" customFormat="1" x14ac:dyDescent="0.2">
      <c r="A27" s="119" t="s">
        <v>75</v>
      </c>
      <c r="B27" s="120">
        <f>B8-B4</f>
        <v>69.920000000000073</v>
      </c>
      <c r="C27" s="170">
        <f>IF(B4&gt;B7,C13,C12)</f>
        <v>0.106</v>
      </c>
      <c r="D27" s="22">
        <f>B27*C27</f>
        <v>7.4115200000000074</v>
      </c>
      <c r="E27" s="73">
        <f>B27</f>
        <v>69.920000000000073</v>
      </c>
      <c r="F27" s="170">
        <f>C27</f>
        <v>0.106</v>
      </c>
      <c r="G27" s="22">
        <f>E27*F27</f>
        <v>7.4115200000000074</v>
      </c>
      <c r="H27" s="22">
        <f t="shared" si="2"/>
        <v>0</v>
      </c>
      <c r="I27" s="23">
        <f t="shared" si="10"/>
        <v>0</v>
      </c>
      <c r="J27" s="23">
        <f t="shared" ref="J27:J46" si="11">G27/$G$46</f>
        <v>4.017684690109171E-2</v>
      </c>
      <c r="K27" s="108">
        <f t="shared" ref="K27:K41" si="12">G27/$G$51</f>
        <v>4.0038859885654442E-2</v>
      </c>
    </row>
    <row r="28" spans="1:11" s="1" customFormat="1" x14ac:dyDescent="0.2">
      <c r="A28" s="119" t="s">
        <v>74</v>
      </c>
      <c r="B28" s="120">
        <f>B8-B4</f>
        <v>69.920000000000073</v>
      </c>
      <c r="C28" s="170">
        <f>0.65*C15+0.17*C16+0.18*C17</f>
        <v>9.7519999999999996E-2</v>
      </c>
      <c r="D28" s="22">
        <f>B28*C28</f>
        <v>6.8185984000000071</v>
      </c>
      <c r="E28" s="73">
        <f>B28</f>
        <v>69.920000000000073</v>
      </c>
      <c r="F28" s="170">
        <f>C28</f>
        <v>9.7519999999999996E-2</v>
      </c>
      <c r="G28" s="22">
        <f>E28*F28</f>
        <v>6.8185984000000071</v>
      </c>
      <c r="H28" s="22">
        <f t="shared" si="2"/>
        <v>0</v>
      </c>
      <c r="I28" s="23">
        <f t="shared" si="10"/>
        <v>0</v>
      </c>
      <c r="J28" s="23">
        <f t="shared" si="11"/>
        <v>3.6962699149004373E-2</v>
      </c>
      <c r="K28" s="108">
        <f t="shared" si="12"/>
        <v>3.683575109480209E-2</v>
      </c>
    </row>
    <row r="29" spans="1:11" s="1" customFormat="1" x14ac:dyDescent="0.2">
      <c r="A29" s="110" t="s">
        <v>78</v>
      </c>
      <c r="B29" s="74"/>
      <c r="C29" s="35"/>
      <c r="D29" s="35">
        <f>SUM(D25,D26:D27)</f>
        <v>66.069919999999996</v>
      </c>
      <c r="E29" s="73"/>
      <c r="F29" s="35"/>
      <c r="G29" s="35">
        <f>SUM(G25,G26:G27)</f>
        <v>68.169920000000005</v>
      </c>
      <c r="H29" s="35">
        <f t="shared" si="2"/>
        <v>2.1000000000000085</v>
      </c>
      <c r="I29" s="36">
        <f t="shared" si="10"/>
        <v>3.1784509501449502E-2</v>
      </c>
      <c r="J29" s="36">
        <f t="shared" si="11"/>
        <v>0.36953991072002329</v>
      </c>
      <c r="K29" s="111">
        <f t="shared" si="12"/>
        <v>0.36827072925611348</v>
      </c>
    </row>
    <row r="30" spans="1:11" s="1" customFormat="1" x14ac:dyDescent="0.2">
      <c r="A30" s="110" t="s">
        <v>77</v>
      </c>
      <c r="B30" s="74"/>
      <c r="C30" s="35"/>
      <c r="D30" s="35">
        <f>SUM(D25,D26,D28)</f>
        <v>65.476998399999999</v>
      </c>
      <c r="E30" s="73"/>
      <c r="F30" s="35"/>
      <c r="G30" s="35">
        <f>SUM(G25,G26,G28)</f>
        <v>67.576998400000008</v>
      </c>
      <c r="H30" s="35">
        <f t="shared" si="2"/>
        <v>2.1000000000000085</v>
      </c>
      <c r="I30" s="36">
        <f t="shared" si="10"/>
        <v>3.2072331525814242E-2</v>
      </c>
      <c r="J30" s="36">
        <f t="shared" si="11"/>
        <v>0.36632576296793601</v>
      </c>
      <c r="K30" s="111">
        <f t="shared" si="12"/>
        <v>0.36506762046526114</v>
      </c>
    </row>
    <row r="31" spans="1:11" x14ac:dyDescent="0.2">
      <c r="A31" s="107" t="s">
        <v>40</v>
      </c>
      <c r="B31" s="73">
        <f>B8</f>
        <v>989.92000000000007</v>
      </c>
      <c r="C31" s="125">
        <f>VLOOKUP($B$3,'Data for Bill Impacts'!$A$6:$Y$18,15,0)</f>
        <v>7.2069999999999999E-3</v>
      </c>
      <c r="D31" s="22">
        <f>B31*C31</f>
        <v>7.1343534400000008</v>
      </c>
      <c r="E31" s="73">
        <f t="shared" si="6"/>
        <v>989.92000000000007</v>
      </c>
      <c r="F31" s="125">
        <f>VLOOKUP($B$3,'Data for Bill Impacts'!$A$6:$Y$18,24,0)</f>
        <v>7.2069999999999999E-3</v>
      </c>
      <c r="G31" s="22">
        <f>E31*F31</f>
        <v>7.1343534400000008</v>
      </c>
      <c r="H31" s="22">
        <f t="shared" si="2"/>
        <v>0</v>
      </c>
      <c r="I31" s="23">
        <f t="shared" si="10"/>
        <v>0</v>
      </c>
      <c r="J31" s="23">
        <f t="shared" si="11"/>
        <v>3.8674364488951889E-2</v>
      </c>
      <c r="K31" s="108">
        <f t="shared" si="12"/>
        <v>3.8541537735700168E-2</v>
      </c>
    </row>
    <row r="32" spans="1:11" x14ac:dyDescent="0.2">
      <c r="A32" s="107" t="s">
        <v>41</v>
      </c>
      <c r="B32" s="73">
        <f>B8</f>
        <v>989.92000000000007</v>
      </c>
      <c r="C32" s="125">
        <f>VLOOKUP($B$3,'Data for Bill Impacts'!$A$6:$Y$18,16,0)</f>
        <v>6.0319999999999992E-3</v>
      </c>
      <c r="D32" s="22">
        <f>B32*C32</f>
        <v>5.9711974399999992</v>
      </c>
      <c r="E32" s="73">
        <f t="shared" si="6"/>
        <v>989.92000000000007</v>
      </c>
      <c r="F32" s="125">
        <f>VLOOKUP($B$3,'Data for Bill Impacts'!$A$6:$Y$18,25,0)</f>
        <v>6.0319999999999992E-3</v>
      </c>
      <c r="G32" s="22">
        <f>E32*F32</f>
        <v>5.9711974399999992</v>
      </c>
      <c r="H32" s="22">
        <f t="shared" si="2"/>
        <v>0</v>
      </c>
      <c r="I32" s="23">
        <f t="shared" si="10"/>
        <v>0</v>
      </c>
      <c r="J32" s="23">
        <f t="shared" si="11"/>
        <v>3.2369053225663622E-2</v>
      </c>
      <c r="K32" s="108">
        <f t="shared" si="12"/>
        <v>3.2257882006624584E-2</v>
      </c>
    </row>
    <row r="33" spans="1:11" s="1" customFormat="1" x14ac:dyDescent="0.2">
      <c r="A33" s="110" t="s">
        <v>76</v>
      </c>
      <c r="B33" s="74"/>
      <c r="C33" s="35"/>
      <c r="D33" s="35">
        <f>SUM(D31:D32)</f>
        <v>13.105550879999999</v>
      </c>
      <c r="E33" s="73"/>
      <c r="F33" s="35"/>
      <c r="G33" s="35">
        <f>SUM(G31:G32)</f>
        <v>13.105550879999999</v>
      </c>
      <c r="H33" s="35">
        <f t="shared" si="2"/>
        <v>0</v>
      </c>
      <c r="I33" s="36">
        <f t="shared" si="10"/>
        <v>0</v>
      </c>
      <c r="J33" s="36">
        <f t="shared" si="11"/>
        <v>7.1043417714615503E-2</v>
      </c>
      <c r="K33" s="111">
        <f t="shared" si="12"/>
        <v>7.0799419742324746E-2</v>
      </c>
    </row>
    <row r="34" spans="1:11" s="1" customFormat="1" x14ac:dyDescent="0.2">
      <c r="A34" s="110" t="s">
        <v>91</v>
      </c>
      <c r="B34" s="74"/>
      <c r="C34" s="35"/>
      <c r="D34" s="35">
        <f>D29+D33</f>
        <v>79.175470879999992</v>
      </c>
      <c r="E34" s="73"/>
      <c r="F34" s="35"/>
      <c r="G34" s="35">
        <f>G29+G33</f>
        <v>81.27547088</v>
      </c>
      <c r="H34" s="35">
        <f t="shared" si="2"/>
        <v>2.1000000000000085</v>
      </c>
      <c r="I34" s="36">
        <f t="shared" si="10"/>
        <v>2.6523366096335727E-2</v>
      </c>
      <c r="J34" s="36">
        <f t="shared" si="11"/>
        <v>0.44058332843463877</v>
      </c>
      <c r="K34" s="111">
        <f t="shared" si="12"/>
        <v>0.43907014899843821</v>
      </c>
    </row>
    <row r="35" spans="1:11" s="1" customFormat="1" x14ac:dyDescent="0.2">
      <c r="A35" s="110" t="s">
        <v>92</v>
      </c>
      <c r="B35" s="74"/>
      <c r="C35" s="35"/>
      <c r="D35" s="35">
        <f>D30+D33</f>
        <v>78.582549279999995</v>
      </c>
      <c r="E35" s="73"/>
      <c r="F35" s="35"/>
      <c r="G35" s="35">
        <f>G30+G33</f>
        <v>80.682549280000003</v>
      </c>
      <c r="H35" s="35">
        <f t="shared" si="2"/>
        <v>2.1000000000000085</v>
      </c>
      <c r="I35" s="36">
        <f t="shared" si="10"/>
        <v>2.6723490383563805E-2</v>
      </c>
      <c r="J35" s="36">
        <f t="shared" si="11"/>
        <v>0.43736918068255148</v>
      </c>
      <c r="K35" s="111">
        <f t="shared" si="12"/>
        <v>0.43586704020758588</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2"/>
        <v>0</v>
      </c>
      <c r="I36" s="23">
        <f t="shared" si="10"/>
        <v>0</v>
      </c>
      <c r="J36" s="23">
        <f t="shared" si="11"/>
        <v>1.9318400466244872E-2</v>
      </c>
      <c r="K36" s="108">
        <f t="shared" si="12"/>
        <v>1.9252051595465603E-2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10"/>
        <v>0</v>
      </c>
      <c r="J37" s="23">
        <f t="shared" si="11"/>
        <v>1.1269066938642843E-2</v>
      </c>
      <c r="K37" s="108">
        <f t="shared" si="12"/>
        <v>1.123036343068827E-2</v>
      </c>
    </row>
    <row r="38" spans="1:11" x14ac:dyDescent="0.2">
      <c r="A38" s="107" t="s">
        <v>96</v>
      </c>
      <c r="B38" s="73">
        <f>B8</f>
        <v>989.92000000000007</v>
      </c>
      <c r="C38" s="34">
        <v>0</v>
      </c>
      <c r="D38" s="22">
        <f>B38*C38</f>
        <v>0</v>
      </c>
      <c r="E38" s="73">
        <f t="shared" si="6"/>
        <v>989.92000000000007</v>
      </c>
      <c r="F38" s="34">
        <v>0</v>
      </c>
      <c r="G38" s="22">
        <f>E38*F38</f>
        <v>0</v>
      </c>
      <c r="H38" s="22">
        <f>G38-D38</f>
        <v>0</v>
      </c>
      <c r="I38" s="23" t="str">
        <f t="shared" si="10"/>
        <v>N/A</v>
      </c>
      <c r="J38" s="23">
        <f t="shared" si="11"/>
        <v>0</v>
      </c>
      <c r="K38" s="108">
        <f t="shared" si="12"/>
        <v>0</v>
      </c>
    </row>
    <row r="39" spans="1:11" x14ac:dyDescent="0.2">
      <c r="A39" s="107" t="s">
        <v>44</v>
      </c>
      <c r="B39" s="73">
        <v>1</v>
      </c>
      <c r="C39" s="22">
        <v>0.25</v>
      </c>
      <c r="D39" s="22">
        <f>B39*C39</f>
        <v>0.25</v>
      </c>
      <c r="E39" s="73">
        <f t="shared" si="6"/>
        <v>1</v>
      </c>
      <c r="F39" s="22">
        <f>C39</f>
        <v>0.25</v>
      </c>
      <c r="G39" s="22">
        <f>E39*F39</f>
        <v>0.25</v>
      </c>
      <c r="H39" s="22">
        <f t="shared" si="2"/>
        <v>0</v>
      </c>
      <c r="I39" s="23">
        <f t="shared" si="10"/>
        <v>0</v>
      </c>
      <c r="J39" s="23">
        <f t="shared" si="11"/>
        <v>1.3552161668959832E-3</v>
      </c>
      <c r="K39" s="108">
        <f t="shared" si="12"/>
        <v>1.3505616892909417E-3</v>
      </c>
    </row>
    <row r="40" spans="1:11" s="1" customFormat="1" x14ac:dyDescent="0.2">
      <c r="A40" s="110" t="s">
        <v>45</v>
      </c>
      <c r="B40" s="74"/>
      <c r="C40" s="35"/>
      <c r="D40" s="35">
        <f>SUM(D36:D39)</f>
        <v>5.8925440000000009</v>
      </c>
      <c r="E40" s="73"/>
      <c r="F40" s="35"/>
      <c r="G40" s="35">
        <f>SUM(G36:G39)</f>
        <v>5.8925440000000009</v>
      </c>
      <c r="H40" s="35">
        <f t="shared" si="2"/>
        <v>0</v>
      </c>
      <c r="I40" s="36">
        <f t="shared" si="10"/>
        <v>0</v>
      </c>
      <c r="J40" s="36">
        <f t="shared" si="11"/>
        <v>3.1942683571783703E-2</v>
      </c>
      <c r="K40" s="111">
        <f t="shared" si="12"/>
        <v>3.183297671544482E-2</v>
      </c>
    </row>
    <row r="41" spans="1:11" s="1" customFormat="1" ht="13.5" thickBot="1" x14ac:dyDescent="0.25">
      <c r="A41" s="112" t="s">
        <v>46</v>
      </c>
      <c r="B41" s="113">
        <f>B4</f>
        <v>920</v>
      </c>
      <c r="C41" s="114">
        <v>0</v>
      </c>
      <c r="D41" s="115">
        <f>B41*C41</f>
        <v>0</v>
      </c>
      <c r="E41" s="116">
        <f t="shared" si="6"/>
        <v>920</v>
      </c>
      <c r="F41" s="114">
        <f>C41</f>
        <v>0</v>
      </c>
      <c r="G41" s="115">
        <f>E41*F41</f>
        <v>0</v>
      </c>
      <c r="H41" s="115">
        <f t="shared" si="2"/>
        <v>0</v>
      </c>
      <c r="I41" s="117" t="str">
        <f t="shared" si="10"/>
        <v>N/A</v>
      </c>
      <c r="J41" s="117">
        <f t="shared" si="11"/>
        <v>0</v>
      </c>
      <c r="K41" s="118">
        <f t="shared" si="12"/>
        <v>0</v>
      </c>
    </row>
    <row r="42" spans="1:11" s="1" customFormat="1" x14ac:dyDescent="0.2">
      <c r="A42" s="37" t="s">
        <v>101</v>
      </c>
      <c r="B42" s="38"/>
      <c r="C42" s="39"/>
      <c r="D42" s="39">
        <f>SUM(D14,D25,D26,D27,D33,D40,D41)</f>
        <v>173.58801488</v>
      </c>
      <c r="E42" s="38"/>
      <c r="F42" s="39"/>
      <c r="G42" s="39">
        <f>SUM(G14,G25,G26,G27,G33,G40,G41)</f>
        <v>175.68801488000003</v>
      </c>
      <c r="H42" s="39">
        <f t="shared" si="2"/>
        <v>2.1000000000000227</v>
      </c>
      <c r="I42" s="40">
        <f t="shared" si="10"/>
        <v>1.2097609396891461E-2</v>
      </c>
      <c r="J42" s="40">
        <f t="shared" si="11"/>
        <v>0.95238095238095233</v>
      </c>
      <c r="K42" s="41"/>
    </row>
    <row r="43" spans="1:11" x14ac:dyDescent="0.2">
      <c r="A43" s="153" t="s">
        <v>102</v>
      </c>
      <c r="B43" s="43"/>
      <c r="C43" s="26">
        <v>0.13</v>
      </c>
      <c r="D43" s="26">
        <f>D42*C43</f>
        <v>22.5664419344</v>
      </c>
      <c r="E43" s="26"/>
      <c r="F43" s="26">
        <f>C43</f>
        <v>0.13</v>
      </c>
      <c r="G43" s="26">
        <f>G42*F43</f>
        <v>22.839441934400003</v>
      </c>
      <c r="H43" s="26">
        <f t="shared" si="2"/>
        <v>0.27300000000000324</v>
      </c>
      <c r="I43" s="44">
        <f t="shared" si="10"/>
        <v>1.2097609396891473E-2</v>
      </c>
      <c r="J43" s="44">
        <f t="shared" si="11"/>
        <v>0.1238095238095238</v>
      </c>
      <c r="K43" s="45"/>
    </row>
    <row r="44" spans="1:11" s="1" customFormat="1" x14ac:dyDescent="0.2">
      <c r="A44" s="46" t="s">
        <v>103</v>
      </c>
      <c r="B44" s="24"/>
      <c r="C44" s="25"/>
      <c r="D44" s="25">
        <f>SUM(D42:D43)</f>
        <v>196.15445681439999</v>
      </c>
      <c r="E44" s="25"/>
      <c r="F44" s="25"/>
      <c r="G44" s="25">
        <f>SUM(G42:G43)</f>
        <v>198.52745681440004</v>
      </c>
      <c r="H44" s="25">
        <f t="shared" si="2"/>
        <v>2.3730000000000473</v>
      </c>
      <c r="I44" s="27">
        <f t="shared" si="10"/>
        <v>1.2097609396891572E-2</v>
      </c>
      <c r="J44" s="27">
        <f t="shared" si="11"/>
        <v>1.0761904761904761</v>
      </c>
      <c r="K44" s="47"/>
    </row>
    <row r="45" spans="1:11" x14ac:dyDescent="0.2">
      <c r="A45" s="42" t="s">
        <v>104</v>
      </c>
      <c r="B45" s="43"/>
      <c r="C45" s="26">
        <v>-0.08</v>
      </c>
      <c r="D45" s="26">
        <f>D42*C45</f>
        <v>-13.8870411904</v>
      </c>
      <c r="E45" s="26"/>
      <c r="F45" s="26">
        <f>C45</f>
        <v>-0.08</v>
      </c>
      <c r="G45" s="26">
        <f>G42*F45</f>
        <v>-14.055041190400003</v>
      </c>
      <c r="H45" s="26">
        <f t="shared" si="2"/>
        <v>-0.16800000000000281</v>
      </c>
      <c r="I45" s="44">
        <f t="shared" si="10"/>
        <v>-1.2097609396891532E-2</v>
      </c>
      <c r="J45" s="44">
        <f t="shared" si="11"/>
        <v>-7.6190476190476183E-2</v>
      </c>
      <c r="K45" s="45"/>
    </row>
    <row r="46" spans="1:11" s="1" customFormat="1" ht="13.5" thickBot="1" x14ac:dyDescent="0.25">
      <c r="A46" s="48" t="s">
        <v>105</v>
      </c>
      <c r="B46" s="49"/>
      <c r="C46" s="50"/>
      <c r="D46" s="50">
        <f>SUM(D44:D45)</f>
        <v>182.26741562399999</v>
      </c>
      <c r="E46" s="50"/>
      <c r="F46" s="50"/>
      <c r="G46" s="50">
        <f>SUM(G44:G45)</f>
        <v>184.47241562400004</v>
      </c>
      <c r="H46" s="50">
        <f t="shared" si="2"/>
        <v>2.2050000000000409</v>
      </c>
      <c r="I46" s="51">
        <f t="shared" si="10"/>
        <v>1.2097609396891555E-2</v>
      </c>
      <c r="J46" s="51">
        <f t="shared" si="11"/>
        <v>1</v>
      </c>
      <c r="K46" s="52"/>
    </row>
    <row r="47" spans="1:11" x14ac:dyDescent="0.2">
      <c r="A47" s="53" t="s">
        <v>106</v>
      </c>
      <c r="B47" s="54"/>
      <c r="C47" s="55"/>
      <c r="D47" s="55">
        <f>SUM(D18,D25,D26,D28,D33,D40,D41)</f>
        <v>174.19349327999998</v>
      </c>
      <c r="E47" s="55"/>
      <c r="F47" s="55"/>
      <c r="G47" s="55">
        <f>SUM(G18,G25,G26,G28,G33,G40,G41)</f>
        <v>176.29349328000001</v>
      </c>
      <c r="H47" s="55">
        <f>G47-D47</f>
        <v>2.1000000000000227</v>
      </c>
      <c r="I47" s="56">
        <f t="shared" si="10"/>
        <v>1.205555936939887E-2</v>
      </c>
      <c r="J47" s="56"/>
      <c r="K47" s="57">
        <f>G47/$G$51</f>
        <v>0.95238095238095244</v>
      </c>
    </row>
    <row r="48" spans="1:11" x14ac:dyDescent="0.2">
      <c r="A48" s="58" t="s">
        <v>102</v>
      </c>
      <c r="B48" s="59"/>
      <c r="C48" s="31">
        <v>0.13</v>
      </c>
      <c r="D48" s="31">
        <f>D47*C48</f>
        <v>22.645154126399998</v>
      </c>
      <c r="E48" s="31"/>
      <c r="F48" s="31">
        <f>C48</f>
        <v>0.13</v>
      </c>
      <c r="G48" s="31">
        <f>G47*F48</f>
        <v>22.918154126400001</v>
      </c>
      <c r="H48" s="31">
        <f>G48-D48</f>
        <v>0.27300000000000324</v>
      </c>
      <c r="I48" s="32">
        <f t="shared" si="10"/>
        <v>1.2055559369398882E-2</v>
      </c>
      <c r="J48" s="32"/>
      <c r="K48" s="60">
        <f>G48/$G$51</f>
        <v>0.12380952380952381</v>
      </c>
    </row>
    <row r="49" spans="1:11" x14ac:dyDescent="0.2">
      <c r="A49" s="61" t="s">
        <v>107</v>
      </c>
      <c r="B49" s="29"/>
      <c r="C49" s="30"/>
      <c r="D49" s="30">
        <f>SUM(D47:D48)</f>
        <v>196.83864740639999</v>
      </c>
      <c r="E49" s="30"/>
      <c r="F49" s="30"/>
      <c r="G49" s="30">
        <f>SUM(G47:G48)</f>
        <v>199.2116474064</v>
      </c>
      <c r="H49" s="30">
        <f>G49-D49</f>
        <v>2.3730000000000189</v>
      </c>
      <c r="I49" s="33">
        <f t="shared" si="10"/>
        <v>1.2055559369398835E-2</v>
      </c>
      <c r="J49" s="33"/>
      <c r="K49" s="62">
        <f>G49/$G$51</f>
        <v>1.0761904761904761</v>
      </c>
    </row>
    <row r="50" spans="1:11" x14ac:dyDescent="0.2">
      <c r="A50" s="58" t="s">
        <v>104</v>
      </c>
      <c r="B50" s="59"/>
      <c r="C50" s="31">
        <v>-0.08</v>
      </c>
      <c r="D50" s="31">
        <f>D47*C50</f>
        <v>-13.935479462399998</v>
      </c>
      <c r="E50" s="31"/>
      <c r="F50" s="31">
        <f>C50</f>
        <v>-0.08</v>
      </c>
      <c r="G50" s="31">
        <f>G47*F50</f>
        <v>-14.103479462400001</v>
      </c>
      <c r="H50" s="31">
        <f>G50-D50</f>
        <v>-0.16800000000000281</v>
      </c>
      <c r="I50" s="32">
        <f t="shared" si="10"/>
        <v>-1.2055559369398941E-2</v>
      </c>
      <c r="J50" s="32"/>
      <c r="K50" s="60">
        <f>G50/$G$51</f>
        <v>-7.6190476190476197E-2</v>
      </c>
    </row>
    <row r="51" spans="1:11" ht="13.5" thickBot="1" x14ac:dyDescent="0.25">
      <c r="A51" s="63" t="s">
        <v>116</v>
      </c>
      <c r="B51" s="64"/>
      <c r="C51" s="65"/>
      <c r="D51" s="65">
        <f>SUM(D49:D50)</f>
        <v>182.90316794399999</v>
      </c>
      <c r="E51" s="65"/>
      <c r="F51" s="65"/>
      <c r="G51" s="65">
        <f>SUM(G49:G50)</f>
        <v>185.108167944</v>
      </c>
      <c r="H51" s="65">
        <f>G51-D51</f>
        <v>2.2050000000000125</v>
      </c>
      <c r="I51" s="66">
        <f t="shared" si="10"/>
        <v>1.2055559369398807E-2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paperSize="266" scale="70" orientation="landscape" r:id="rId1"/>
  <headerFooter>
    <oddHeader xml:space="preserve">&amp;RUpdated: 2017-06-07
EB-2017-0049
Exhibit H1-4-1
Attachment 2
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chedule xmlns="c177ebce-ba5d-4f17-87d0-6a1c56acc62b">1</Schedule>
    <Dir_Approved xmlns="9fda2e78-8e3f-49d4-9e97-25a6337a81ff">true</Dir_Approved>
    <Shell_Created xmlns="9fda2e78-8e3f-49d4-9e97-25a6337a81ff">false</Shell_Created>
    <Tab xmlns="c177ebce-ba5d-4f17-87d0-6a1c56acc62b">4</Tab>
    <Primary_Author xmlns="9fda2e78-8e3f-49d4-9e97-25a6337a81ff">
      <UserInfo>
        <DisplayName/>
        <AccountId xsi:nil="true"/>
        <AccountType/>
      </UserInfo>
    </Primary_Author>
    <Case_x0020_Number_x002f_Docket_x0020_Number xmlns="f9175001-c430-4d57-adde-c1c10539e919">EB-2017-0049</Case_x0020_Number_x002f_Docket_x0020_Number>
    <Exhibit xmlns="c177ebce-ba5d-4f17-87d0-6a1c56acc62b">H1</Exhibit>
    <BP_x0020_Update xmlns="6cd78a55-9298-4f12-88a0-08be2e2ac8f0">Yes</BP_x0020_Update>
    <Filing_x0020_Status xmlns="ea909525-6dd5-47d7-9eed-71e77e5cedc6">Blue Page Formatting Complete</Filing_x0020_Status>
    <Witness xmlns="6cd78a55-9298-4f12-88a0-08be2e2ac8f0" xsi:nil="true"/>
    <Issue_x0020_Date xmlns="f9175001-c430-4d57-adde-c1c10539e919">2017-06-07T04:00:00+00:00</Issue_x0020_Date>
    <RA_x0020_Contact xmlns="31a38067-a042-4e0e-9037-517587b10700">Stephen Vetsis</RA_x0020_Contact>
    <Additional_Reviewers xmlns="9fda2e78-8e3f-49d4-9e97-25a6337a81ff">
      <UserInfo>
        <DisplayName/>
        <AccountId xsi:nil="true"/>
        <AccountType/>
      </UserInfo>
    </Additional_Reviewers>
    <Dir_Contact xmlns="9fda2e78-8e3f-49d4-9e97-25a6337a81ff">Karen Taylor</Dir_Contact>
    <Hydro_x0020_One_x0020_Data_x0020_Classification xmlns="f0af1d65-dfd0-4b99-b523-def3a954563f">Internal Use (Only Internal information is not for release to the public)</Hydro_x0020_One_x0020_Data_x0020_Classification>
    <Legal xmlns="6cd78a55-9298-4f12-88a0-08be2e2ac8f0">false</Legal>
    <SR_Approved xmlns="9fda2e78-8e3f-49d4-9e97-25a6337a81ff">false</SR_Approved>
    <Strategic_x003f_ xmlns="9fda2e78-8e3f-49d4-9e97-25a6337a81ff">false</Strategic_x003f_>
    <RA_Approved xmlns="9fda2e78-8e3f-49d4-9e97-25a6337a81ff">false</RA_Approved>
    <Draft_Ready xmlns="9fda2e78-8e3f-49d4-9e97-25a6337a81ff">false</Draft_Read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4.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C89D6F-BFDC-43A3-96BB-EEC0C6E607D0}">
  <ds:schemaRefs>
    <ds:schemaRef ds:uri="http://www.w3.org/XML/1998/namespace"/>
    <ds:schemaRef ds:uri="http://schemas.openxmlformats.org/package/2006/metadata/core-properties"/>
    <ds:schemaRef ds:uri="f0af1d65-dfd0-4b99-b523-def3a954563f"/>
    <ds:schemaRef ds:uri="f9175001-c430-4d57-adde-c1c10539e919"/>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31a38067-a042-4e0e-9037-517587b10700"/>
    <ds:schemaRef ds:uri="6cd78a55-9298-4f12-88a0-08be2e2ac8f0"/>
    <ds:schemaRef ds:uri="ea909525-6dd5-47d7-9eed-71e77e5cedc6"/>
    <ds:schemaRef ds:uri="9fda2e78-8e3f-49d4-9e97-25a6337a81ff"/>
    <ds:schemaRef ds:uri="c177ebce-ba5d-4f17-87d0-6a1c56acc62b"/>
  </ds:schemaRefs>
</ds:datastoreItem>
</file>

<file path=customXml/itemProps2.xml><?xml version="1.0" encoding="utf-8"?>
<ds:datastoreItem xmlns:ds="http://schemas.openxmlformats.org/officeDocument/2006/customXml" ds:itemID="{1813D650-A423-4ABF-A41F-49AE675A6BDA}">
  <ds:schemaRefs>
    <ds:schemaRef ds:uri="http://schemas.microsoft.com/sharepoint/v3/contenttype/forms"/>
  </ds:schemaRefs>
</ds:datastoreItem>
</file>

<file path=customXml/itemProps3.xml><?xml version="1.0" encoding="utf-8"?>
<ds:datastoreItem xmlns:ds="http://schemas.openxmlformats.org/officeDocument/2006/customXml" ds:itemID="{E0B40B4C-9F98-4CB3-B3C1-7B47B7389519}">
  <ds:schemaRefs>
    <ds:schemaRef ds:uri="http://schemas.microsoft.com/office/2006/metadata/customXsn"/>
  </ds:schemaRefs>
</ds:datastoreItem>
</file>

<file path=customXml/itemProps4.xml><?xml version="1.0" encoding="utf-8"?>
<ds:datastoreItem xmlns:ds="http://schemas.openxmlformats.org/officeDocument/2006/customXml" ds:itemID="{E3F07DED-C7FB-4706-8A69-D2C33DB87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2</vt:i4>
      </vt:variant>
    </vt:vector>
  </HeadingPairs>
  <TitlesOfParts>
    <vt:vector size="48" baseType="lpstr">
      <vt:lpstr>Data for Bill Impacts</vt:lpstr>
      <vt:lpstr>Bill Impact Summary</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BI_DGen_Avg!Print_Area</vt:lpstr>
      <vt:lpstr>'Bill Impact Summary'!Print_Area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 Bill Impacts 2019</dc:title>
  <dc:creator>SHETH Nikita</dc:creator>
  <cp:lastModifiedBy>DENNENY Kelly</cp:lastModifiedBy>
  <cp:lastPrinted>2017-06-06T15:47:06Z</cp:lastPrinted>
  <dcterms:created xsi:type="dcterms:W3CDTF">2013-09-20T18:49:19Z</dcterms:created>
  <dcterms:modified xsi:type="dcterms:W3CDTF">2017-06-06T15:47:24Z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D_Category">
    <vt:lpwstr>Other</vt:lpwstr>
  </property>
  <property fmtid="{D5CDD505-2E9C-101B-9397-08002B2CF9AE}" pid="3" name="RA2_Approved">
    <vt:bool>false</vt:bool>
  </property>
  <property fmtid="{D5CDD505-2E9C-101B-9397-08002B2CF9AE}" pid="4" name="ContentTypeId">
    <vt:lpwstr>0x0101006C4D7F394B56A844BBAB815FF7A6EFB5</vt:lpwstr>
  </property>
  <property fmtid="{D5CDD505-2E9C-101B-9397-08002B2CF9AE}" pid="5" name="AM_Approved">
    <vt:bool>false</vt:bool>
  </property>
  <property fmtid="{D5CDD505-2E9C-101B-9397-08002B2CF9AE}" pid="6" name="Document Type">
    <vt:lpwstr>Prefiled evidence</vt:lpwstr>
  </property>
  <property fmtid="{D5CDD505-2E9C-101B-9397-08002B2CF9AE}" pid="7" name="Comments">
    <vt:lpwstr/>
  </property>
</Properties>
</file>