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6065" yWindow="4725" windowWidth="7950" windowHeight="4755" tabRatio="942" firstSheet="31" activeTab="1"/>
  </bookViews>
  <sheets>
    <sheet name="Data for Bill Impacts" sheetId="3" state="hidden" r:id="rId1"/>
    <sheet name="Bill Impact Summary" sheetId="7" r:id="rId2"/>
    <sheet name="BI_UR_Low" sheetId="4" r:id="rId3"/>
    <sheet name="BI_UR_Typical" sheetId="46" r:id="rId4"/>
    <sheet name="BI_UR_Avg" sheetId="112" r:id="rId5"/>
    <sheet name="BI_UR_High" sheetId="47" r:id="rId6"/>
    <sheet name="BI_R1_Low" sheetId="48" r:id="rId7"/>
    <sheet name="BI_R1_Typical" sheetId="49" r:id="rId8"/>
    <sheet name="BI_R1_Avg" sheetId="113" r:id="rId9"/>
    <sheet name="BI_R1_High" sheetId="50" r:id="rId10"/>
    <sheet name="BI_R2_Low" sheetId="51" r:id="rId11"/>
    <sheet name="BI_R2_Typical" sheetId="52" r:id="rId12"/>
    <sheet name="BI_R2_Avg" sheetId="114" r:id="rId13"/>
    <sheet name="BI_R2_High" sheetId="53" r:id="rId14"/>
    <sheet name="BI_Seas_Low" sheetId="54" r:id="rId15"/>
    <sheet name="BI_Seas_Avg" sheetId="115" r:id="rId16"/>
    <sheet name="BI_Seas_High" sheetId="56" r:id="rId17"/>
    <sheet name="BI_UGe_Low" sheetId="60" r:id="rId18"/>
    <sheet name="BI_UGe_Typical" sheetId="61" r:id="rId19"/>
    <sheet name="BI_UGe_Avg" sheetId="116" r:id="rId20"/>
    <sheet name="BI_UGe_High" sheetId="62" r:id="rId21"/>
    <sheet name="BI_GSe_Low" sheetId="57" r:id="rId22"/>
    <sheet name="BI_GSe_Typical" sheetId="58" r:id="rId23"/>
    <sheet name="BI_GSe_Avg" sheetId="117" r:id="rId24"/>
    <sheet name="BI_GSe_High" sheetId="59" r:id="rId25"/>
    <sheet name="BI_UGd_Low" sheetId="73" r:id="rId26"/>
    <sheet name="BI_UGd_Avg" sheetId="74" r:id="rId27"/>
    <sheet name="BI_UGd_High" sheetId="75" r:id="rId28"/>
    <sheet name="BI_GSd_Low" sheetId="5" r:id="rId29"/>
    <sheet name="BI_GSd_Avg" sheetId="71" r:id="rId30"/>
    <sheet name="BI_GSd_High" sheetId="72" r:id="rId31"/>
    <sheet name="BI_DGen_Low" sheetId="76" r:id="rId32"/>
    <sheet name="BI_DGen_Avg" sheetId="77" r:id="rId33"/>
    <sheet name="BI_DGen_High" sheetId="78" r:id="rId34"/>
    <sheet name="BI_ST_Low" sheetId="79" r:id="rId35"/>
    <sheet name="BI_ST_Avg" sheetId="80" r:id="rId36"/>
    <sheet name="BI_ST_High" sheetId="81" r:id="rId37"/>
    <sheet name="BI_USL_Low" sheetId="68" r:id="rId38"/>
    <sheet name="BI_USL_Avg" sheetId="69" r:id="rId39"/>
    <sheet name="BI_USL_High" sheetId="70" r:id="rId40"/>
    <sheet name="BI_SenLgt_Low" sheetId="65" r:id="rId41"/>
    <sheet name="BI_SenLgt_Avg" sheetId="66" r:id="rId42"/>
    <sheet name="BI_SenLgt_High" sheetId="67" r:id="rId43"/>
    <sheet name="BI_StLgt_Low" sheetId="25" r:id="rId44"/>
    <sheet name="BI_StLgt_Avg" sheetId="63" r:id="rId45"/>
    <sheet name="BI_StLgt_High" sheetId="64" r:id="rId46"/>
  </sheets>
  <definedNames>
    <definedName name="_xlnm.Print_Area" localSheetId="32">BI_DGen_Avg!$A$1:$J$38</definedName>
    <definedName name="_xlnm.Print_Area" localSheetId="1">'Bill Impact Summary'!$A$1:$I$45</definedName>
  </definedNames>
  <calcPr calcId="145621"/>
</workbook>
</file>

<file path=xl/calcChain.xml><?xml version="1.0" encoding="utf-8"?>
<calcChain xmlns="http://schemas.openxmlformats.org/spreadsheetml/2006/main">
  <c r="F36" i="64" l="1"/>
  <c r="F34" i="64"/>
  <c r="I32" i="64"/>
  <c r="H32" i="64"/>
  <c r="G32" i="64"/>
  <c r="F32" i="64"/>
  <c r="E32" i="64"/>
  <c r="D32" i="64"/>
  <c r="B32" i="64"/>
  <c r="I30" i="64"/>
  <c r="H30" i="64"/>
  <c r="G30" i="64"/>
  <c r="F30" i="64"/>
  <c r="E30" i="64"/>
  <c r="D30" i="64"/>
  <c r="E16" i="64"/>
  <c r="E15" i="64"/>
  <c r="F13" i="64"/>
  <c r="F12" i="64"/>
  <c r="B9" i="64"/>
  <c r="B7" i="64"/>
  <c r="C21" i="64" s="1"/>
  <c r="F21" i="64" s="1"/>
  <c r="B6" i="64"/>
  <c r="B8" i="64" s="1"/>
  <c r="B19" i="64" s="1"/>
  <c r="B5" i="64"/>
  <c r="F36" i="63"/>
  <c r="F34" i="63"/>
  <c r="F32" i="63"/>
  <c r="I30" i="63"/>
  <c r="H30" i="63"/>
  <c r="G30" i="63"/>
  <c r="F30" i="63"/>
  <c r="E30" i="63"/>
  <c r="D30" i="63"/>
  <c r="E16" i="63"/>
  <c r="E15" i="63"/>
  <c r="F13" i="63"/>
  <c r="F12" i="63"/>
  <c r="B9" i="63"/>
  <c r="B7" i="63"/>
  <c r="B6" i="63"/>
  <c r="B5" i="63"/>
  <c r="F36" i="25"/>
  <c r="F34" i="25"/>
  <c r="I32" i="25"/>
  <c r="H32" i="25"/>
  <c r="G32" i="25"/>
  <c r="F32" i="25"/>
  <c r="E32" i="25"/>
  <c r="D32" i="25"/>
  <c r="B32" i="25"/>
  <c r="I30" i="25"/>
  <c r="H30" i="25"/>
  <c r="G30" i="25"/>
  <c r="F30" i="25"/>
  <c r="E30" i="25"/>
  <c r="D30" i="25"/>
  <c r="E16" i="25"/>
  <c r="E15" i="25"/>
  <c r="F13" i="25"/>
  <c r="F12" i="25"/>
  <c r="B9" i="25"/>
  <c r="B17" i="25" s="1"/>
  <c r="E17" i="25" s="1"/>
  <c r="B7" i="25"/>
  <c r="B13" i="25" s="1"/>
  <c r="B6" i="25"/>
  <c r="B8" i="25" s="1"/>
  <c r="B5" i="25"/>
  <c r="F36" i="67"/>
  <c r="F34" i="67"/>
  <c r="I32" i="67"/>
  <c r="H32" i="67"/>
  <c r="G32" i="67"/>
  <c r="F32" i="67"/>
  <c r="E32" i="67"/>
  <c r="D32" i="67"/>
  <c r="B32" i="67"/>
  <c r="I30" i="67"/>
  <c r="H30" i="67"/>
  <c r="G30" i="67"/>
  <c r="F30" i="67"/>
  <c r="E30" i="67"/>
  <c r="D30" i="67"/>
  <c r="E16" i="67"/>
  <c r="E15" i="67"/>
  <c r="F13" i="67"/>
  <c r="F12" i="67"/>
  <c r="B9" i="67"/>
  <c r="B7" i="67"/>
  <c r="B6" i="67"/>
  <c r="B8" i="67" s="1"/>
  <c r="B5" i="67"/>
  <c r="F36" i="66"/>
  <c r="F34" i="66"/>
  <c r="F32" i="66"/>
  <c r="I30" i="66"/>
  <c r="H30" i="66"/>
  <c r="G30" i="66"/>
  <c r="F30" i="66"/>
  <c r="E30" i="66"/>
  <c r="D30" i="66"/>
  <c r="E16" i="66"/>
  <c r="E15" i="66"/>
  <c r="F13" i="66"/>
  <c r="F12" i="66"/>
  <c r="B9" i="66"/>
  <c r="B7" i="66"/>
  <c r="B6" i="66"/>
  <c r="B5" i="66"/>
  <c r="F36" i="65"/>
  <c r="F34" i="65"/>
  <c r="I32" i="65"/>
  <c r="H32" i="65"/>
  <c r="G32" i="65"/>
  <c r="F32" i="65"/>
  <c r="E32" i="65"/>
  <c r="D32" i="65"/>
  <c r="B32" i="65"/>
  <c r="I30" i="65"/>
  <c r="H30" i="65"/>
  <c r="G30" i="65"/>
  <c r="F30" i="65"/>
  <c r="E30" i="65"/>
  <c r="D30" i="65"/>
  <c r="E16" i="65"/>
  <c r="E15" i="65"/>
  <c r="F13" i="65"/>
  <c r="F12" i="65"/>
  <c r="B9" i="65"/>
  <c r="B18" i="65" s="1"/>
  <c r="B7" i="65"/>
  <c r="B13" i="65" s="1"/>
  <c r="E13" i="65" s="1"/>
  <c r="G13" i="65" s="1"/>
  <c r="B6" i="65"/>
  <c r="B8" i="65" s="1"/>
  <c r="B29" i="65" s="1"/>
  <c r="B5" i="65"/>
  <c r="F36" i="70"/>
  <c r="F34" i="70"/>
  <c r="I32" i="70"/>
  <c r="H32" i="70"/>
  <c r="G32" i="70"/>
  <c r="F32" i="70"/>
  <c r="E32" i="70"/>
  <c r="D32" i="70"/>
  <c r="B32" i="70"/>
  <c r="I30" i="70"/>
  <c r="H30" i="70"/>
  <c r="G30" i="70"/>
  <c r="F30" i="70"/>
  <c r="E30" i="70"/>
  <c r="D30" i="70"/>
  <c r="E16" i="70"/>
  <c r="E15" i="70"/>
  <c r="F13" i="70"/>
  <c r="F12" i="70"/>
  <c r="B9" i="70"/>
  <c r="B18" i="70" s="1"/>
  <c r="B7" i="70"/>
  <c r="B6" i="70"/>
  <c r="B8" i="70" s="1"/>
  <c r="B5" i="70"/>
  <c r="F36" i="69"/>
  <c r="F34" i="69"/>
  <c r="F32" i="69"/>
  <c r="I30" i="69"/>
  <c r="H30" i="69"/>
  <c r="G30" i="69"/>
  <c r="F30" i="69"/>
  <c r="E30" i="69"/>
  <c r="D30" i="69"/>
  <c r="E16" i="69"/>
  <c r="E15" i="69"/>
  <c r="F13" i="69"/>
  <c r="F12" i="69"/>
  <c r="B9" i="69"/>
  <c r="B7" i="69"/>
  <c r="B6" i="69"/>
  <c r="B5" i="69"/>
  <c r="F36" i="68"/>
  <c r="F34" i="68"/>
  <c r="I32" i="68"/>
  <c r="H32" i="68"/>
  <c r="G32" i="68"/>
  <c r="F32" i="68"/>
  <c r="E32" i="68"/>
  <c r="D32" i="68"/>
  <c r="B32" i="68"/>
  <c r="I30" i="68"/>
  <c r="H30" i="68"/>
  <c r="G30" i="68"/>
  <c r="F30" i="68"/>
  <c r="E30" i="68"/>
  <c r="D30" i="68"/>
  <c r="E16" i="68"/>
  <c r="E15" i="68"/>
  <c r="F13" i="68"/>
  <c r="F12" i="68"/>
  <c r="B9" i="68"/>
  <c r="B7" i="68"/>
  <c r="B13" i="68" s="1"/>
  <c r="D13" i="68" s="1"/>
  <c r="B6" i="68"/>
  <c r="B8" i="68" s="1"/>
  <c r="B5" i="68"/>
  <c r="F33" i="81"/>
  <c r="I31" i="81"/>
  <c r="H31" i="81"/>
  <c r="G31" i="81"/>
  <c r="F31" i="81"/>
  <c r="E31" i="81"/>
  <c r="D31" i="81"/>
  <c r="B31" i="81"/>
  <c r="I29" i="81"/>
  <c r="H29" i="81"/>
  <c r="G29" i="81"/>
  <c r="F29" i="81"/>
  <c r="E29" i="81"/>
  <c r="D29" i="81"/>
  <c r="E23" i="81"/>
  <c r="B23" i="81"/>
  <c r="E22" i="81"/>
  <c r="B22" i="81"/>
  <c r="E19" i="81"/>
  <c r="B19" i="81"/>
  <c r="E18" i="81"/>
  <c r="B18" i="81"/>
  <c r="E17" i="81"/>
  <c r="E16" i="81"/>
  <c r="I14" i="81"/>
  <c r="H14" i="81"/>
  <c r="G14" i="81"/>
  <c r="F14" i="81"/>
  <c r="E14" i="81"/>
  <c r="D14" i="81"/>
  <c r="F13" i="81"/>
  <c r="B8" i="81"/>
  <c r="B7" i="81"/>
  <c r="B6" i="81"/>
  <c r="B9" i="81" s="1"/>
  <c r="F33" i="80"/>
  <c r="F31" i="80"/>
  <c r="I29" i="80"/>
  <c r="H29" i="80"/>
  <c r="G29" i="80"/>
  <c r="F29" i="80"/>
  <c r="E29" i="80"/>
  <c r="D29" i="80"/>
  <c r="E17" i="80"/>
  <c r="E16" i="80"/>
  <c r="I14" i="80"/>
  <c r="H14" i="80"/>
  <c r="G14" i="80"/>
  <c r="F14" i="80"/>
  <c r="E14" i="80"/>
  <c r="D14" i="80"/>
  <c r="F13" i="80"/>
  <c r="B8" i="80"/>
  <c r="B6" i="80"/>
  <c r="F33" i="79"/>
  <c r="I31" i="79"/>
  <c r="H31" i="79"/>
  <c r="G31" i="79"/>
  <c r="F31" i="79"/>
  <c r="E31" i="79"/>
  <c r="D31" i="79"/>
  <c r="B31" i="79"/>
  <c r="I29" i="79"/>
  <c r="H29" i="79"/>
  <c r="G29" i="79"/>
  <c r="F29" i="79"/>
  <c r="E29" i="79"/>
  <c r="D29" i="79"/>
  <c r="E23" i="79"/>
  <c r="B23" i="79"/>
  <c r="E22" i="79"/>
  <c r="B22" i="79"/>
  <c r="E19" i="79"/>
  <c r="B19" i="79"/>
  <c r="E18" i="79"/>
  <c r="B18" i="79"/>
  <c r="E17" i="79"/>
  <c r="E16" i="79"/>
  <c r="I14" i="79"/>
  <c r="H14" i="79"/>
  <c r="G14" i="79"/>
  <c r="F14" i="79"/>
  <c r="E14" i="79"/>
  <c r="D14" i="79"/>
  <c r="F13" i="79"/>
  <c r="B8" i="79"/>
  <c r="B7" i="79"/>
  <c r="B6" i="79"/>
  <c r="B9" i="79" s="1"/>
  <c r="B28" i="79" s="1"/>
  <c r="F37" i="78"/>
  <c r="F35" i="78"/>
  <c r="I33" i="78"/>
  <c r="H33" i="78"/>
  <c r="G33" i="78"/>
  <c r="F33" i="78"/>
  <c r="E33" i="78"/>
  <c r="D33" i="78"/>
  <c r="B33" i="78"/>
  <c r="I31" i="78"/>
  <c r="H31" i="78"/>
  <c r="G31" i="78"/>
  <c r="F31" i="78"/>
  <c r="E31" i="78"/>
  <c r="D31" i="78"/>
  <c r="E25" i="78"/>
  <c r="B25" i="78"/>
  <c r="E24" i="78"/>
  <c r="B24" i="78"/>
  <c r="E21" i="78"/>
  <c r="B21" i="78"/>
  <c r="E20" i="78"/>
  <c r="B20" i="78"/>
  <c r="E19" i="78"/>
  <c r="I18" i="78"/>
  <c r="H18" i="78"/>
  <c r="G18" i="78"/>
  <c r="E18" i="78"/>
  <c r="D18" i="78"/>
  <c r="I17" i="78"/>
  <c r="H17" i="78"/>
  <c r="G17" i="78"/>
  <c r="E17" i="78"/>
  <c r="D17" i="78"/>
  <c r="E16" i="78"/>
  <c r="I14" i="78"/>
  <c r="H14" i="78"/>
  <c r="G14" i="78"/>
  <c r="F14" i="78"/>
  <c r="E14" i="78"/>
  <c r="D14" i="78"/>
  <c r="F13" i="78"/>
  <c r="B8" i="78"/>
  <c r="B7" i="78"/>
  <c r="B6" i="78"/>
  <c r="B9" i="78" s="1"/>
  <c r="B29" i="78" s="1"/>
  <c r="F37" i="77"/>
  <c r="F35" i="77"/>
  <c r="F33" i="77"/>
  <c r="I31" i="77"/>
  <c r="H31" i="77"/>
  <c r="G31" i="77"/>
  <c r="F31" i="77"/>
  <c r="E31" i="77"/>
  <c r="D31" i="77"/>
  <c r="E19" i="77"/>
  <c r="I18" i="77"/>
  <c r="H18" i="77"/>
  <c r="G18" i="77"/>
  <c r="E18" i="77"/>
  <c r="D18" i="77"/>
  <c r="I17" i="77"/>
  <c r="H17" i="77"/>
  <c r="G17" i="77"/>
  <c r="E17" i="77"/>
  <c r="D17" i="77"/>
  <c r="E16" i="77"/>
  <c r="I14" i="77"/>
  <c r="H14" i="77"/>
  <c r="G14" i="77"/>
  <c r="F14" i="77"/>
  <c r="E14" i="77"/>
  <c r="D14" i="77"/>
  <c r="F13" i="77"/>
  <c r="B8" i="77"/>
  <c r="B6" i="77"/>
  <c r="F37" i="76"/>
  <c r="F35" i="76"/>
  <c r="I33" i="76"/>
  <c r="H33" i="76"/>
  <c r="G33" i="76"/>
  <c r="F33" i="76"/>
  <c r="E33" i="76"/>
  <c r="D33" i="76"/>
  <c r="B33" i="76"/>
  <c r="I31" i="76"/>
  <c r="H31" i="76"/>
  <c r="G31" i="76"/>
  <c r="F31" i="76"/>
  <c r="E31" i="76"/>
  <c r="D31" i="76"/>
  <c r="E25" i="76"/>
  <c r="B25" i="76"/>
  <c r="E24" i="76"/>
  <c r="B24" i="76"/>
  <c r="E21" i="76"/>
  <c r="B21" i="76"/>
  <c r="E20" i="76"/>
  <c r="B20" i="76"/>
  <c r="E19" i="76"/>
  <c r="I18" i="76"/>
  <c r="H18" i="76"/>
  <c r="G18" i="76"/>
  <c r="E18" i="76"/>
  <c r="D18" i="76"/>
  <c r="I17" i="76"/>
  <c r="H17" i="76"/>
  <c r="G17" i="76"/>
  <c r="E17" i="76"/>
  <c r="D17" i="76"/>
  <c r="E16" i="76"/>
  <c r="I14" i="76"/>
  <c r="H14" i="76"/>
  <c r="G14" i="76"/>
  <c r="F14" i="76"/>
  <c r="E14" i="76"/>
  <c r="D14" i="76"/>
  <c r="F13" i="76"/>
  <c r="B8" i="76"/>
  <c r="B7" i="76"/>
  <c r="B6" i="76"/>
  <c r="B9" i="76" s="1"/>
  <c r="B13" i="76" s="1"/>
  <c r="F37" i="72"/>
  <c r="F35" i="72"/>
  <c r="I33" i="72"/>
  <c r="H33" i="72"/>
  <c r="G33" i="72"/>
  <c r="F33" i="72"/>
  <c r="E33" i="72"/>
  <c r="D33" i="72"/>
  <c r="B33" i="72"/>
  <c r="I31" i="72"/>
  <c r="H31" i="72"/>
  <c r="G31" i="72"/>
  <c r="F31" i="72"/>
  <c r="E31" i="72"/>
  <c r="D31" i="72"/>
  <c r="E25" i="72"/>
  <c r="B25" i="72"/>
  <c r="E24" i="72"/>
  <c r="B24" i="72"/>
  <c r="E21" i="72"/>
  <c r="B21" i="72"/>
  <c r="E20" i="72"/>
  <c r="B20" i="72"/>
  <c r="E19" i="72"/>
  <c r="I18" i="72"/>
  <c r="H18" i="72"/>
  <c r="G18" i="72"/>
  <c r="E18" i="72"/>
  <c r="D18" i="72"/>
  <c r="I17" i="72"/>
  <c r="H17" i="72"/>
  <c r="G17" i="72"/>
  <c r="E17" i="72"/>
  <c r="D17" i="72"/>
  <c r="E16" i="72"/>
  <c r="I14" i="72"/>
  <c r="H14" i="72"/>
  <c r="G14" i="72"/>
  <c r="F14" i="72"/>
  <c r="E14" i="72"/>
  <c r="D14" i="72"/>
  <c r="F13" i="72"/>
  <c r="B8" i="72"/>
  <c r="B7" i="72"/>
  <c r="B6" i="72"/>
  <c r="B9" i="72" s="1"/>
  <c r="B13" i="72" s="1"/>
  <c r="F37" i="71"/>
  <c r="F35" i="71"/>
  <c r="F33" i="71"/>
  <c r="I31" i="71"/>
  <c r="H31" i="71"/>
  <c r="G31" i="71"/>
  <c r="F31" i="71"/>
  <c r="E31" i="71"/>
  <c r="D31" i="71"/>
  <c r="E19" i="71"/>
  <c r="I18" i="71"/>
  <c r="H18" i="71"/>
  <c r="G18" i="71"/>
  <c r="E18" i="71"/>
  <c r="D18" i="71"/>
  <c r="I17" i="71"/>
  <c r="H17" i="71"/>
  <c r="G17" i="71"/>
  <c r="E17" i="71"/>
  <c r="D17" i="71"/>
  <c r="E16" i="71"/>
  <c r="I14" i="71"/>
  <c r="H14" i="71"/>
  <c r="G14" i="71"/>
  <c r="F14" i="71"/>
  <c r="E14" i="71"/>
  <c r="D14" i="71"/>
  <c r="F13" i="71"/>
  <c r="B8" i="71"/>
  <c r="B6" i="71"/>
  <c r="F37" i="5"/>
  <c r="F35" i="5"/>
  <c r="I33" i="5"/>
  <c r="H33" i="5"/>
  <c r="G33" i="5"/>
  <c r="F33" i="5"/>
  <c r="E33" i="5"/>
  <c r="D33" i="5"/>
  <c r="B33" i="5"/>
  <c r="I31" i="5"/>
  <c r="H31" i="5"/>
  <c r="G31" i="5"/>
  <c r="F31" i="5"/>
  <c r="E31" i="5"/>
  <c r="D31" i="5"/>
  <c r="E25" i="5"/>
  <c r="B25" i="5"/>
  <c r="E24" i="5"/>
  <c r="B24" i="5"/>
  <c r="E21" i="5"/>
  <c r="B21" i="5"/>
  <c r="E20" i="5"/>
  <c r="B20" i="5"/>
  <c r="E19" i="5"/>
  <c r="I18" i="5"/>
  <c r="H18" i="5"/>
  <c r="G18" i="5"/>
  <c r="E18" i="5"/>
  <c r="D18" i="5"/>
  <c r="I17" i="5"/>
  <c r="H17" i="5"/>
  <c r="G17" i="5"/>
  <c r="E17" i="5"/>
  <c r="D17" i="5"/>
  <c r="E16" i="5"/>
  <c r="I14" i="5"/>
  <c r="H14" i="5"/>
  <c r="G14" i="5"/>
  <c r="F14" i="5"/>
  <c r="E14" i="5"/>
  <c r="D14" i="5"/>
  <c r="F13" i="5"/>
  <c r="B8" i="5"/>
  <c r="B7" i="5"/>
  <c r="B6" i="5"/>
  <c r="B9" i="5" s="1"/>
  <c r="B13" i="5" s="1"/>
  <c r="F37" i="75"/>
  <c r="F35" i="75"/>
  <c r="I33" i="75"/>
  <c r="H33" i="75"/>
  <c r="G33" i="75"/>
  <c r="F33" i="75"/>
  <c r="E33" i="75"/>
  <c r="D33" i="75"/>
  <c r="B33" i="75"/>
  <c r="I31" i="75"/>
  <c r="H31" i="75"/>
  <c r="G31" i="75"/>
  <c r="F31" i="75"/>
  <c r="E31" i="75"/>
  <c r="D31" i="75"/>
  <c r="E25" i="75"/>
  <c r="B25" i="75"/>
  <c r="E24" i="75"/>
  <c r="B24" i="75"/>
  <c r="E21" i="75"/>
  <c r="B21" i="75"/>
  <c r="E20" i="75"/>
  <c r="B20" i="75"/>
  <c r="E19" i="75"/>
  <c r="F18" i="75"/>
  <c r="G18" i="75" s="1"/>
  <c r="E18" i="75"/>
  <c r="C18" i="75"/>
  <c r="D18" i="75" s="1"/>
  <c r="G17" i="75"/>
  <c r="E17" i="75"/>
  <c r="C17" i="75"/>
  <c r="D17" i="75" s="1"/>
  <c r="H17" i="75" s="1"/>
  <c r="I17" i="75" s="1"/>
  <c r="E16" i="75"/>
  <c r="I14" i="75"/>
  <c r="H14" i="75"/>
  <c r="G14" i="75"/>
  <c r="F14" i="75"/>
  <c r="E14" i="75"/>
  <c r="D14" i="75"/>
  <c r="F13" i="75"/>
  <c r="B8" i="75"/>
  <c r="B7" i="75"/>
  <c r="B6" i="75"/>
  <c r="B9" i="75" s="1"/>
  <c r="F37" i="74"/>
  <c r="F35" i="74"/>
  <c r="F33" i="74"/>
  <c r="I31" i="74"/>
  <c r="H31" i="74"/>
  <c r="G31" i="74"/>
  <c r="F31" i="74"/>
  <c r="E31" i="74"/>
  <c r="D31" i="74"/>
  <c r="E19" i="74"/>
  <c r="F18" i="74"/>
  <c r="G18" i="74" s="1"/>
  <c r="E18" i="74"/>
  <c r="C18" i="74"/>
  <c r="D18" i="74" s="1"/>
  <c r="G17" i="74"/>
  <c r="E17" i="74"/>
  <c r="C17" i="74"/>
  <c r="D17" i="74" s="1"/>
  <c r="H17" i="74" s="1"/>
  <c r="I17" i="74" s="1"/>
  <c r="E16" i="74"/>
  <c r="I14" i="74"/>
  <c r="H14" i="74"/>
  <c r="G14" i="74"/>
  <c r="F14" i="74"/>
  <c r="E14" i="74"/>
  <c r="D14" i="74"/>
  <c r="F13" i="74"/>
  <c r="B8" i="74"/>
  <c r="B6" i="74"/>
  <c r="F37" i="73"/>
  <c r="F35" i="73"/>
  <c r="I33" i="73"/>
  <c r="H33" i="73"/>
  <c r="G33" i="73"/>
  <c r="F33" i="73"/>
  <c r="E33" i="73"/>
  <c r="D33" i="73"/>
  <c r="B33" i="73"/>
  <c r="I31" i="73"/>
  <c r="H31" i="73"/>
  <c r="G31" i="73"/>
  <c r="F31" i="73"/>
  <c r="E31" i="73"/>
  <c r="D31" i="73"/>
  <c r="E25" i="73"/>
  <c r="B25" i="73"/>
  <c r="E24" i="73"/>
  <c r="B24" i="73"/>
  <c r="E21" i="73"/>
  <c r="B21" i="73"/>
  <c r="E20" i="73"/>
  <c r="B20" i="73"/>
  <c r="E19" i="73"/>
  <c r="F18" i="73"/>
  <c r="G18" i="73" s="1"/>
  <c r="E18" i="73"/>
  <c r="C18" i="73"/>
  <c r="D18" i="73" s="1"/>
  <c r="G17" i="73"/>
  <c r="E17" i="73"/>
  <c r="C17" i="73"/>
  <c r="D17" i="73" s="1"/>
  <c r="H17" i="73" s="1"/>
  <c r="I17" i="73" s="1"/>
  <c r="E16" i="73"/>
  <c r="I14" i="73"/>
  <c r="H14" i="73"/>
  <c r="G14" i="73"/>
  <c r="F14" i="73"/>
  <c r="E14" i="73"/>
  <c r="D14" i="73"/>
  <c r="F13" i="73"/>
  <c r="B8" i="73"/>
  <c r="B7" i="73"/>
  <c r="B6" i="73"/>
  <c r="B9" i="73" s="1"/>
  <c r="B28" i="73" s="1"/>
  <c r="F50" i="59"/>
  <c r="F48" i="59"/>
  <c r="F45" i="59"/>
  <c r="F43" i="59"/>
  <c r="I41" i="59"/>
  <c r="H41" i="59"/>
  <c r="G41" i="59"/>
  <c r="F41" i="59"/>
  <c r="E41" i="59"/>
  <c r="D41" i="59"/>
  <c r="B41" i="59"/>
  <c r="I39" i="59"/>
  <c r="H39" i="59"/>
  <c r="G39" i="59"/>
  <c r="F39" i="59"/>
  <c r="E39" i="59"/>
  <c r="D39" i="59"/>
  <c r="F28" i="59"/>
  <c r="C28" i="59"/>
  <c r="F26" i="59"/>
  <c r="G26" i="59" s="1"/>
  <c r="C26" i="59"/>
  <c r="D26" i="59" s="1"/>
  <c r="E22" i="59"/>
  <c r="I21" i="59"/>
  <c r="H21" i="59"/>
  <c r="G21" i="59"/>
  <c r="E21" i="59"/>
  <c r="D21" i="59"/>
  <c r="I20" i="59"/>
  <c r="H20" i="59"/>
  <c r="G20" i="59"/>
  <c r="E20" i="59"/>
  <c r="D20" i="59"/>
  <c r="E19" i="59"/>
  <c r="I18" i="59"/>
  <c r="H18" i="59"/>
  <c r="G18" i="59"/>
  <c r="D18" i="59"/>
  <c r="I17" i="59"/>
  <c r="H17" i="59"/>
  <c r="G17" i="59"/>
  <c r="F17" i="59"/>
  <c r="E17" i="59"/>
  <c r="D17" i="59"/>
  <c r="B17" i="59"/>
  <c r="I16" i="59"/>
  <c r="H16" i="59"/>
  <c r="G16" i="59"/>
  <c r="F16" i="59"/>
  <c r="E16" i="59"/>
  <c r="D16" i="59"/>
  <c r="B16" i="59"/>
  <c r="I15" i="59"/>
  <c r="H15" i="59"/>
  <c r="G15" i="59"/>
  <c r="F15" i="59"/>
  <c r="E15" i="59"/>
  <c r="D15" i="59"/>
  <c r="B15" i="59"/>
  <c r="F13" i="59"/>
  <c r="F12" i="59"/>
  <c r="B9" i="59"/>
  <c r="B24" i="59" s="1"/>
  <c r="B7" i="59"/>
  <c r="B6" i="59"/>
  <c r="B8" i="59" s="1"/>
  <c r="B5" i="59"/>
  <c r="F50" i="117"/>
  <c r="F48" i="117"/>
  <c r="F45" i="117"/>
  <c r="F43" i="117"/>
  <c r="F41" i="117"/>
  <c r="I39" i="117"/>
  <c r="H39" i="117"/>
  <c r="G39" i="117"/>
  <c r="F39" i="117"/>
  <c r="E39" i="117"/>
  <c r="D39" i="117"/>
  <c r="F28" i="117"/>
  <c r="C28" i="117"/>
  <c r="F26" i="117"/>
  <c r="G26" i="117" s="1"/>
  <c r="C26" i="117"/>
  <c r="D26" i="117" s="1"/>
  <c r="E22" i="117"/>
  <c r="I21" i="117"/>
  <c r="H21" i="117"/>
  <c r="G21" i="117"/>
  <c r="E21" i="117"/>
  <c r="D21" i="117"/>
  <c r="I20" i="117"/>
  <c r="H20" i="117"/>
  <c r="G20" i="117"/>
  <c r="E20" i="117"/>
  <c r="D20" i="117"/>
  <c r="E19" i="117"/>
  <c r="F17" i="117"/>
  <c r="F16" i="117"/>
  <c r="F15" i="117"/>
  <c r="F13" i="117"/>
  <c r="F12" i="117"/>
  <c r="B9" i="117"/>
  <c r="B7" i="117"/>
  <c r="B6" i="117"/>
  <c r="B5" i="117"/>
  <c r="F50" i="58"/>
  <c r="F48" i="58"/>
  <c r="F45" i="58"/>
  <c r="F43" i="58"/>
  <c r="I41" i="58"/>
  <c r="H41" i="58"/>
  <c r="G41" i="58"/>
  <c r="F41" i="58"/>
  <c r="E41" i="58"/>
  <c r="D41" i="58"/>
  <c r="B41" i="58"/>
  <c r="I39" i="58"/>
  <c r="H39" i="58"/>
  <c r="G39" i="58"/>
  <c r="F39" i="58"/>
  <c r="E39" i="58"/>
  <c r="D39" i="58"/>
  <c r="F28" i="58"/>
  <c r="C28" i="58"/>
  <c r="F26" i="58"/>
  <c r="G26" i="58" s="1"/>
  <c r="C26" i="58"/>
  <c r="D26" i="58" s="1"/>
  <c r="E22" i="58"/>
  <c r="I21" i="58"/>
  <c r="H21" i="58"/>
  <c r="G21" i="58"/>
  <c r="E21" i="58"/>
  <c r="D21" i="58"/>
  <c r="I20" i="58"/>
  <c r="H20" i="58"/>
  <c r="G20" i="58"/>
  <c r="E20" i="58"/>
  <c r="D20" i="58"/>
  <c r="E19" i="58"/>
  <c r="I18" i="58"/>
  <c r="H18" i="58"/>
  <c r="G18" i="58"/>
  <c r="D18" i="58"/>
  <c r="I17" i="58"/>
  <c r="H17" i="58"/>
  <c r="G17" i="58"/>
  <c r="F17" i="58"/>
  <c r="E17" i="58"/>
  <c r="D17" i="58"/>
  <c r="B17" i="58"/>
  <c r="I16" i="58"/>
  <c r="H16" i="58"/>
  <c r="G16" i="58"/>
  <c r="F16" i="58"/>
  <c r="E16" i="58"/>
  <c r="D16" i="58"/>
  <c r="B16" i="58"/>
  <c r="I15" i="58"/>
  <c r="H15" i="58"/>
  <c r="G15" i="58"/>
  <c r="F15" i="58"/>
  <c r="E15" i="58"/>
  <c r="D15" i="58"/>
  <c r="B15" i="58"/>
  <c r="F13" i="58"/>
  <c r="F12" i="58"/>
  <c r="B9" i="58"/>
  <c r="B24" i="58" s="1"/>
  <c r="B7" i="58"/>
  <c r="B13" i="58" s="1"/>
  <c r="B6" i="58"/>
  <c r="B8" i="58" s="1"/>
  <c r="B32" i="58" s="1"/>
  <c r="B5" i="58"/>
  <c r="F50" i="57"/>
  <c r="F48" i="57"/>
  <c r="F45" i="57"/>
  <c r="F43" i="57"/>
  <c r="I41" i="57"/>
  <c r="H41" i="57"/>
  <c r="G41" i="57"/>
  <c r="F41" i="57"/>
  <c r="E41" i="57"/>
  <c r="D41" i="57"/>
  <c r="B41" i="57"/>
  <c r="I39" i="57"/>
  <c r="H39" i="57"/>
  <c r="G39" i="57"/>
  <c r="F39" i="57"/>
  <c r="E39" i="57"/>
  <c r="D39" i="57"/>
  <c r="F28" i="57"/>
  <c r="C28" i="57"/>
  <c r="F26" i="57"/>
  <c r="G26" i="57" s="1"/>
  <c r="C26" i="57"/>
  <c r="D26" i="57" s="1"/>
  <c r="E22" i="57"/>
  <c r="I21" i="57"/>
  <c r="H21" i="57"/>
  <c r="G21" i="57"/>
  <c r="E21" i="57"/>
  <c r="D21" i="57"/>
  <c r="I20" i="57"/>
  <c r="H20" i="57"/>
  <c r="G20" i="57"/>
  <c r="E20" i="57"/>
  <c r="D20" i="57"/>
  <c r="E19" i="57"/>
  <c r="I18" i="57"/>
  <c r="H18" i="57"/>
  <c r="G18" i="57"/>
  <c r="D18" i="57"/>
  <c r="I17" i="57"/>
  <c r="H17" i="57"/>
  <c r="G17" i="57"/>
  <c r="F17" i="57"/>
  <c r="E17" i="57"/>
  <c r="D17" i="57"/>
  <c r="B17" i="57"/>
  <c r="I16" i="57"/>
  <c r="H16" i="57"/>
  <c r="G16" i="57"/>
  <c r="F16" i="57"/>
  <c r="E16" i="57"/>
  <c r="D16" i="57"/>
  <c r="B16" i="57"/>
  <c r="I15" i="57"/>
  <c r="H15" i="57"/>
  <c r="G15" i="57"/>
  <c r="F15" i="57"/>
  <c r="E15" i="57"/>
  <c r="D15" i="57"/>
  <c r="B15" i="57"/>
  <c r="F13" i="57"/>
  <c r="F12" i="57"/>
  <c r="B9" i="57"/>
  <c r="B23" i="57" s="1"/>
  <c r="E23" i="57" s="1"/>
  <c r="B7" i="57"/>
  <c r="B13" i="57" s="1"/>
  <c r="B6" i="57"/>
  <c r="B8" i="57" s="1"/>
  <c r="B5" i="57"/>
  <c r="F50" i="62"/>
  <c r="F48" i="62"/>
  <c r="F45" i="62"/>
  <c r="F43" i="62"/>
  <c r="I41" i="62"/>
  <c r="H41" i="62"/>
  <c r="G41" i="62"/>
  <c r="F41" i="62"/>
  <c r="E41" i="62"/>
  <c r="D41" i="62"/>
  <c r="B41" i="62"/>
  <c r="I39" i="62"/>
  <c r="H39" i="62"/>
  <c r="G39" i="62"/>
  <c r="F39" i="62"/>
  <c r="E39" i="62"/>
  <c r="D39" i="62"/>
  <c r="F28" i="62"/>
  <c r="C28" i="62"/>
  <c r="F26" i="62"/>
  <c r="G26" i="62" s="1"/>
  <c r="C26" i="62"/>
  <c r="D26" i="62" s="1"/>
  <c r="E22" i="62"/>
  <c r="F21" i="62"/>
  <c r="G21" i="62" s="1"/>
  <c r="E21" i="62"/>
  <c r="C21" i="62"/>
  <c r="D21" i="62" s="1"/>
  <c r="G20" i="62"/>
  <c r="E20" i="62"/>
  <c r="C20" i="62"/>
  <c r="D20" i="62" s="1"/>
  <c r="H20" i="62" s="1"/>
  <c r="I20" i="62" s="1"/>
  <c r="E19" i="62"/>
  <c r="I18" i="62"/>
  <c r="H18" i="62"/>
  <c r="G18" i="62"/>
  <c r="D18" i="62"/>
  <c r="I17" i="62"/>
  <c r="H17" i="62"/>
  <c r="G17" i="62"/>
  <c r="F17" i="62"/>
  <c r="E17" i="62"/>
  <c r="D17" i="62"/>
  <c r="B17" i="62"/>
  <c r="I16" i="62"/>
  <c r="H16" i="62"/>
  <c r="G16" i="62"/>
  <c r="F16" i="62"/>
  <c r="E16" i="62"/>
  <c r="D16" i="62"/>
  <c r="B16" i="62"/>
  <c r="I15" i="62"/>
  <c r="H15" i="62"/>
  <c r="G15" i="62"/>
  <c r="F15" i="62"/>
  <c r="E15" i="62"/>
  <c r="D15" i="62"/>
  <c r="B15" i="62"/>
  <c r="F13" i="62"/>
  <c r="F12" i="62"/>
  <c r="B9" i="62"/>
  <c r="B7" i="62"/>
  <c r="C27" i="62" s="1"/>
  <c r="F27" i="62" s="1"/>
  <c r="B6" i="62"/>
  <c r="B8" i="62" s="1"/>
  <c r="B31" i="62" s="1"/>
  <c r="B5" i="62"/>
  <c r="F50" i="116"/>
  <c r="F48" i="116"/>
  <c r="F45" i="116"/>
  <c r="F43" i="116"/>
  <c r="F41" i="116"/>
  <c r="I39" i="116"/>
  <c r="H39" i="116"/>
  <c r="G39" i="116"/>
  <c r="F39" i="116"/>
  <c r="E39" i="116"/>
  <c r="D39" i="116"/>
  <c r="F28" i="116"/>
  <c r="C28" i="116"/>
  <c r="F26" i="116"/>
  <c r="G26" i="116" s="1"/>
  <c r="C26" i="116"/>
  <c r="D26" i="116" s="1"/>
  <c r="E22" i="116"/>
  <c r="F21" i="116"/>
  <c r="G21" i="116" s="1"/>
  <c r="E21" i="116"/>
  <c r="C21" i="116"/>
  <c r="D21" i="116" s="1"/>
  <c r="G20" i="116"/>
  <c r="E20" i="116"/>
  <c r="C20" i="116"/>
  <c r="D20" i="116" s="1"/>
  <c r="H20" i="116" s="1"/>
  <c r="I20" i="116" s="1"/>
  <c r="E19" i="116"/>
  <c r="F17" i="116"/>
  <c r="F16" i="116"/>
  <c r="F15" i="116"/>
  <c r="F13" i="116"/>
  <c r="F12" i="116"/>
  <c r="B9" i="116"/>
  <c r="B7" i="116"/>
  <c r="B6" i="116"/>
  <c r="B5" i="116"/>
  <c r="F50" i="61"/>
  <c r="F48" i="61"/>
  <c r="F45" i="61"/>
  <c r="F43" i="61"/>
  <c r="I41" i="61"/>
  <c r="H41" i="61"/>
  <c r="G41" i="61"/>
  <c r="F41" i="61"/>
  <c r="E41" i="61"/>
  <c r="D41" i="61"/>
  <c r="B41" i="61"/>
  <c r="I39" i="61"/>
  <c r="H39" i="61"/>
  <c r="G39" i="61"/>
  <c r="F39" i="61"/>
  <c r="E39" i="61"/>
  <c r="D39" i="61"/>
  <c r="F28" i="61"/>
  <c r="C28" i="61"/>
  <c r="F26" i="61"/>
  <c r="G26" i="61" s="1"/>
  <c r="C26" i="61"/>
  <c r="D26" i="61" s="1"/>
  <c r="E22" i="61"/>
  <c r="F21" i="61"/>
  <c r="G21" i="61" s="1"/>
  <c r="E21" i="61"/>
  <c r="C21" i="61"/>
  <c r="D21" i="61" s="1"/>
  <c r="G20" i="61"/>
  <c r="E20" i="61"/>
  <c r="C20" i="61"/>
  <c r="D20" i="61" s="1"/>
  <c r="H20" i="61" s="1"/>
  <c r="I20" i="61" s="1"/>
  <c r="E19" i="61"/>
  <c r="I18" i="61"/>
  <c r="H18" i="61"/>
  <c r="G18" i="61"/>
  <c r="D18" i="61"/>
  <c r="I17" i="61"/>
  <c r="H17" i="61"/>
  <c r="G17" i="61"/>
  <c r="F17" i="61"/>
  <c r="E17" i="61"/>
  <c r="D17" i="61"/>
  <c r="B17" i="61"/>
  <c r="I16" i="61"/>
  <c r="H16" i="61"/>
  <c r="G16" i="61"/>
  <c r="F16" i="61"/>
  <c r="E16" i="61"/>
  <c r="D16" i="61"/>
  <c r="B16" i="61"/>
  <c r="I15" i="61"/>
  <c r="H15" i="61"/>
  <c r="G15" i="61"/>
  <c r="F15" i="61"/>
  <c r="E15" i="61"/>
  <c r="D15" i="61"/>
  <c r="B15" i="61"/>
  <c r="F13" i="61"/>
  <c r="F12" i="61"/>
  <c r="B9" i="61"/>
  <c r="B24" i="61" s="1"/>
  <c r="E24" i="61" s="1"/>
  <c r="B7" i="61"/>
  <c r="C27" i="61" s="1"/>
  <c r="F27" i="61" s="1"/>
  <c r="B6" i="61"/>
  <c r="B8" i="61" s="1"/>
  <c r="B5" i="61"/>
  <c r="F50" i="60"/>
  <c r="F48" i="60"/>
  <c r="F45" i="60"/>
  <c r="F43" i="60"/>
  <c r="I41" i="60"/>
  <c r="H41" i="60"/>
  <c r="G41" i="60"/>
  <c r="F41" i="60"/>
  <c r="E41" i="60"/>
  <c r="D41" i="60"/>
  <c r="B41" i="60"/>
  <c r="I39" i="60"/>
  <c r="H39" i="60"/>
  <c r="G39" i="60"/>
  <c r="F39" i="60"/>
  <c r="E39" i="60"/>
  <c r="D39" i="60"/>
  <c r="F28" i="60"/>
  <c r="C28" i="60"/>
  <c r="F26" i="60"/>
  <c r="G26" i="60" s="1"/>
  <c r="C26" i="60"/>
  <c r="D26" i="60" s="1"/>
  <c r="E22" i="60"/>
  <c r="F21" i="60"/>
  <c r="G21" i="60" s="1"/>
  <c r="E21" i="60"/>
  <c r="C21" i="60"/>
  <c r="D21" i="60" s="1"/>
  <c r="G20" i="60"/>
  <c r="E20" i="60"/>
  <c r="C20" i="60"/>
  <c r="D20" i="60" s="1"/>
  <c r="E19" i="60"/>
  <c r="I18" i="60"/>
  <c r="H18" i="60"/>
  <c r="G18" i="60"/>
  <c r="D18" i="60"/>
  <c r="I17" i="60"/>
  <c r="H17" i="60"/>
  <c r="G17" i="60"/>
  <c r="F17" i="60"/>
  <c r="E17" i="60"/>
  <c r="D17" i="60"/>
  <c r="B17" i="60"/>
  <c r="I16" i="60"/>
  <c r="H16" i="60"/>
  <c r="G16" i="60"/>
  <c r="F16" i="60"/>
  <c r="E16" i="60"/>
  <c r="D16" i="60"/>
  <c r="B16" i="60"/>
  <c r="I15" i="60"/>
  <c r="H15" i="60"/>
  <c r="G15" i="60"/>
  <c r="F15" i="60"/>
  <c r="E15" i="60"/>
  <c r="D15" i="60"/>
  <c r="B15" i="60"/>
  <c r="F13" i="60"/>
  <c r="F12" i="60"/>
  <c r="B9" i="60"/>
  <c r="B24" i="60" s="1"/>
  <c r="B7" i="60"/>
  <c r="B6" i="60"/>
  <c r="B8" i="60" s="1"/>
  <c r="B5" i="60"/>
  <c r="F50" i="56"/>
  <c r="F48" i="56"/>
  <c r="F45" i="56"/>
  <c r="F43" i="56"/>
  <c r="I41" i="56"/>
  <c r="H41" i="56"/>
  <c r="G41" i="56"/>
  <c r="F41" i="56"/>
  <c r="E41" i="56"/>
  <c r="D41" i="56"/>
  <c r="B41" i="56"/>
  <c r="I39" i="56"/>
  <c r="H39" i="56"/>
  <c r="G39" i="56"/>
  <c r="F39" i="56"/>
  <c r="E39" i="56"/>
  <c r="D39" i="56"/>
  <c r="F28" i="56"/>
  <c r="C28" i="56"/>
  <c r="F26" i="56"/>
  <c r="G26" i="56" s="1"/>
  <c r="C26" i="56"/>
  <c r="D26" i="56" s="1"/>
  <c r="E22" i="56"/>
  <c r="F21" i="56"/>
  <c r="G21" i="56" s="1"/>
  <c r="E21" i="56"/>
  <c r="C21" i="56"/>
  <c r="D21" i="56" s="1"/>
  <c r="G20" i="56"/>
  <c r="E20" i="56"/>
  <c r="C20" i="56"/>
  <c r="D20" i="56" s="1"/>
  <c r="H20" i="56" s="1"/>
  <c r="I20" i="56" s="1"/>
  <c r="E19" i="56"/>
  <c r="I18" i="56"/>
  <c r="H18" i="56"/>
  <c r="G18" i="56"/>
  <c r="D18" i="56"/>
  <c r="I17" i="56"/>
  <c r="H17" i="56"/>
  <c r="G17" i="56"/>
  <c r="F17" i="56"/>
  <c r="E17" i="56"/>
  <c r="D17" i="56"/>
  <c r="B17" i="56"/>
  <c r="I16" i="56"/>
  <c r="H16" i="56"/>
  <c r="G16" i="56"/>
  <c r="F16" i="56"/>
  <c r="E16" i="56"/>
  <c r="D16" i="56"/>
  <c r="B16" i="56"/>
  <c r="I15" i="56"/>
  <c r="H15" i="56"/>
  <c r="G15" i="56"/>
  <c r="F15" i="56"/>
  <c r="E15" i="56"/>
  <c r="D15" i="56"/>
  <c r="B15" i="56"/>
  <c r="F13" i="56"/>
  <c r="F12" i="56"/>
  <c r="B9" i="56"/>
  <c r="B7" i="56"/>
  <c r="B6" i="56"/>
  <c r="B8" i="56" s="1"/>
  <c r="B5" i="56"/>
  <c r="F50" i="115"/>
  <c r="F48" i="115"/>
  <c r="F45" i="115"/>
  <c r="F43" i="115"/>
  <c r="F41" i="115"/>
  <c r="I39" i="115"/>
  <c r="H39" i="115"/>
  <c r="G39" i="115"/>
  <c r="F39" i="115"/>
  <c r="E39" i="115"/>
  <c r="D39" i="115"/>
  <c r="F28" i="115"/>
  <c r="C28" i="115"/>
  <c r="F26" i="115"/>
  <c r="G26" i="115" s="1"/>
  <c r="C26" i="115"/>
  <c r="D26" i="115" s="1"/>
  <c r="E22" i="115"/>
  <c r="F21" i="115"/>
  <c r="G21" i="115" s="1"/>
  <c r="E21" i="115"/>
  <c r="C21" i="115"/>
  <c r="D21" i="115" s="1"/>
  <c r="G20" i="115"/>
  <c r="E20" i="115"/>
  <c r="C20" i="115"/>
  <c r="D20" i="115" s="1"/>
  <c r="E19" i="115"/>
  <c r="F17" i="115"/>
  <c r="F16" i="115"/>
  <c r="F15" i="115"/>
  <c r="F13" i="115"/>
  <c r="F12" i="115"/>
  <c r="B9" i="115"/>
  <c r="B7" i="115"/>
  <c r="B6" i="115"/>
  <c r="B5" i="115"/>
  <c r="F50" i="54"/>
  <c r="F48" i="54"/>
  <c r="F45" i="54"/>
  <c r="F43" i="54"/>
  <c r="I41" i="54"/>
  <c r="H41" i="54"/>
  <c r="G41" i="54"/>
  <c r="F41" i="54"/>
  <c r="E41" i="54"/>
  <c r="D41" i="54"/>
  <c r="B41" i="54"/>
  <c r="I39" i="54"/>
  <c r="H39" i="54"/>
  <c r="G39" i="54"/>
  <c r="F39" i="54"/>
  <c r="E39" i="54"/>
  <c r="D39" i="54"/>
  <c r="F28" i="54"/>
  <c r="C28" i="54"/>
  <c r="F26" i="54"/>
  <c r="G26" i="54" s="1"/>
  <c r="C26" i="54"/>
  <c r="D26" i="54" s="1"/>
  <c r="E22" i="54"/>
  <c r="F21" i="54"/>
  <c r="G21" i="54" s="1"/>
  <c r="E21" i="54"/>
  <c r="C21" i="54"/>
  <c r="D21" i="54" s="1"/>
  <c r="G20" i="54"/>
  <c r="E20" i="54"/>
  <c r="C20" i="54"/>
  <c r="D20" i="54" s="1"/>
  <c r="H20" i="54" s="1"/>
  <c r="I20" i="54" s="1"/>
  <c r="E19" i="54"/>
  <c r="I18" i="54"/>
  <c r="H18" i="54"/>
  <c r="G18" i="54"/>
  <c r="D18" i="54"/>
  <c r="I17" i="54"/>
  <c r="H17" i="54"/>
  <c r="G17" i="54"/>
  <c r="F17" i="54"/>
  <c r="E17" i="54"/>
  <c r="D17" i="54"/>
  <c r="B17" i="54"/>
  <c r="I16" i="54"/>
  <c r="H16" i="54"/>
  <c r="G16" i="54"/>
  <c r="F16" i="54"/>
  <c r="E16" i="54"/>
  <c r="D16" i="54"/>
  <c r="B16" i="54"/>
  <c r="I15" i="54"/>
  <c r="H15" i="54"/>
  <c r="G15" i="54"/>
  <c r="F15" i="54"/>
  <c r="E15" i="54"/>
  <c r="D15" i="54"/>
  <c r="B15" i="54"/>
  <c r="F13" i="54"/>
  <c r="F12" i="54"/>
  <c r="B9" i="54"/>
  <c r="B23" i="54" s="1"/>
  <c r="E23" i="54" s="1"/>
  <c r="B7" i="54"/>
  <c r="B13" i="54" s="1"/>
  <c r="B6" i="54"/>
  <c r="B8" i="54" s="1"/>
  <c r="B31" i="54" s="1"/>
  <c r="B5" i="54"/>
  <c r="F50" i="53"/>
  <c r="F48" i="53"/>
  <c r="F45" i="53"/>
  <c r="F43" i="53"/>
  <c r="I41" i="53"/>
  <c r="H41" i="53"/>
  <c r="G41" i="53"/>
  <c r="F41" i="53"/>
  <c r="E41" i="53"/>
  <c r="D41" i="53"/>
  <c r="B41" i="53"/>
  <c r="I39" i="53"/>
  <c r="H39" i="53"/>
  <c r="G39" i="53"/>
  <c r="F39" i="53"/>
  <c r="E39" i="53"/>
  <c r="D39" i="53"/>
  <c r="F28" i="53"/>
  <c r="C28" i="53"/>
  <c r="F26" i="53"/>
  <c r="G26" i="53" s="1"/>
  <c r="C26" i="53"/>
  <c r="D26" i="53" s="1"/>
  <c r="E22" i="53"/>
  <c r="F21" i="53"/>
  <c r="G21" i="53" s="1"/>
  <c r="E21" i="53"/>
  <c r="C21" i="53"/>
  <c r="D21" i="53" s="1"/>
  <c r="G20" i="53"/>
  <c r="E20" i="53"/>
  <c r="C20" i="53"/>
  <c r="D20" i="53" s="1"/>
  <c r="H20" i="53" s="1"/>
  <c r="I20" i="53" s="1"/>
  <c r="E19" i="53"/>
  <c r="I18" i="53"/>
  <c r="H18" i="53"/>
  <c r="G18" i="53"/>
  <c r="D18" i="53"/>
  <c r="I17" i="53"/>
  <c r="H17" i="53"/>
  <c r="G17" i="53"/>
  <c r="F17" i="53"/>
  <c r="E17" i="53"/>
  <c r="D17" i="53"/>
  <c r="B17" i="53"/>
  <c r="I16" i="53"/>
  <c r="H16" i="53"/>
  <c r="G16" i="53"/>
  <c r="F16" i="53"/>
  <c r="E16" i="53"/>
  <c r="D16" i="53"/>
  <c r="B16" i="53"/>
  <c r="I15" i="53"/>
  <c r="H15" i="53"/>
  <c r="G15" i="53"/>
  <c r="F15" i="53"/>
  <c r="E15" i="53"/>
  <c r="D15" i="53"/>
  <c r="B15" i="53"/>
  <c r="F13" i="53"/>
  <c r="F12" i="53"/>
  <c r="B9" i="53"/>
  <c r="B23" i="53" s="1"/>
  <c r="E23" i="53" s="1"/>
  <c r="B7" i="53"/>
  <c r="B13" i="53" s="1"/>
  <c r="B6" i="53"/>
  <c r="B8" i="53" s="1"/>
  <c r="B27" i="53" s="1"/>
  <c r="B5" i="53"/>
  <c r="F50" i="114"/>
  <c r="F48" i="114"/>
  <c r="F45" i="114"/>
  <c r="F43" i="114"/>
  <c r="F41" i="114"/>
  <c r="I39" i="114"/>
  <c r="H39" i="114"/>
  <c r="G39" i="114"/>
  <c r="F39" i="114"/>
  <c r="E39" i="114"/>
  <c r="D39" i="114"/>
  <c r="F28" i="114"/>
  <c r="C28" i="114"/>
  <c r="F26" i="114"/>
  <c r="G26" i="114" s="1"/>
  <c r="C26" i="114"/>
  <c r="D26" i="114" s="1"/>
  <c r="E22" i="114"/>
  <c r="F21" i="114"/>
  <c r="G21" i="114" s="1"/>
  <c r="E21" i="114"/>
  <c r="C21" i="114"/>
  <c r="D21" i="114" s="1"/>
  <c r="G20" i="114"/>
  <c r="E20" i="114"/>
  <c r="C20" i="114"/>
  <c r="D20" i="114" s="1"/>
  <c r="H20" i="114" s="1"/>
  <c r="I20" i="114" s="1"/>
  <c r="E19" i="114"/>
  <c r="F17" i="114"/>
  <c r="F16" i="114"/>
  <c r="F15" i="114"/>
  <c r="F13" i="114"/>
  <c r="F12" i="114"/>
  <c r="B9" i="114"/>
  <c r="B7" i="114"/>
  <c r="B6" i="114"/>
  <c r="B5" i="114"/>
  <c r="F50" i="52"/>
  <c r="F48" i="52"/>
  <c r="F45" i="52"/>
  <c r="F43" i="52"/>
  <c r="I41" i="52"/>
  <c r="H41" i="52"/>
  <c r="G41" i="52"/>
  <c r="F41" i="52"/>
  <c r="E41" i="52"/>
  <c r="D41" i="52"/>
  <c r="B41" i="52"/>
  <c r="I39" i="52"/>
  <c r="H39" i="52"/>
  <c r="G39" i="52"/>
  <c r="F39" i="52"/>
  <c r="E39" i="52"/>
  <c r="D39" i="52"/>
  <c r="F28" i="52"/>
  <c r="C28" i="52"/>
  <c r="F26" i="52"/>
  <c r="G26" i="52" s="1"/>
  <c r="C26" i="52"/>
  <c r="D26" i="52" s="1"/>
  <c r="E22" i="52"/>
  <c r="F21" i="52"/>
  <c r="G21" i="52" s="1"/>
  <c r="E21" i="52"/>
  <c r="C21" i="52"/>
  <c r="D21" i="52" s="1"/>
  <c r="G20" i="52"/>
  <c r="E20" i="52"/>
  <c r="C20" i="52"/>
  <c r="D20" i="52" s="1"/>
  <c r="H20" i="52" s="1"/>
  <c r="I20" i="52" s="1"/>
  <c r="E19" i="52"/>
  <c r="I18" i="52"/>
  <c r="H18" i="52"/>
  <c r="G18" i="52"/>
  <c r="D18" i="52"/>
  <c r="I17" i="52"/>
  <c r="H17" i="52"/>
  <c r="G17" i="52"/>
  <c r="F17" i="52"/>
  <c r="E17" i="52"/>
  <c r="D17" i="52"/>
  <c r="B17" i="52"/>
  <c r="I16" i="52"/>
  <c r="H16" i="52"/>
  <c r="G16" i="52"/>
  <c r="F16" i="52"/>
  <c r="E16" i="52"/>
  <c r="D16" i="52"/>
  <c r="B16" i="52"/>
  <c r="I15" i="52"/>
  <c r="H15" i="52"/>
  <c r="G15" i="52"/>
  <c r="F15" i="52"/>
  <c r="E15" i="52"/>
  <c r="D15" i="52"/>
  <c r="B15" i="52"/>
  <c r="F13" i="52"/>
  <c r="F12" i="52"/>
  <c r="B9" i="52"/>
  <c r="B23" i="52" s="1"/>
  <c r="B7" i="52"/>
  <c r="B6" i="52"/>
  <c r="B8" i="52" s="1"/>
  <c r="B5" i="52"/>
  <c r="F50" i="51"/>
  <c r="F48" i="51"/>
  <c r="F45" i="51"/>
  <c r="F43" i="51"/>
  <c r="I41" i="51"/>
  <c r="H41" i="51"/>
  <c r="G41" i="51"/>
  <c r="F41" i="51"/>
  <c r="E41" i="51"/>
  <c r="D41" i="51"/>
  <c r="B41" i="51"/>
  <c r="I39" i="51"/>
  <c r="H39" i="51"/>
  <c r="G39" i="51"/>
  <c r="F39" i="51"/>
  <c r="E39" i="51"/>
  <c r="D39" i="51"/>
  <c r="F28" i="51"/>
  <c r="C28" i="51"/>
  <c r="F26" i="51"/>
  <c r="G26" i="51" s="1"/>
  <c r="C26" i="51"/>
  <c r="D26" i="51" s="1"/>
  <c r="E22" i="51"/>
  <c r="F21" i="51"/>
  <c r="G21" i="51" s="1"/>
  <c r="E21" i="51"/>
  <c r="C21" i="51"/>
  <c r="D21" i="51" s="1"/>
  <c r="G20" i="51"/>
  <c r="E20" i="51"/>
  <c r="C20" i="51"/>
  <c r="D20" i="51" s="1"/>
  <c r="H20" i="51" s="1"/>
  <c r="I20" i="51" s="1"/>
  <c r="E19" i="51"/>
  <c r="I18" i="51"/>
  <c r="H18" i="51"/>
  <c r="G18" i="51"/>
  <c r="D18" i="51"/>
  <c r="I17" i="51"/>
  <c r="H17" i="51"/>
  <c r="G17" i="51"/>
  <c r="F17" i="51"/>
  <c r="E17" i="51"/>
  <c r="D17" i="51"/>
  <c r="B17" i="51"/>
  <c r="I16" i="51"/>
  <c r="H16" i="51"/>
  <c r="G16" i="51"/>
  <c r="F16" i="51"/>
  <c r="E16" i="51"/>
  <c r="D16" i="51"/>
  <c r="B16" i="51"/>
  <c r="I15" i="51"/>
  <c r="H15" i="51"/>
  <c r="G15" i="51"/>
  <c r="F15" i="51"/>
  <c r="E15" i="51"/>
  <c r="D15" i="51"/>
  <c r="B15" i="51"/>
  <c r="F13" i="51"/>
  <c r="F12" i="51"/>
  <c r="B9" i="51"/>
  <c r="B23" i="51" s="1"/>
  <c r="E23" i="51" s="1"/>
  <c r="B7" i="51"/>
  <c r="B12" i="51" s="1"/>
  <c r="E12" i="51" s="1"/>
  <c r="G12" i="51" s="1"/>
  <c r="B6" i="51"/>
  <c r="B8" i="51" s="1"/>
  <c r="B5" i="51"/>
  <c r="F50" i="50"/>
  <c r="F48" i="50"/>
  <c r="F45" i="50"/>
  <c r="F43" i="50"/>
  <c r="I41" i="50"/>
  <c r="H41" i="50"/>
  <c r="G41" i="50"/>
  <c r="F41" i="50"/>
  <c r="E41" i="50"/>
  <c r="D41" i="50"/>
  <c r="B41" i="50"/>
  <c r="I39" i="50"/>
  <c r="H39" i="50"/>
  <c r="G39" i="50"/>
  <c r="F39" i="50"/>
  <c r="E39" i="50"/>
  <c r="D39" i="50"/>
  <c r="F28" i="50"/>
  <c r="C28" i="50"/>
  <c r="F26" i="50"/>
  <c r="G26" i="50" s="1"/>
  <c r="C26" i="50"/>
  <c r="D26" i="50" s="1"/>
  <c r="E22" i="50"/>
  <c r="F21" i="50"/>
  <c r="G21" i="50" s="1"/>
  <c r="E21" i="50"/>
  <c r="C21" i="50"/>
  <c r="D21" i="50" s="1"/>
  <c r="G20" i="50"/>
  <c r="E20" i="50"/>
  <c r="C20" i="50"/>
  <c r="D20" i="50" s="1"/>
  <c r="H20" i="50" s="1"/>
  <c r="I20" i="50" s="1"/>
  <c r="E19" i="50"/>
  <c r="I18" i="50"/>
  <c r="H18" i="50"/>
  <c r="G18" i="50"/>
  <c r="D18" i="50"/>
  <c r="I17" i="50"/>
  <c r="H17" i="50"/>
  <c r="G17" i="50"/>
  <c r="F17" i="50"/>
  <c r="E17" i="50"/>
  <c r="D17" i="50"/>
  <c r="B17" i="50"/>
  <c r="I16" i="50"/>
  <c r="H16" i="50"/>
  <c r="G16" i="50"/>
  <c r="F16" i="50"/>
  <c r="E16" i="50"/>
  <c r="D16" i="50"/>
  <c r="B16" i="50"/>
  <c r="I15" i="50"/>
  <c r="H15" i="50"/>
  <c r="G15" i="50"/>
  <c r="F15" i="50"/>
  <c r="E15" i="50"/>
  <c r="D15" i="50"/>
  <c r="B15" i="50"/>
  <c r="F13" i="50"/>
  <c r="F12" i="50"/>
  <c r="B9" i="50"/>
  <c r="B23" i="50" s="1"/>
  <c r="B7" i="50"/>
  <c r="B6" i="50"/>
  <c r="B8" i="50" s="1"/>
  <c r="B5" i="50"/>
  <c r="F50" i="113"/>
  <c r="F48" i="113"/>
  <c r="F45" i="113"/>
  <c r="F43" i="113"/>
  <c r="F41" i="113"/>
  <c r="I39" i="113"/>
  <c r="H39" i="113"/>
  <c r="G39" i="113"/>
  <c r="F39" i="113"/>
  <c r="E39" i="113"/>
  <c r="D39" i="113"/>
  <c r="F28" i="113"/>
  <c r="C28" i="113"/>
  <c r="F26" i="113"/>
  <c r="G26" i="113" s="1"/>
  <c r="C26" i="113"/>
  <c r="D26" i="113" s="1"/>
  <c r="E22" i="113"/>
  <c r="F21" i="113"/>
  <c r="G21" i="113" s="1"/>
  <c r="E21" i="113"/>
  <c r="C21" i="113"/>
  <c r="D21" i="113" s="1"/>
  <c r="G20" i="113"/>
  <c r="E20" i="113"/>
  <c r="C20" i="113"/>
  <c r="D20" i="113" s="1"/>
  <c r="E19" i="113"/>
  <c r="F17" i="113"/>
  <c r="F16" i="113"/>
  <c r="F15" i="113"/>
  <c r="F13" i="113"/>
  <c r="F12" i="113"/>
  <c r="B9" i="113"/>
  <c r="B7" i="113"/>
  <c r="B6" i="113"/>
  <c r="B5" i="113"/>
  <c r="F50" i="49"/>
  <c r="F48" i="49"/>
  <c r="F45" i="49"/>
  <c r="F43" i="49"/>
  <c r="I41" i="49"/>
  <c r="H41" i="49"/>
  <c r="G41" i="49"/>
  <c r="F41" i="49"/>
  <c r="E41" i="49"/>
  <c r="D41" i="49"/>
  <c r="B41" i="49"/>
  <c r="I39" i="49"/>
  <c r="H39" i="49"/>
  <c r="G39" i="49"/>
  <c r="F39" i="49"/>
  <c r="E39" i="49"/>
  <c r="D39" i="49"/>
  <c r="F28" i="49"/>
  <c r="C28" i="49"/>
  <c r="F26" i="49"/>
  <c r="G26" i="49" s="1"/>
  <c r="C26" i="49"/>
  <c r="D26" i="49" s="1"/>
  <c r="E22" i="49"/>
  <c r="F21" i="49"/>
  <c r="G21" i="49" s="1"/>
  <c r="E21" i="49"/>
  <c r="C21" i="49"/>
  <c r="D21" i="49" s="1"/>
  <c r="G20" i="49"/>
  <c r="E20" i="49"/>
  <c r="C20" i="49"/>
  <c r="D20" i="49" s="1"/>
  <c r="H20" i="49" s="1"/>
  <c r="I20" i="49" s="1"/>
  <c r="E19" i="49"/>
  <c r="I18" i="49"/>
  <c r="H18" i="49"/>
  <c r="G18" i="49"/>
  <c r="D18" i="49"/>
  <c r="I17" i="49"/>
  <c r="H17" i="49"/>
  <c r="G17" i="49"/>
  <c r="F17" i="49"/>
  <c r="E17" i="49"/>
  <c r="D17" i="49"/>
  <c r="B17" i="49"/>
  <c r="I16" i="49"/>
  <c r="H16" i="49"/>
  <c r="G16" i="49"/>
  <c r="F16" i="49"/>
  <c r="E16" i="49"/>
  <c r="D16" i="49"/>
  <c r="B16" i="49"/>
  <c r="I15" i="49"/>
  <c r="H15" i="49"/>
  <c r="G15" i="49"/>
  <c r="F15" i="49"/>
  <c r="E15" i="49"/>
  <c r="D15" i="49"/>
  <c r="B15" i="49"/>
  <c r="F13" i="49"/>
  <c r="F12" i="49"/>
  <c r="B9" i="49"/>
  <c r="B24" i="49" s="1"/>
  <c r="B7" i="49"/>
  <c r="C27" i="49" s="1"/>
  <c r="F27" i="49" s="1"/>
  <c r="B6" i="49"/>
  <c r="B8" i="49" s="1"/>
  <c r="B5" i="49"/>
  <c r="F50" i="48"/>
  <c r="F48" i="48"/>
  <c r="F45" i="48"/>
  <c r="F43" i="48"/>
  <c r="I41" i="48"/>
  <c r="H41" i="48"/>
  <c r="G41" i="48"/>
  <c r="F41" i="48"/>
  <c r="E41" i="48"/>
  <c r="D41" i="48"/>
  <c r="B41" i="48"/>
  <c r="I39" i="48"/>
  <c r="H39" i="48"/>
  <c r="G39" i="48"/>
  <c r="F39" i="48"/>
  <c r="E39" i="48"/>
  <c r="D39" i="48"/>
  <c r="F28" i="48"/>
  <c r="C28" i="48"/>
  <c r="F26" i="48"/>
  <c r="G26" i="48" s="1"/>
  <c r="C26" i="48"/>
  <c r="D26" i="48" s="1"/>
  <c r="E22" i="48"/>
  <c r="F21" i="48"/>
  <c r="G21" i="48" s="1"/>
  <c r="E21" i="48"/>
  <c r="C21" i="48"/>
  <c r="D21" i="48" s="1"/>
  <c r="G20" i="48"/>
  <c r="E20" i="48"/>
  <c r="C20" i="48"/>
  <c r="D20" i="48" s="1"/>
  <c r="H20" i="48" s="1"/>
  <c r="I20" i="48" s="1"/>
  <c r="E19" i="48"/>
  <c r="I18" i="48"/>
  <c r="H18" i="48"/>
  <c r="G18" i="48"/>
  <c r="D18" i="48"/>
  <c r="I17" i="48"/>
  <c r="H17" i="48"/>
  <c r="G17" i="48"/>
  <c r="F17" i="48"/>
  <c r="E17" i="48"/>
  <c r="D17" i="48"/>
  <c r="B17" i="48"/>
  <c r="I16" i="48"/>
  <c r="H16" i="48"/>
  <c r="G16" i="48"/>
  <c r="F16" i="48"/>
  <c r="E16" i="48"/>
  <c r="D16" i="48"/>
  <c r="B16" i="48"/>
  <c r="I15" i="48"/>
  <c r="H15" i="48"/>
  <c r="G15" i="48"/>
  <c r="F15" i="48"/>
  <c r="E15" i="48"/>
  <c r="D15" i="48"/>
  <c r="B15" i="48"/>
  <c r="F13" i="48"/>
  <c r="F12" i="48"/>
  <c r="B9" i="48"/>
  <c r="B24" i="48" s="1"/>
  <c r="E24" i="48" s="1"/>
  <c r="B7" i="48"/>
  <c r="C27" i="48" s="1"/>
  <c r="F27" i="48" s="1"/>
  <c r="B6" i="48"/>
  <c r="B8" i="48" s="1"/>
  <c r="B38" i="48" s="1"/>
  <c r="B5" i="48"/>
  <c r="F50" i="47"/>
  <c r="F48" i="47"/>
  <c r="F45" i="47"/>
  <c r="F43" i="47"/>
  <c r="I41" i="47"/>
  <c r="H41" i="47"/>
  <c r="G41" i="47"/>
  <c r="F41" i="47"/>
  <c r="E41" i="47"/>
  <c r="D41" i="47"/>
  <c r="B41" i="47"/>
  <c r="I39" i="47"/>
  <c r="H39" i="47"/>
  <c r="G39" i="47"/>
  <c r="F39" i="47"/>
  <c r="E39" i="47"/>
  <c r="D39" i="47"/>
  <c r="F28" i="47"/>
  <c r="C28" i="47"/>
  <c r="F26" i="47"/>
  <c r="G26" i="47" s="1"/>
  <c r="C26" i="47"/>
  <c r="D26" i="47" s="1"/>
  <c r="E22" i="47"/>
  <c r="F21" i="47"/>
  <c r="G21" i="47" s="1"/>
  <c r="E21" i="47"/>
  <c r="C21" i="47"/>
  <c r="D21" i="47" s="1"/>
  <c r="G20" i="47"/>
  <c r="E20" i="47"/>
  <c r="C20" i="47"/>
  <c r="D20" i="47" s="1"/>
  <c r="H20" i="47" s="1"/>
  <c r="I20" i="47" s="1"/>
  <c r="E19" i="47"/>
  <c r="I18" i="47"/>
  <c r="H18" i="47"/>
  <c r="G18" i="47"/>
  <c r="D18" i="47"/>
  <c r="I17" i="47"/>
  <c r="H17" i="47"/>
  <c r="G17" i="47"/>
  <c r="F17" i="47"/>
  <c r="E17" i="47"/>
  <c r="D17" i="47"/>
  <c r="B17" i="47"/>
  <c r="I16" i="47"/>
  <c r="H16" i="47"/>
  <c r="G16" i="47"/>
  <c r="F16" i="47"/>
  <c r="E16" i="47"/>
  <c r="D16" i="47"/>
  <c r="B16" i="47"/>
  <c r="I15" i="47"/>
  <c r="H15" i="47"/>
  <c r="G15" i="47"/>
  <c r="F15" i="47"/>
  <c r="E15" i="47"/>
  <c r="D15" i="47"/>
  <c r="B15" i="47"/>
  <c r="F13" i="47"/>
  <c r="F12" i="47"/>
  <c r="B9" i="47"/>
  <c r="B24" i="47" s="1"/>
  <c r="E24" i="47" s="1"/>
  <c r="B7" i="47"/>
  <c r="C27" i="47" s="1"/>
  <c r="F27" i="47" s="1"/>
  <c r="B6" i="47"/>
  <c r="B8" i="47" s="1"/>
  <c r="B5" i="47"/>
  <c r="F50" i="112"/>
  <c r="F48" i="112"/>
  <c r="F45" i="112"/>
  <c r="F43" i="112"/>
  <c r="F41" i="112"/>
  <c r="I39" i="112"/>
  <c r="H39" i="112"/>
  <c r="G39" i="112"/>
  <c r="F39" i="112"/>
  <c r="E39" i="112"/>
  <c r="D39" i="112"/>
  <c r="F28" i="112"/>
  <c r="C28" i="112"/>
  <c r="F26" i="112"/>
  <c r="G26" i="112" s="1"/>
  <c r="C26" i="112"/>
  <c r="D26" i="112" s="1"/>
  <c r="E22" i="112"/>
  <c r="F21" i="112"/>
  <c r="G21" i="112" s="1"/>
  <c r="E21" i="112"/>
  <c r="C21" i="112"/>
  <c r="D21" i="112" s="1"/>
  <c r="G20" i="112"/>
  <c r="E20" i="112"/>
  <c r="C20" i="112"/>
  <c r="D20" i="112" s="1"/>
  <c r="H20" i="112" s="1"/>
  <c r="I20" i="112" s="1"/>
  <c r="E19" i="112"/>
  <c r="F17" i="112"/>
  <c r="F16" i="112"/>
  <c r="F15" i="112"/>
  <c r="F13" i="112"/>
  <c r="F12" i="112"/>
  <c r="B9" i="112"/>
  <c r="B7" i="112"/>
  <c r="B6" i="112"/>
  <c r="B5" i="112"/>
  <c r="F50" i="46"/>
  <c r="F48" i="46"/>
  <c r="F45" i="46"/>
  <c r="F43" i="46"/>
  <c r="I41" i="46"/>
  <c r="H41" i="46"/>
  <c r="G41" i="46"/>
  <c r="F41" i="46"/>
  <c r="E41" i="46"/>
  <c r="D41" i="46"/>
  <c r="B41" i="46"/>
  <c r="I39" i="46"/>
  <c r="H39" i="46"/>
  <c r="G39" i="46"/>
  <c r="F39" i="46"/>
  <c r="E39" i="46"/>
  <c r="D39" i="46"/>
  <c r="F28" i="46"/>
  <c r="C28" i="46"/>
  <c r="F26" i="46"/>
  <c r="G26" i="46" s="1"/>
  <c r="C26" i="46"/>
  <c r="D26" i="46" s="1"/>
  <c r="E22" i="46"/>
  <c r="F21" i="46"/>
  <c r="G21" i="46" s="1"/>
  <c r="E21" i="46"/>
  <c r="C21" i="46"/>
  <c r="D21" i="46" s="1"/>
  <c r="G20" i="46"/>
  <c r="E20" i="46"/>
  <c r="C20" i="46"/>
  <c r="D20" i="46" s="1"/>
  <c r="H20" i="46" s="1"/>
  <c r="I20" i="46" s="1"/>
  <c r="E19" i="46"/>
  <c r="I18" i="46"/>
  <c r="H18" i="46"/>
  <c r="G18" i="46"/>
  <c r="D18" i="46"/>
  <c r="I17" i="46"/>
  <c r="H17" i="46"/>
  <c r="G17" i="46"/>
  <c r="F17" i="46"/>
  <c r="E17" i="46"/>
  <c r="D17" i="46"/>
  <c r="B17" i="46"/>
  <c r="I16" i="46"/>
  <c r="H16" i="46"/>
  <c r="G16" i="46"/>
  <c r="F16" i="46"/>
  <c r="E16" i="46"/>
  <c r="D16" i="46"/>
  <c r="B16" i="46"/>
  <c r="I15" i="46"/>
  <c r="H15" i="46"/>
  <c r="G15" i="46"/>
  <c r="F15" i="46"/>
  <c r="E15" i="46"/>
  <c r="D15" i="46"/>
  <c r="B15" i="46"/>
  <c r="F13" i="46"/>
  <c r="F12" i="46"/>
  <c r="B9" i="46"/>
  <c r="B7" i="46"/>
  <c r="B6" i="46"/>
  <c r="B8" i="46" s="1"/>
  <c r="B5" i="46"/>
  <c r="F50" i="4"/>
  <c r="F48" i="4"/>
  <c r="F45" i="4"/>
  <c r="F43" i="4"/>
  <c r="I41" i="4"/>
  <c r="H41" i="4"/>
  <c r="G41" i="4"/>
  <c r="F41" i="4"/>
  <c r="E41" i="4"/>
  <c r="D41" i="4"/>
  <c r="B41" i="4"/>
  <c r="I39" i="4"/>
  <c r="H39" i="4"/>
  <c r="G39" i="4"/>
  <c r="F39" i="4"/>
  <c r="E39" i="4"/>
  <c r="D39" i="4"/>
  <c r="F28" i="4"/>
  <c r="C28" i="4"/>
  <c r="F26" i="4"/>
  <c r="G26" i="4" s="1"/>
  <c r="C26" i="4"/>
  <c r="D26" i="4" s="1"/>
  <c r="E22" i="4"/>
  <c r="F21" i="4"/>
  <c r="G21" i="4" s="1"/>
  <c r="E21" i="4"/>
  <c r="C21" i="4"/>
  <c r="D21" i="4" s="1"/>
  <c r="G20" i="4"/>
  <c r="E20" i="4"/>
  <c r="C20" i="4"/>
  <c r="D20" i="4" s="1"/>
  <c r="H20" i="4" s="1"/>
  <c r="I20" i="4" s="1"/>
  <c r="E19" i="4"/>
  <c r="I18" i="4"/>
  <c r="H18" i="4"/>
  <c r="G18" i="4"/>
  <c r="D18" i="4"/>
  <c r="I17" i="4"/>
  <c r="H17" i="4"/>
  <c r="G17" i="4"/>
  <c r="F17" i="4"/>
  <c r="E17" i="4"/>
  <c r="D17" i="4"/>
  <c r="B17" i="4"/>
  <c r="I16" i="4"/>
  <c r="H16" i="4"/>
  <c r="G16" i="4"/>
  <c r="F16" i="4"/>
  <c r="E16" i="4"/>
  <c r="D16" i="4"/>
  <c r="B16" i="4"/>
  <c r="I15" i="4"/>
  <c r="H15" i="4"/>
  <c r="G15" i="4"/>
  <c r="F15" i="4"/>
  <c r="E15" i="4"/>
  <c r="D15" i="4"/>
  <c r="B15" i="4"/>
  <c r="F13" i="4"/>
  <c r="F12" i="4"/>
  <c r="B9" i="4"/>
  <c r="B7" i="4"/>
  <c r="C27" i="4" s="1"/>
  <c r="F27" i="4" s="1"/>
  <c r="B6" i="4"/>
  <c r="B8" i="4" s="1"/>
  <c r="B5" i="4"/>
  <c r="D45" i="7"/>
  <c r="C45" i="7"/>
  <c r="D43" i="7"/>
  <c r="C43" i="7"/>
  <c r="D42" i="7"/>
  <c r="C42" i="7"/>
  <c r="D40" i="7"/>
  <c r="C40" i="7"/>
  <c r="C39" i="7"/>
  <c r="C37" i="7"/>
  <c r="C36" i="7"/>
  <c r="C34" i="7"/>
  <c r="C33" i="7"/>
  <c r="C31" i="7"/>
  <c r="D30" i="7"/>
  <c r="C30" i="7"/>
  <c r="D28" i="7"/>
  <c r="C28" i="7"/>
  <c r="D27" i="7"/>
  <c r="C27" i="7"/>
  <c r="D25" i="7"/>
  <c r="C25" i="7"/>
  <c r="C24" i="7"/>
  <c r="C22" i="7"/>
  <c r="C21" i="7"/>
  <c r="C20" i="7"/>
  <c r="C18" i="7"/>
  <c r="C17" i="7"/>
  <c r="C16" i="7"/>
  <c r="C14" i="7"/>
  <c r="C13" i="7"/>
  <c r="C11" i="7"/>
  <c r="C10" i="7"/>
  <c r="C9" i="7"/>
  <c r="C7" i="7"/>
  <c r="C6" i="7"/>
  <c r="C5" i="7"/>
  <c r="C3" i="7"/>
  <c r="C2" i="7"/>
  <c r="B5" i="80"/>
  <c r="B22" i="80" s="1"/>
  <c r="E22" i="80" s="1"/>
  <c r="B4" i="80"/>
  <c r="C44" i="7" s="1"/>
  <c r="B5" i="77"/>
  <c r="B4" i="77"/>
  <c r="B5" i="74"/>
  <c r="B25" i="74" s="1"/>
  <c r="E25" i="74" s="1"/>
  <c r="B4" i="74"/>
  <c r="C29" i="7" s="1"/>
  <c r="B5" i="71"/>
  <c r="B4" i="71"/>
  <c r="B4" i="69"/>
  <c r="B4" i="66"/>
  <c r="B4" i="63"/>
  <c r="B4" i="116"/>
  <c r="B16" i="116" s="1"/>
  <c r="B4" i="117"/>
  <c r="B4" i="115"/>
  <c r="B4" i="114"/>
  <c r="B4" i="113"/>
  <c r="B4" i="112"/>
  <c r="B17" i="112" s="1"/>
  <c r="X15" i="3"/>
  <c r="W15" i="3"/>
  <c r="U14" i="3"/>
  <c r="X13" i="3"/>
  <c r="W13" i="3"/>
  <c r="C19" i="73"/>
  <c r="D19" i="73" s="1"/>
  <c r="U12" i="3"/>
  <c r="C25" i="71"/>
  <c r="C21" i="5"/>
  <c r="D21" i="5" s="1"/>
  <c r="C16" i="72"/>
  <c r="D16" i="72" s="1"/>
  <c r="C16" i="70"/>
  <c r="D16" i="70" s="1"/>
  <c r="U10" i="3"/>
  <c r="C24" i="65"/>
  <c r="X9" i="3"/>
  <c r="U8" i="3"/>
  <c r="F19" i="60"/>
  <c r="G19" i="60" s="1"/>
  <c r="Y8" i="3"/>
  <c r="F32" i="62" s="1"/>
  <c r="C31" i="60"/>
  <c r="C19" i="62"/>
  <c r="D19" i="62" s="1"/>
  <c r="U7" i="3"/>
  <c r="F19" i="117"/>
  <c r="G19" i="117" s="1"/>
  <c r="C32" i="58"/>
  <c r="X7" i="3"/>
  <c r="W7" i="3"/>
  <c r="U6" i="3"/>
  <c r="F19" i="115"/>
  <c r="G19" i="115" s="1"/>
  <c r="C31" i="115"/>
  <c r="C19" i="56"/>
  <c r="D19" i="56" s="1"/>
  <c r="U5" i="3"/>
  <c r="C32" i="52"/>
  <c r="W5" i="3"/>
  <c r="C22" i="114"/>
  <c r="D22" i="114" s="1"/>
  <c r="C23" i="114"/>
  <c r="U4" i="3"/>
  <c r="C31" i="49"/>
  <c r="C24" i="113"/>
  <c r="V4" i="3"/>
  <c r="C19" i="113"/>
  <c r="D19" i="113" s="1"/>
  <c r="U3" i="3"/>
  <c r="F19" i="46"/>
  <c r="G19" i="46" s="1"/>
  <c r="C32" i="4"/>
  <c r="C22" i="47"/>
  <c r="D22" i="47" s="1"/>
  <c r="C23" i="46"/>
  <c r="C19" i="47"/>
  <c r="D19" i="47" s="1"/>
  <c r="C16" i="25" l="1"/>
  <c r="D16" i="25" s="1"/>
  <c r="C16" i="63"/>
  <c r="D16" i="63" s="1"/>
  <c r="C16" i="64"/>
  <c r="D16" i="64" s="1"/>
  <c r="C23" i="47"/>
  <c r="C19" i="115"/>
  <c r="D19" i="115" s="1"/>
  <c r="H19" i="115" s="1"/>
  <c r="I19" i="115" s="1"/>
  <c r="H21" i="53"/>
  <c r="I21" i="53" s="1"/>
  <c r="C19" i="48"/>
  <c r="D19" i="48" s="1"/>
  <c r="C24" i="50"/>
  <c r="C31" i="56"/>
  <c r="B28" i="76"/>
  <c r="D28" i="76" s="1"/>
  <c r="B23" i="60"/>
  <c r="E23" i="60" s="1"/>
  <c r="H26" i="114"/>
  <c r="I26" i="114" s="1"/>
  <c r="B24" i="65"/>
  <c r="E24" i="65" s="1"/>
  <c r="B12" i="66"/>
  <c r="E12" i="66" s="1"/>
  <c r="G12" i="66" s="1"/>
  <c r="B24" i="51"/>
  <c r="E24" i="51" s="1"/>
  <c r="B12" i="64"/>
  <c r="D12" i="64" s="1"/>
  <c r="B36" i="61"/>
  <c r="D36" i="61" s="1"/>
  <c r="B38" i="61"/>
  <c r="E38" i="61" s="1"/>
  <c r="G38" i="61" s="1"/>
  <c r="B37" i="61"/>
  <c r="D37" i="61" s="1"/>
  <c r="B17" i="117"/>
  <c r="D17" i="117" s="1"/>
  <c r="B16" i="117"/>
  <c r="D16" i="117" s="1"/>
  <c r="B24" i="57"/>
  <c r="E24" i="57" s="1"/>
  <c r="C16" i="5"/>
  <c r="D16" i="5" s="1"/>
  <c r="Y10" i="3"/>
  <c r="F24" i="67" s="1"/>
  <c r="D29" i="7"/>
  <c r="C32" i="46"/>
  <c r="C19" i="50"/>
  <c r="D19" i="50" s="1"/>
  <c r="C32" i="53"/>
  <c r="B8" i="116"/>
  <c r="B27" i="116" s="1"/>
  <c r="E27" i="116" s="1"/>
  <c r="B23" i="58"/>
  <c r="E23" i="58" s="1"/>
  <c r="B17" i="65"/>
  <c r="B27" i="64"/>
  <c r="D27" i="64" s="1"/>
  <c r="C35" i="7"/>
  <c r="C23" i="112"/>
  <c r="C23" i="52"/>
  <c r="D23" i="52" s="1"/>
  <c r="C19" i="54"/>
  <c r="D19" i="54" s="1"/>
  <c r="C31" i="116"/>
  <c r="C32" i="57"/>
  <c r="H26" i="117"/>
  <c r="I26" i="117" s="1"/>
  <c r="C32" i="59"/>
  <c r="B21" i="74"/>
  <c r="E21" i="74" s="1"/>
  <c r="C22" i="48"/>
  <c r="D22" i="48" s="1"/>
  <c r="B12" i="4"/>
  <c r="E12" i="4" s="1"/>
  <c r="G12" i="4" s="1"/>
  <c r="C23" i="4"/>
  <c r="C32" i="112"/>
  <c r="C32" i="47"/>
  <c r="C19" i="49"/>
  <c r="D19" i="49" s="1"/>
  <c r="D12" i="51"/>
  <c r="H12" i="51" s="1"/>
  <c r="I12" i="51" s="1"/>
  <c r="B23" i="61"/>
  <c r="E23" i="61" s="1"/>
  <c r="C32" i="117"/>
  <c r="B17" i="70"/>
  <c r="E17" i="70" s="1"/>
  <c r="B15" i="114"/>
  <c r="B12" i="114"/>
  <c r="D12" i="114" s="1"/>
  <c r="B16" i="114"/>
  <c r="B41" i="114"/>
  <c r="B17" i="114"/>
  <c r="B13" i="114"/>
  <c r="E13" i="114" s="1"/>
  <c r="G13" i="114" s="1"/>
  <c r="C12" i="7"/>
  <c r="F22" i="50"/>
  <c r="G22" i="50" s="1"/>
  <c r="F22" i="48"/>
  <c r="G22" i="48" s="1"/>
  <c r="F22" i="113"/>
  <c r="G22" i="113" s="1"/>
  <c r="F22" i="49"/>
  <c r="G22" i="49" s="1"/>
  <c r="F24" i="73"/>
  <c r="G24" i="73" s="1"/>
  <c r="F24" i="75"/>
  <c r="G24" i="75" s="1"/>
  <c r="F24" i="74"/>
  <c r="B17" i="113"/>
  <c r="B41" i="113"/>
  <c r="C8" i="7"/>
  <c r="B15" i="113"/>
  <c r="B8" i="113"/>
  <c r="B31" i="113" s="1"/>
  <c r="E31" i="113" s="1"/>
  <c r="B16" i="113"/>
  <c r="E16" i="116"/>
  <c r="G16" i="116" s="1"/>
  <c r="D16" i="116"/>
  <c r="F23" i="46"/>
  <c r="F23" i="47"/>
  <c r="F23" i="112"/>
  <c r="C31" i="53"/>
  <c r="C31" i="114"/>
  <c r="C31" i="51"/>
  <c r="C31" i="52"/>
  <c r="C23" i="115"/>
  <c r="C23" i="56"/>
  <c r="C32" i="115"/>
  <c r="C32" i="54"/>
  <c r="C32" i="56"/>
  <c r="F24" i="57"/>
  <c r="F24" i="59"/>
  <c r="F24" i="117"/>
  <c r="C22" i="62"/>
  <c r="D22" i="62" s="1"/>
  <c r="C22" i="116"/>
  <c r="D22" i="116" s="1"/>
  <c r="C22" i="61"/>
  <c r="D22" i="61" s="1"/>
  <c r="C22" i="60"/>
  <c r="D22" i="60" s="1"/>
  <c r="V8" i="3"/>
  <c r="C18" i="70"/>
  <c r="D18" i="70" s="1"/>
  <c r="C18" i="69"/>
  <c r="C18" i="68"/>
  <c r="C16" i="74"/>
  <c r="D16" i="74" s="1"/>
  <c r="C16" i="73"/>
  <c r="D16" i="73" s="1"/>
  <c r="C16" i="75"/>
  <c r="D16" i="75" s="1"/>
  <c r="C22" i="75"/>
  <c r="C22" i="74"/>
  <c r="C22" i="73"/>
  <c r="U13" i="3"/>
  <c r="C25" i="78"/>
  <c r="D25" i="78" s="1"/>
  <c r="C25" i="76"/>
  <c r="D25" i="76" s="1"/>
  <c r="C25" i="77"/>
  <c r="F22" i="78"/>
  <c r="F22" i="77"/>
  <c r="F22" i="76"/>
  <c r="F19" i="81"/>
  <c r="G19" i="81" s="1"/>
  <c r="F19" i="79"/>
  <c r="G19" i="79" s="1"/>
  <c r="F19" i="80"/>
  <c r="B21" i="71"/>
  <c r="E21" i="71" s="1"/>
  <c r="B20" i="71"/>
  <c r="E20" i="71" s="1"/>
  <c r="B24" i="71"/>
  <c r="E24" i="71" s="1"/>
  <c r="B25" i="71"/>
  <c r="E25" i="71" s="1"/>
  <c r="D26" i="7"/>
  <c r="B23" i="47"/>
  <c r="E23" i="47" s="1"/>
  <c r="B23" i="114"/>
  <c r="E23" i="114" s="1"/>
  <c r="B24" i="56"/>
  <c r="B23" i="56"/>
  <c r="C19" i="46"/>
  <c r="D19" i="46" s="1"/>
  <c r="H19" i="46" s="1"/>
  <c r="I19" i="46" s="1"/>
  <c r="C19" i="4"/>
  <c r="D19" i="4" s="1"/>
  <c r="C32" i="50"/>
  <c r="C32" i="49"/>
  <c r="C32" i="48"/>
  <c r="F24" i="114"/>
  <c r="F24" i="51"/>
  <c r="F24" i="53"/>
  <c r="F24" i="52"/>
  <c r="C22" i="56"/>
  <c r="D22" i="56" s="1"/>
  <c r="C22" i="115"/>
  <c r="D22" i="115" s="1"/>
  <c r="C22" i="54"/>
  <c r="D22" i="54" s="1"/>
  <c r="V6" i="3"/>
  <c r="C18" i="64"/>
  <c r="C18" i="25"/>
  <c r="C18" i="63"/>
  <c r="C15" i="70"/>
  <c r="D15" i="70" s="1"/>
  <c r="C15" i="69"/>
  <c r="D15" i="69" s="1"/>
  <c r="C15" i="68"/>
  <c r="D15" i="68" s="1"/>
  <c r="C19" i="68"/>
  <c r="C19" i="69"/>
  <c r="U11" i="3"/>
  <c r="C19" i="70"/>
  <c r="C20" i="72"/>
  <c r="D20" i="72" s="1"/>
  <c r="C20" i="71"/>
  <c r="C20" i="5"/>
  <c r="D20" i="5" s="1"/>
  <c r="F22" i="71"/>
  <c r="F22" i="5"/>
  <c r="F22" i="72"/>
  <c r="F21" i="75"/>
  <c r="G21" i="75" s="1"/>
  <c r="F21" i="74"/>
  <c r="F21" i="73"/>
  <c r="G21" i="73" s="1"/>
  <c r="C19" i="77"/>
  <c r="D19" i="77" s="1"/>
  <c r="C19" i="78"/>
  <c r="D19" i="78" s="1"/>
  <c r="C19" i="76"/>
  <c r="D19" i="76" s="1"/>
  <c r="V14" i="3"/>
  <c r="F22" i="81"/>
  <c r="G22" i="81" s="1"/>
  <c r="F22" i="80"/>
  <c r="G22" i="80" s="1"/>
  <c r="F22" i="79"/>
  <c r="G22" i="79" s="1"/>
  <c r="E17" i="112"/>
  <c r="G17" i="112" s="1"/>
  <c r="D17" i="112"/>
  <c r="B23" i="49"/>
  <c r="E23" i="49" s="1"/>
  <c r="F19" i="50"/>
  <c r="G19" i="50" s="1"/>
  <c r="F19" i="48"/>
  <c r="G19" i="48" s="1"/>
  <c r="F19" i="49"/>
  <c r="G19" i="49" s="1"/>
  <c r="F19" i="113"/>
  <c r="G19" i="113" s="1"/>
  <c r="H19" i="113" s="1"/>
  <c r="I19" i="113" s="1"/>
  <c r="C24" i="59"/>
  <c r="D24" i="59" s="1"/>
  <c r="C24" i="117"/>
  <c r="C24" i="58"/>
  <c r="D24" i="58" s="1"/>
  <c r="C24" i="57"/>
  <c r="C15" i="64"/>
  <c r="D15" i="64" s="1"/>
  <c r="C15" i="25"/>
  <c r="D15" i="25" s="1"/>
  <c r="C15" i="63"/>
  <c r="D15" i="63" s="1"/>
  <c r="C23" i="63"/>
  <c r="C23" i="64"/>
  <c r="C23" i="25"/>
  <c r="C19" i="64"/>
  <c r="C19" i="63"/>
  <c r="C19" i="25"/>
  <c r="U9" i="3"/>
  <c r="C17" i="67"/>
  <c r="C17" i="66"/>
  <c r="C17" i="65"/>
  <c r="C24" i="67"/>
  <c r="C24" i="66"/>
  <c r="F19" i="67"/>
  <c r="F19" i="66"/>
  <c r="F19" i="65"/>
  <c r="W11" i="3"/>
  <c r="C19" i="72"/>
  <c r="D19" i="72" s="1"/>
  <c r="C19" i="71"/>
  <c r="D19" i="71" s="1"/>
  <c r="C19" i="5"/>
  <c r="D19" i="5" s="1"/>
  <c r="V12" i="3"/>
  <c r="Y14" i="3"/>
  <c r="C19" i="80"/>
  <c r="C19" i="81"/>
  <c r="D19" i="81" s="1"/>
  <c r="C19" i="79"/>
  <c r="D19" i="79" s="1"/>
  <c r="F18" i="81"/>
  <c r="G18" i="81" s="1"/>
  <c r="F18" i="80"/>
  <c r="F18" i="79"/>
  <c r="G18" i="79" s="1"/>
  <c r="B15" i="112"/>
  <c r="B8" i="112"/>
  <c r="B38" i="112" s="1"/>
  <c r="E38" i="112" s="1"/>
  <c r="G38" i="112" s="1"/>
  <c r="B16" i="112"/>
  <c r="C4" i="7"/>
  <c r="B24" i="112"/>
  <c r="C19" i="112"/>
  <c r="D19" i="112" s="1"/>
  <c r="B23" i="112"/>
  <c r="E23" i="112" s="1"/>
  <c r="B41" i="112"/>
  <c r="B38" i="47"/>
  <c r="D38" i="47" s="1"/>
  <c r="B32" i="47"/>
  <c r="E32" i="47" s="1"/>
  <c r="B36" i="47"/>
  <c r="D36" i="47" s="1"/>
  <c r="B28" i="47"/>
  <c r="E28" i="47" s="1"/>
  <c r="G28" i="47" s="1"/>
  <c r="C24" i="47"/>
  <c r="D24" i="47" s="1"/>
  <c r="C24" i="112"/>
  <c r="C24" i="46"/>
  <c r="C24" i="4"/>
  <c r="C19" i="114"/>
  <c r="D19" i="114" s="1"/>
  <c r="C19" i="52"/>
  <c r="D19" i="52" s="1"/>
  <c r="C19" i="53"/>
  <c r="D19" i="53" s="1"/>
  <c r="C19" i="51"/>
  <c r="D19" i="51" s="1"/>
  <c r="F23" i="63"/>
  <c r="F23" i="64"/>
  <c r="F23" i="25"/>
  <c r="C24" i="75"/>
  <c r="D24" i="75" s="1"/>
  <c r="C24" i="74"/>
  <c r="C24" i="73"/>
  <c r="D24" i="73" s="1"/>
  <c r="C20" i="78"/>
  <c r="D20" i="78" s="1"/>
  <c r="C20" i="77"/>
  <c r="C20" i="76"/>
  <c r="D20" i="76" s="1"/>
  <c r="B32" i="63"/>
  <c r="B12" i="63"/>
  <c r="B24" i="77"/>
  <c r="B21" i="77"/>
  <c r="B20" i="77"/>
  <c r="B25" i="77"/>
  <c r="E25" i="77" s="1"/>
  <c r="C32" i="7"/>
  <c r="C27" i="46"/>
  <c r="F27" i="46" s="1"/>
  <c r="B12" i="46"/>
  <c r="E12" i="46" s="1"/>
  <c r="G12" i="46" s="1"/>
  <c r="B12" i="52"/>
  <c r="E12" i="52" s="1"/>
  <c r="G12" i="52" s="1"/>
  <c r="B13" i="52"/>
  <c r="E13" i="52" s="1"/>
  <c r="G13" i="52" s="1"/>
  <c r="C27" i="52"/>
  <c r="F27" i="52" s="1"/>
  <c r="F24" i="58"/>
  <c r="C21" i="67"/>
  <c r="F21" i="67" s="1"/>
  <c r="B12" i="67"/>
  <c r="D12" i="67" s="1"/>
  <c r="B13" i="67"/>
  <c r="E13" i="67" s="1"/>
  <c r="G13" i="67" s="1"/>
  <c r="C31" i="112"/>
  <c r="C31" i="46"/>
  <c r="C23" i="50"/>
  <c r="D23" i="50" s="1"/>
  <c r="C23" i="113"/>
  <c r="C23" i="49"/>
  <c r="D23" i="49" s="1"/>
  <c r="C23" i="48"/>
  <c r="F31" i="59"/>
  <c r="F31" i="117"/>
  <c r="F31" i="57"/>
  <c r="F31" i="58"/>
  <c r="F32" i="116"/>
  <c r="F32" i="61"/>
  <c r="F32" i="60"/>
  <c r="C23" i="70"/>
  <c r="C23" i="69"/>
  <c r="C23" i="68"/>
  <c r="C25" i="72"/>
  <c r="D25" i="72" s="1"/>
  <c r="C25" i="5"/>
  <c r="D25" i="5" s="1"/>
  <c r="B16" i="115"/>
  <c r="B41" i="115"/>
  <c r="B17" i="115"/>
  <c r="B15" i="115"/>
  <c r="B8" i="115"/>
  <c r="B37" i="115" s="1"/>
  <c r="E37" i="115" s="1"/>
  <c r="G37" i="115" s="1"/>
  <c r="C15" i="7"/>
  <c r="D41" i="7"/>
  <c r="C31" i="47"/>
  <c r="E24" i="49"/>
  <c r="C23" i="54"/>
  <c r="C27" i="59"/>
  <c r="F27" i="59" s="1"/>
  <c r="B12" i="59"/>
  <c r="D12" i="59" s="1"/>
  <c r="B13" i="59"/>
  <c r="D13" i="59" s="1"/>
  <c r="W3" i="3"/>
  <c r="C22" i="50"/>
  <c r="D22" i="50" s="1"/>
  <c r="C22" i="113"/>
  <c r="D22" i="113" s="1"/>
  <c r="C22" i="49"/>
  <c r="D22" i="49" s="1"/>
  <c r="X5" i="3"/>
  <c r="Y6" i="3"/>
  <c r="X3" i="3"/>
  <c r="Y4" i="3"/>
  <c r="C24" i="53"/>
  <c r="C24" i="114"/>
  <c r="C24" i="51"/>
  <c r="C24" i="52"/>
  <c r="C19" i="59"/>
  <c r="D19" i="59" s="1"/>
  <c r="C19" i="117"/>
  <c r="D19" i="117" s="1"/>
  <c r="H19" i="117" s="1"/>
  <c r="I19" i="117" s="1"/>
  <c r="C19" i="57"/>
  <c r="D19" i="57" s="1"/>
  <c r="C19" i="58"/>
  <c r="D19" i="58" s="1"/>
  <c r="C31" i="59"/>
  <c r="C31" i="58"/>
  <c r="C31" i="117"/>
  <c r="C31" i="57"/>
  <c r="C23" i="116"/>
  <c r="C23" i="62"/>
  <c r="C23" i="60"/>
  <c r="C32" i="60"/>
  <c r="C32" i="116"/>
  <c r="C32" i="62"/>
  <c r="C32" i="61"/>
  <c r="W9" i="3"/>
  <c r="C16" i="67"/>
  <c r="D16" i="67" s="1"/>
  <c r="C16" i="66"/>
  <c r="D16" i="66" s="1"/>
  <c r="C16" i="65"/>
  <c r="D16" i="65" s="1"/>
  <c r="V10" i="3"/>
  <c r="X11" i="3"/>
  <c r="Y12" i="3"/>
  <c r="C21" i="73"/>
  <c r="D21" i="73" s="1"/>
  <c r="C21" i="75"/>
  <c r="D21" i="75" s="1"/>
  <c r="C21" i="74"/>
  <c r="C16" i="81"/>
  <c r="D16" i="81" s="1"/>
  <c r="C16" i="80"/>
  <c r="D16" i="80" s="1"/>
  <c r="C16" i="79"/>
  <c r="D16" i="79" s="1"/>
  <c r="C22" i="79"/>
  <c r="D22" i="79" s="1"/>
  <c r="C22" i="80"/>
  <c r="D22" i="80" s="1"/>
  <c r="C22" i="81"/>
  <c r="D22" i="81" s="1"/>
  <c r="C20" i="80"/>
  <c r="C20" i="81"/>
  <c r="C20" i="79"/>
  <c r="U15" i="3"/>
  <c r="B41" i="116"/>
  <c r="B15" i="116"/>
  <c r="B17" i="116"/>
  <c r="B24" i="116"/>
  <c r="C23" i="7"/>
  <c r="B7" i="71"/>
  <c r="B33" i="71"/>
  <c r="C26" i="7"/>
  <c r="B9" i="77"/>
  <c r="B13" i="77" s="1"/>
  <c r="B33" i="77"/>
  <c r="C41" i="7"/>
  <c r="B7" i="77"/>
  <c r="C31" i="4"/>
  <c r="B13" i="46"/>
  <c r="E13" i="46" s="1"/>
  <c r="G13" i="46" s="1"/>
  <c r="B36" i="49"/>
  <c r="D36" i="49" s="1"/>
  <c r="B28" i="49"/>
  <c r="E28" i="49" s="1"/>
  <c r="G28" i="49" s="1"/>
  <c r="B38" i="49"/>
  <c r="D38" i="49" s="1"/>
  <c r="B32" i="49"/>
  <c r="E32" i="49" s="1"/>
  <c r="C32" i="113"/>
  <c r="C23" i="61"/>
  <c r="B23" i="113"/>
  <c r="B24" i="113"/>
  <c r="E24" i="113" s="1"/>
  <c r="C27" i="53"/>
  <c r="F27" i="53" s="1"/>
  <c r="B12" i="53"/>
  <c r="E12" i="53" s="1"/>
  <c r="G12" i="53" s="1"/>
  <c r="B15" i="117"/>
  <c r="B33" i="74"/>
  <c r="B9" i="74"/>
  <c r="B13" i="74" s="1"/>
  <c r="B7" i="74"/>
  <c r="Y3" i="3"/>
  <c r="W4" i="3"/>
  <c r="C23" i="51"/>
  <c r="D23" i="51" s="1"/>
  <c r="C23" i="53"/>
  <c r="D23" i="53" s="1"/>
  <c r="Y5" i="3"/>
  <c r="C24" i="54"/>
  <c r="W6" i="3"/>
  <c r="C23" i="59"/>
  <c r="C23" i="117"/>
  <c r="C23" i="57"/>
  <c r="D23" i="57" s="1"/>
  <c r="C23" i="58"/>
  <c r="Y7" i="3"/>
  <c r="C24" i="61"/>
  <c r="D24" i="61" s="1"/>
  <c r="C24" i="60"/>
  <c r="D24" i="60" s="1"/>
  <c r="W8" i="3"/>
  <c r="C17" i="64"/>
  <c r="C17" i="63"/>
  <c r="C17" i="25"/>
  <c r="D17" i="25" s="1"/>
  <c r="C24" i="64"/>
  <c r="C24" i="25"/>
  <c r="C24" i="63"/>
  <c r="Y9" i="3"/>
  <c r="C18" i="66"/>
  <c r="C18" i="65"/>
  <c r="D18" i="65" s="1"/>
  <c r="W10" i="3"/>
  <c r="C17" i="70"/>
  <c r="C17" i="69"/>
  <c r="C17" i="68"/>
  <c r="C24" i="70"/>
  <c r="C24" i="69"/>
  <c r="C24" i="68"/>
  <c r="Y11" i="3"/>
  <c r="C21" i="71"/>
  <c r="D21" i="71" s="1"/>
  <c r="C21" i="72"/>
  <c r="D21" i="72" s="1"/>
  <c r="W12" i="3"/>
  <c r="C20" i="73"/>
  <c r="D20" i="73" s="1"/>
  <c r="C20" i="74"/>
  <c r="C25" i="74"/>
  <c r="D25" i="74" s="1"/>
  <c r="C25" i="75"/>
  <c r="D25" i="75" s="1"/>
  <c r="C25" i="73"/>
  <c r="D25" i="73" s="1"/>
  <c r="Y13" i="3"/>
  <c r="C21" i="77"/>
  <c r="C21" i="76"/>
  <c r="D21" i="76" s="1"/>
  <c r="C21" i="78"/>
  <c r="D21" i="78" s="1"/>
  <c r="W14" i="3"/>
  <c r="C18" i="81"/>
  <c r="D18" i="81" s="1"/>
  <c r="C18" i="79"/>
  <c r="D18" i="79" s="1"/>
  <c r="C18" i="80"/>
  <c r="C23" i="81"/>
  <c r="D23" i="81" s="1"/>
  <c r="C23" i="80"/>
  <c r="C23" i="79"/>
  <c r="D23" i="79" s="1"/>
  <c r="Y15" i="3"/>
  <c r="B32" i="66"/>
  <c r="B13" i="66"/>
  <c r="E13" i="66" s="1"/>
  <c r="G13" i="66" s="1"/>
  <c r="B31" i="80"/>
  <c r="B7" i="80"/>
  <c r="C19" i="7"/>
  <c r="D44" i="7"/>
  <c r="C22" i="4"/>
  <c r="D22" i="4" s="1"/>
  <c r="C27" i="112"/>
  <c r="F27" i="112" s="1"/>
  <c r="F19" i="112"/>
  <c r="G19" i="112" s="1"/>
  <c r="F19" i="47"/>
  <c r="G19" i="47" s="1"/>
  <c r="H19" i="47" s="1"/>
  <c r="I19" i="47" s="1"/>
  <c r="C24" i="49"/>
  <c r="D24" i="49" s="1"/>
  <c r="C22" i="51"/>
  <c r="D22" i="51" s="1"/>
  <c r="C32" i="114"/>
  <c r="C27" i="54"/>
  <c r="F27" i="54" s="1"/>
  <c r="B12" i="54"/>
  <c r="D12" i="54" s="1"/>
  <c r="C24" i="56"/>
  <c r="B32" i="61"/>
  <c r="E32" i="61" s="1"/>
  <c r="B23" i="62"/>
  <c r="E23" i="62" s="1"/>
  <c r="B24" i="62"/>
  <c r="E24" i="62" s="1"/>
  <c r="C24" i="62"/>
  <c r="B24" i="74"/>
  <c r="C20" i="75"/>
  <c r="D20" i="75" s="1"/>
  <c r="B30" i="5"/>
  <c r="B29" i="5"/>
  <c r="D29" i="5" s="1"/>
  <c r="C16" i="71"/>
  <c r="D16" i="71" s="1"/>
  <c r="B9" i="80"/>
  <c r="B26" i="80" s="1"/>
  <c r="B23" i="48"/>
  <c r="E23" i="48" s="1"/>
  <c r="E23" i="50"/>
  <c r="C27" i="58"/>
  <c r="F27" i="58" s="1"/>
  <c r="B12" i="58"/>
  <c r="E12" i="58" s="1"/>
  <c r="G12" i="58" s="1"/>
  <c r="B8" i="117"/>
  <c r="B38" i="117" s="1"/>
  <c r="B41" i="117"/>
  <c r="V3" i="3"/>
  <c r="C31" i="50"/>
  <c r="C31" i="113"/>
  <c r="X4" i="3"/>
  <c r="C22" i="53"/>
  <c r="D22" i="53" s="1"/>
  <c r="C22" i="52"/>
  <c r="D22" i="52" s="1"/>
  <c r="V5" i="3"/>
  <c r="C31" i="54"/>
  <c r="D31" i="54" s="1"/>
  <c r="X6" i="3"/>
  <c r="C22" i="59"/>
  <c r="D22" i="59" s="1"/>
  <c r="C22" i="117"/>
  <c r="D22" i="117" s="1"/>
  <c r="C22" i="57"/>
  <c r="D22" i="57" s="1"/>
  <c r="V7" i="3"/>
  <c r="C19" i="116"/>
  <c r="D19" i="116" s="1"/>
  <c r="C19" i="61"/>
  <c r="D19" i="61" s="1"/>
  <c r="C19" i="60"/>
  <c r="D19" i="60" s="1"/>
  <c r="H19" i="60" s="1"/>
  <c r="I19" i="60" s="1"/>
  <c r="C31" i="62"/>
  <c r="D31" i="62" s="1"/>
  <c r="C31" i="61"/>
  <c r="X8" i="3"/>
  <c r="V9" i="3"/>
  <c r="C15" i="67"/>
  <c r="D15" i="67" s="1"/>
  <c r="C15" i="65"/>
  <c r="D15" i="65" s="1"/>
  <c r="C15" i="66"/>
  <c r="D15" i="66" s="1"/>
  <c r="C23" i="66"/>
  <c r="C23" i="65"/>
  <c r="C23" i="67"/>
  <c r="C19" i="67"/>
  <c r="C19" i="66"/>
  <c r="C19" i="65"/>
  <c r="X10" i="3"/>
  <c r="C16" i="69"/>
  <c r="D16" i="69" s="1"/>
  <c r="C16" i="68"/>
  <c r="D16" i="68" s="1"/>
  <c r="V11" i="3"/>
  <c r="C24" i="72"/>
  <c r="D24" i="72" s="1"/>
  <c r="C24" i="71"/>
  <c r="C24" i="5"/>
  <c r="D24" i="5" s="1"/>
  <c r="C22" i="72"/>
  <c r="C22" i="71"/>
  <c r="X12" i="3"/>
  <c r="C19" i="75"/>
  <c r="D19" i="75" s="1"/>
  <c r="C19" i="74"/>
  <c r="D19" i="74" s="1"/>
  <c r="V13" i="3"/>
  <c r="C16" i="77"/>
  <c r="D16" i="77" s="1"/>
  <c r="C16" i="78"/>
  <c r="D16" i="78" s="1"/>
  <c r="C16" i="76"/>
  <c r="D16" i="76" s="1"/>
  <c r="C24" i="78"/>
  <c r="D24" i="78" s="1"/>
  <c r="C24" i="77"/>
  <c r="C24" i="76"/>
  <c r="D24" i="76" s="1"/>
  <c r="C22" i="76"/>
  <c r="C22" i="77"/>
  <c r="X14" i="3"/>
  <c r="C17" i="80"/>
  <c r="D17" i="80" s="1"/>
  <c r="C17" i="81"/>
  <c r="D17" i="81" s="1"/>
  <c r="C17" i="79"/>
  <c r="D17" i="79" s="1"/>
  <c r="F16" i="80"/>
  <c r="G16" i="80" s="1"/>
  <c r="F16" i="79"/>
  <c r="G16" i="79" s="1"/>
  <c r="F16" i="81"/>
  <c r="G16" i="81" s="1"/>
  <c r="V15" i="3"/>
  <c r="B18" i="69"/>
  <c r="B32" i="69"/>
  <c r="B8" i="69"/>
  <c r="B29" i="69" s="1"/>
  <c r="E29" i="69" s="1"/>
  <c r="G29" i="69" s="1"/>
  <c r="B19" i="80"/>
  <c r="E19" i="80" s="1"/>
  <c r="B23" i="80"/>
  <c r="E23" i="80" s="1"/>
  <c r="B18" i="80"/>
  <c r="C38" i="7"/>
  <c r="B13" i="4"/>
  <c r="E13" i="4" s="1"/>
  <c r="G13" i="4" s="1"/>
  <c r="C22" i="46"/>
  <c r="D22" i="46" s="1"/>
  <c r="C22" i="112"/>
  <c r="D22" i="112" s="1"/>
  <c r="C24" i="48"/>
  <c r="D24" i="48" s="1"/>
  <c r="C31" i="48"/>
  <c r="C32" i="51"/>
  <c r="C27" i="114"/>
  <c r="F27" i="114" s="1"/>
  <c r="B24" i="115"/>
  <c r="E24" i="115" s="1"/>
  <c r="B23" i="115"/>
  <c r="H21" i="115"/>
  <c r="I21" i="115" s="1"/>
  <c r="C24" i="115"/>
  <c r="B37" i="56"/>
  <c r="E37" i="56" s="1"/>
  <c r="G37" i="56" s="1"/>
  <c r="B32" i="56"/>
  <c r="E32" i="56" s="1"/>
  <c r="B36" i="56"/>
  <c r="E36" i="56" s="1"/>
  <c r="G36" i="56" s="1"/>
  <c r="B38" i="56"/>
  <c r="D38" i="56" s="1"/>
  <c r="C24" i="116"/>
  <c r="B31" i="57"/>
  <c r="B27" i="57"/>
  <c r="E27" i="57" s="1"/>
  <c r="C22" i="58"/>
  <c r="D22" i="58" s="1"/>
  <c r="B37" i="59"/>
  <c r="E37" i="59" s="1"/>
  <c r="G37" i="59" s="1"/>
  <c r="B28" i="59"/>
  <c r="E28" i="59" s="1"/>
  <c r="G28" i="59" s="1"/>
  <c r="B36" i="59"/>
  <c r="D36" i="59" s="1"/>
  <c r="B38" i="59"/>
  <c r="D38" i="59" s="1"/>
  <c r="B20" i="74"/>
  <c r="C22" i="5"/>
  <c r="C22" i="78"/>
  <c r="C18" i="67"/>
  <c r="B13" i="51"/>
  <c r="D13" i="51" s="1"/>
  <c r="E23" i="52"/>
  <c r="H26" i="62"/>
  <c r="I26" i="62" s="1"/>
  <c r="B23" i="117"/>
  <c r="B24" i="117"/>
  <c r="E24" i="117" s="1"/>
  <c r="E24" i="59"/>
  <c r="B23" i="59"/>
  <c r="E23" i="59" s="1"/>
  <c r="C21" i="65"/>
  <c r="F21" i="65" s="1"/>
  <c r="B12" i="65"/>
  <c r="E12" i="65" s="1"/>
  <c r="G12" i="65" s="1"/>
  <c r="B8" i="66"/>
  <c r="B27" i="66" s="1"/>
  <c r="D27" i="66" s="1"/>
  <c r="D13" i="25"/>
  <c r="E13" i="25"/>
  <c r="G13" i="25" s="1"/>
  <c r="H21" i="113"/>
  <c r="I21" i="113" s="1"/>
  <c r="C27" i="51"/>
  <c r="F27" i="51" s="1"/>
  <c r="B24" i="52"/>
  <c r="E24" i="52" s="1"/>
  <c r="B8" i="114"/>
  <c r="B31" i="114" s="1"/>
  <c r="E31" i="114" s="1"/>
  <c r="H26" i="53"/>
  <c r="I26" i="53" s="1"/>
  <c r="H21" i="60"/>
  <c r="I21" i="60" s="1"/>
  <c r="B23" i="116"/>
  <c r="E23" i="116" s="1"/>
  <c r="H21" i="116"/>
  <c r="I21" i="116" s="1"/>
  <c r="H26" i="116"/>
  <c r="I26" i="116" s="1"/>
  <c r="H21" i="62"/>
  <c r="I21" i="62" s="1"/>
  <c r="B9" i="71"/>
  <c r="B22" i="71" s="1"/>
  <c r="E18" i="65"/>
  <c r="C21" i="25"/>
  <c r="F21" i="25" s="1"/>
  <c r="B12" i="25"/>
  <c r="E12" i="25" s="1"/>
  <c r="G12" i="25" s="1"/>
  <c r="B8" i="63"/>
  <c r="B28" i="63" s="1"/>
  <c r="B22" i="78"/>
  <c r="E22" i="78" s="1"/>
  <c r="B17" i="69"/>
  <c r="E17" i="69" s="1"/>
  <c r="C21" i="66"/>
  <c r="F21" i="66" s="1"/>
  <c r="B18" i="25"/>
  <c r="E18" i="25" s="1"/>
  <c r="C21" i="63"/>
  <c r="F21" i="63" s="1"/>
  <c r="E13" i="68"/>
  <c r="G13" i="68" s="1"/>
  <c r="H13" i="68" s="1"/>
  <c r="I13" i="68" s="1"/>
  <c r="B21" i="65"/>
  <c r="B13" i="64"/>
  <c r="E13" i="64" s="1"/>
  <c r="G13" i="64" s="1"/>
  <c r="D38" i="48"/>
  <c r="E38" i="48"/>
  <c r="G38" i="48" s="1"/>
  <c r="F23" i="62"/>
  <c r="F23" i="116"/>
  <c r="F23" i="60"/>
  <c r="F23" i="61"/>
  <c r="B38" i="4"/>
  <c r="B37" i="4"/>
  <c r="B36" i="4"/>
  <c r="B32" i="4"/>
  <c r="B28" i="4"/>
  <c r="B31" i="4"/>
  <c r="B27" i="4"/>
  <c r="B38" i="46"/>
  <c r="B37" i="46"/>
  <c r="B36" i="46"/>
  <c r="B32" i="46"/>
  <c r="B28" i="46"/>
  <c r="B31" i="46"/>
  <c r="B27" i="46"/>
  <c r="H26" i="47"/>
  <c r="I26" i="47" s="1"/>
  <c r="H26" i="113"/>
  <c r="I26" i="113" s="1"/>
  <c r="H21" i="50"/>
  <c r="I21" i="50" s="1"/>
  <c r="H26" i="51"/>
  <c r="I26" i="51" s="1"/>
  <c r="B31" i="47"/>
  <c r="B27" i="47"/>
  <c r="B37" i="47"/>
  <c r="B32" i="48"/>
  <c r="B36" i="48"/>
  <c r="B31" i="49"/>
  <c r="B27" i="49"/>
  <c r="B37" i="49"/>
  <c r="H20" i="113"/>
  <c r="I20" i="113" s="1"/>
  <c r="B13" i="50"/>
  <c r="B12" i="50"/>
  <c r="H26" i="50"/>
  <c r="I26" i="50" s="1"/>
  <c r="B38" i="51"/>
  <c r="B37" i="51"/>
  <c r="B36" i="51"/>
  <c r="B32" i="51"/>
  <c r="B28" i="51"/>
  <c r="B27" i="51"/>
  <c r="B31" i="51"/>
  <c r="H21" i="114"/>
  <c r="I21" i="114" s="1"/>
  <c r="E27" i="53"/>
  <c r="F23" i="50"/>
  <c r="F23" i="113"/>
  <c r="F23" i="54"/>
  <c r="G23" i="54" s="1"/>
  <c r="F23" i="115"/>
  <c r="F23" i="56"/>
  <c r="F17" i="67"/>
  <c r="F17" i="66"/>
  <c r="F17" i="65"/>
  <c r="B31" i="48"/>
  <c r="B27" i="48"/>
  <c r="B37" i="48"/>
  <c r="B13" i="113"/>
  <c r="B12" i="113"/>
  <c r="H21" i="47"/>
  <c r="I21" i="47" s="1"/>
  <c r="F23" i="48"/>
  <c r="H21" i="49"/>
  <c r="I21" i="49" s="1"/>
  <c r="H26" i="49"/>
  <c r="I26" i="49" s="1"/>
  <c r="H21" i="4"/>
  <c r="I21" i="4" s="1"/>
  <c r="H21" i="46"/>
  <c r="I21" i="46" s="1"/>
  <c r="B23" i="4"/>
  <c r="B24" i="4"/>
  <c r="H26" i="4"/>
  <c r="I26" i="4" s="1"/>
  <c r="B23" i="46"/>
  <c r="B24" i="46"/>
  <c r="H26" i="46"/>
  <c r="I26" i="46" s="1"/>
  <c r="H21" i="112"/>
  <c r="I21" i="112" s="1"/>
  <c r="H26" i="112"/>
  <c r="I26" i="112" s="1"/>
  <c r="H21" i="48"/>
  <c r="I21" i="48" s="1"/>
  <c r="H26" i="48"/>
  <c r="I26" i="48" s="1"/>
  <c r="B28" i="48"/>
  <c r="F23" i="49"/>
  <c r="C27" i="113"/>
  <c r="F27" i="113" s="1"/>
  <c r="C27" i="50"/>
  <c r="F27" i="50" s="1"/>
  <c r="H21" i="51"/>
  <c r="I21" i="51" s="1"/>
  <c r="E13" i="57"/>
  <c r="G13" i="57" s="1"/>
  <c r="D13" i="57"/>
  <c r="H20" i="115"/>
  <c r="I20" i="115" s="1"/>
  <c r="H21" i="56"/>
  <c r="I21" i="56" s="1"/>
  <c r="B31" i="60"/>
  <c r="B27" i="60"/>
  <c r="B32" i="60"/>
  <c r="H20" i="60"/>
  <c r="I20" i="60" s="1"/>
  <c r="H21" i="61"/>
  <c r="I21" i="61" s="1"/>
  <c r="C27" i="116"/>
  <c r="F27" i="116" s="1"/>
  <c r="B13" i="116"/>
  <c r="B12" i="116"/>
  <c r="H26" i="59"/>
  <c r="I26" i="59" s="1"/>
  <c r="E28" i="73"/>
  <c r="G28" i="73" s="1"/>
  <c r="D28" i="73"/>
  <c r="E29" i="78"/>
  <c r="G29" i="78" s="1"/>
  <c r="D29" i="78"/>
  <c r="F19" i="53"/>
  <c r="G19" i="53" s="1"/>
  <c r="F19" i="114"/>
  <c r="G19" i="114" s="1"/>
  <c r="F19" i="52"/>
  <c r="G19" i="52" s="1"/>
  <c r="F19" i="51"/>
  <c r="G19" i="51" s="1"/>
  <c r="F15" i="64"/>
  <c r="G15" i="64" s="1"/>
  <c r="F15" i="63"/>
  <c r="G15" i="63" s="1"/>
  <c r="F15" i="25"/>
  <c r="G15" i="25" s="1"/>
  <c r="F16" i="74"/>
  <c r="G16" i="74" s="1"/>
  <c r="F16" i="75"/>
  <c r="G16" i="75" s="1"/>
  <c r="F16" i="73"/>
  <c r="G16" i="73" s="1"/>
  <c r="D23" i="54"/>
  <c r="H26" i="54"/>
  <c r="I26" i="54" s="1"/>
  <c r="E24" i="60"/>
  <c r="B37" i="60"/>
  <c r="E32" i="58"/>
  <c r="D32" i="58"/>
  <c r="B29" i="73"/>
  <c r="B30" i="73"/>
  <c r="B22" i="73"/>
  <c r="B13" i="73"/>
  <c r="F23" i="53"/>
  <c r="G23" i="53" s="1"/>
  <c r="F23" i="114"/>
  <c r="F23" i="52"/>
  <c r="F23" i="51"/>
  <c r="G23" i="51" s="1"/>
  <c r="F23" i="57"/>
  <c r="G23" i="57" s="1"/>
  <c r="F23" i="59"/>
  <c r="F23" i="117"/>
  <c r="F23" i="58"/>
  <c r="F17" i="64"/>
  <c r="F17" i="63"/>
  <c r="F17" i="25"/>
  <c r="G17" i="25" s="1"/>
  <c r="F17" i="68"/>
  <c r="F17" i="69"/>
  <c r="F17" i="70"/>
  <c r="B12" i="112"/>
  <c r="B13" i="112"/>
  <c r="B12" i="47"/>
  <c r="B13" i="47"/>
  <c r="B12" i="48"/>
  <c r="B13" i="48"/>
  <c r="B12" i="49"/>
  <c r="B13" i="49"/>
  <c r="B24" i="50"/>
  <c r="B24" i="53"/>
  <c r="E13" i="54"/>
  <c r="G13" i="54" s="1"/>
  <c r="D13" i="54"/>
  <c r="E31" i="54"/>
  <c r="B13" i="62"/>
  <c r="B12" i="62"/>
  <c r="E24" i="58"/>
  <c r="H26" i="58"/>
  <c r="I26" i="58" s="1"/>
  <c r="B13" i="117"/>
  <c r="B12" i="117"/>
  <c r="C27" i="117"/>
  <c r="F27" i="117" s="1"/>
  <c r="H18" i="74"/>
  <c r="I18" i="74" s="1"/>
  <c r="B26" i="81"/>
  <c r="B13" i="81"/>
  <c r="B27" i="81"/>
  <c r="B20" i="81"/>
  <c r="B28" i="81"/>
  <c r="B38" i="52"/>
  <c r="B37" i="52"/>
  <c r="B36" i="52"/>
  <c r="B32" i="52"/>
  <c r="B28" i="52"/>
  <c r="B38" i="53"/>
  <c r="B37" i="53"/>
  <c r="B36" i="53"/>
  <c r="B32" i="53"/>
  <c r="B28" i="53"/>
  <c r="E31" i="62"/>
  <c r="C27" i="57"/>
  <c r="F27" i="57" s="1"/>
  <c r="B12" i="57"/>
  <c r="H18" i="75"/>
  <c r="I18" i="75" s="1"/>
  <c r="E13" i="72"/>
  <c r="G13" i="72" s="1"/>
  <c r="D13" i="72"/>
  <c r="D15" i="72" s="1"/>
  <c r="F19" i="59"/>
  <c r="G19" i="59" s="1"/>
  <c r="F19" i="58"/>
  <c r="G19" i="58" s="1"/>
  <c r="F19" i="57"/>
  <c r="G19" i="57" s="1"/>
  <c r="F15" i="70"/>
  <c r="G15" i="70" s="1"/>
  <c r="F15" i="69"/>
  <c r="G15" i="69" s="1"/>
  <c r="F15" i="68"/>
  <c r="G15" i="68" s="1"/>
  <c r="B38" i="50"/>
  <c r="B37" i="50"/>
  <c r="B36" i="50"/>
  <c r="B32" i="50"/>
  <c r="B28" i="50"/>
  <c r="B31" i="50"/>
  <c r="H21" i="52"/>
  <c r="I21" i="52" s="1"/>
  <c r="H26" i="52"/>
  <c r="I26" i="52" s="1"/>
  <c r="B31" i="52"/>
  <c r="B31" i="53"/>
  <c r="B24" i="54"/>
  <c r="B13" i="56"/>
  <c r="B12" i="56"/>
  <c r="C27" i="56"/>
  <c r="F27" i="56" s="1"/>
  <c r="B13" i="61"/>
  <c r="B12" i="61"/>
  <c r="F19" i="54"/>
  <c r="G19" i="54" s="1"/>
  <c r="F19" i="56"/>
  <c r="G19" i="56" s="1"/>
  <c r="F19" i="62"/>
  <c r="G19" i="62" s="1"/>
  <c r="F19" i="116"/>
  <c r="G19" i="116" s="1"/>
  <c r="F19" i="61"/>
  <c r="G19" i="61" s="1"/>
  <c r="F15" i="66"/>
  <c r="G15" i="66" s="1"/>
  <c r="F15" i="67"/>
  <c r="G15" i="67" s="1"/>
  <c r="F15" i="65"/>
  <c r="G15" i="65" s="1"/>
  <c r="F16" i="72"/>
  <c r="G16" i="72" s="1"/>
  <c r="F16" i="71"/>
  <c r="G16" i="71" s="1"/>
  <c r="F16" i="5"/>
  <c r="G16" i="5" s="1"/>
  <c r="F16" i="76"/>
  <c r="G16" i="76" s="1"/>
  <c r="F16" i="77"/>
  <c r="G16" i="77" s="1"/>
  <c r="F16" i="78"/>
  <c r="G16" i="78" s="1"/>
  <c r="F19" i="4"/>
  <c r="G19" i="4" s="1"/>
  <c r="F23" i="4"/>
  <c r="B27" i="50"/>
  <c r="B27" i="52"/>
  <c r="B24" i="114"/>
  <c r="E13" i="53"/>
  <c r="G13" i="53" s="1"/>
  <c r="D13" i="53"/>
  <c r="B38" i="54"/>
  <c r="B37" i="54"/>
  <c r="B36" i="54"/>
  <c r="B32" i="54"/>
  <c r="B28" i="54"/>
  <c r="H21" i="54"/>
  <c r="I21" i="54" s="1"/>
  <c r="B27" i="54"/>
  <c r="H26" i="115"/>
  <c r="I26" i="115" s="1"/>
  <c r="H26" i="60"/>
  <c r="I26" i="60" s="1"/>
  <c r="B28" i="60"/>
  <c r="B36" i="60"/>
  <c r="B38" i="60"/>
  <c r="B38" i="57"/>
  <c r="B37" i="57"/>
  <c r="B36" i="57"/>
  <c r="B32" i="57"/>
  <c r="B28" i="57"/>
  <c r="H26" i="57"/>
  <c r="I26" i="57" s="1"/>
  <c r="B31" i="56"/>
  <c r="B27" i="56"/>
  <c r="H26" i="56"/>
  <c r="I26" i="56" s="1"/>
  <c r="B28" i="56"/>
  <c r="B31" i="61"/>
  <c r="B27" i="61"/>
  <c r="H26" i="61"/>
  <c r="I26" i="61" s="1"/>
  <c r="B28" i="61"/>
  <c r="E13" i="58"/>
  <c r="G13" i="58" s="1"/>
  <c r="D13" i="58"/>
  <c r="E13" i="5"/>
  <c r="G13" i="5" s="1"/>
  <c r="D13" i="5"/>
  <c r="D15" i="5" s="1"/>
  <c r="B29" i="72"/>
  <c r="B30" i="72"/>
  <c r="B22" i="72"/>
  <c r="B28" i="72"/>
  <c r="E28" i="79"/>
  <c r="G28" i="79" s="1"/>
  <c r="D28" i="79"/>
  <c r="B13" i="115"/>
  <c r="B12" i="115"/>
  <c r="C27" i="115"/>
  <c r="F27" i="115" s="1"/>
  <c r="B13" i="60"/>
  <c r="B12" i="60"/>
  <c r="C27" i="60"/>
  <c r="F27" i="60" s="1"/>
  <c r="B38" i="62"/>
  <c r="B37" i="62"/>
  <c r="B36" i="62"/>
  <c r="B32" i="62"/>
  <c r="B28" i="62"/>
  <c r="B27" i="62"/>
  <c r="B31" i="58"/>
  <c r="B27" i="58"/>
  <c r="B28" i="58"/>
  <c r="B36" i="58"/>
  <c r="B37" i="58"/>
  <c r="B38" i="58"/>
  <c r="H18" i="73"/>
  <c r="I18" i="73" s="1"/>
  <c r="B29" i="75"/>
  <c r="B30" i="75"/>
  <c r="B22" i="75"/>
  <c r="B28" i="75"/>
  <c r="B13" i="75"/>
  <c r="E13" i="76"/>
  <c r="G13" i="76" s="1"/>
  <c r="D13" i="76"/>
  <c r="D15" i="76" s="1"/>
  <c r="B28" i="5"/>
  <c r="B22" i="5"/>
  <c r="B29" i="67"/>
  <c r="B21" i="67"/>
  <c r="B24" i="67"/>
  <c r="B23" i="67"/>
  <c r="B19" i="67"/>
  <c r="B28" i="67"/>
  <c r="B27" i="67"/>
  <c r="B31" i="59"/>
  <c r="B27" i="59"/>
  <c r="B32" i="59"/>
  <c r="B28" i="78"/>
  <c r="B13" i="78"/>
  <c r="B30" i="78"/>
  <c r="B26" i="79"/>
  <c r="B13" i="79"/>
  <c r="B27" i="79"/>
  <c r="B20" i="79"/>
  <c r="B13" i="70"/>
  <c r="B12" i="70"/>
  <c r="C21" i="70"/>
  <c r="F21" i="70" s="1"/>
  <c r="B29" i="76"/>
  <c r="B30" i="76"/>
  <c r="B22" i="76"/>
  <c r="B29" i="68"/>
  <c r="B21" i="68"/>
  <c r="B24" i="68"/>
  <c r="B27" i="68"/>
  <c r="B19" i="68"/>
  <c r="B28" i="68"/>
  <c r="B23" i="68"/>
  <c r="B13" i="69"/>
  <c r="B12" i="69"/>
  <c r="C21" i="69"/>
  <c r="F21" i="69" s="1"/>
  <c r="B28" i="25"/>
  <c r="B29" i="25"/>
  <c r="B21" i="25"/>
  <c r="B24" i="25"/>
  <c r="B23" i="25"/>
  <c r="B27" i="25"/>
  <c r="B19" i="25"/>
  <c r="B17" i="68"/>
  <c r="B18" i="68"/>
  <c r="E18" i="70"/>
  <c r="E29" i="65"/>
  <c r="G29" i="65" s="1"/>
  <c r="D29" i="65"/>
  <c r="B12" i="68"/>
  <c r="B28" i="70"/>
  <c r="B24" i="70"/>
  <c r="B27" i="70"/>
  <c r="B23" i="70"/>
  <c r="B19" i="70"/>
  <c r="B21" i="70"/>
  <c r="B18" i="64"/>
  <c r="B17" i="64"/>
  <c r="C21" i="68"/>
  <c r="F21" i="68" s="1"/>
  <c r="B29" i="70"/>
  <c r="B27" i="65"/>
  <c r="B23" i="65"/>
  <c r="B19" i="65"/>
  <c r="B28" i="65"/>
  <c r="B18" i="66"/>
  <c r="B17" i="66"/>
  <c r="B18" i="67"/>
  <c r="B17" i="67"/>
  <c r="D13" i="65"/>
  <c r="H13" i="65" s="1"/>
  <c r="I13" i="65" s="1"/>
  <c r="E19" i="64"/>
  <c r="D19" i="64"/>
  <c r="B13" i="63"/>
  <c r="B28" i="64"/>
  <c r="B29" i="64"/>
  <c r="B21" i="64"/>
  <c r="B23" i="64"/>
  <c r="B18" i="63"/>
  <c r="B17" i="63"/>
  <c r="B24" i="64"/>
  <c r="B27" i="112" l="1"/>
  <c r="E17" i="117"/>
  <c r="G17" i="117" s="1"/>
  <c r="H17" i="117" s="1"/>
  <c r="I17" i="117" s="1"/>
  <c r="E36" i="59"/>
  <c r="G36" i="59" s="1"/>
  <c r="D31" i="57"/>
  <c r="B31" i="112"/>
  <c r="G22" i="78"/>
  <c r="H19" i="48"/>
  <c r="I19" i="48" s="1"/>
  <c r="E38" i="47"/>
  <c r="G38" i="47" s="1"/>
  <c r="H38" i="47" s="1"/>
  <c r="I38" i="47" s="1"/>
  <c r="D24" i="65"/>
  <c r="E16" i="117"/>
  <c r="G16" i="117" s="1"/>
  <c r="H22" i="113"/>
  <c r="I22" i="113" s="1"/>
  <c r="G32" i="61"/>
  <c r="G23" i="112"/>
  <c r="D24" i="57"/>
  <c r="D25" i="57" s="1"/>
  <c r="G23" i="52"/>
  <c r="H23" i="52" s="1"/>
  <c r="I23" i="52" s="1"/>
  <c r="F24" i="65"/>
  <c r="G24" i="65" s="1"/>
  <c r="H24" i="65" s="1"/>
  <c r="I24" i="65" s="1"/>
  <c r="D12" i="66"/>
  <c r="H12" i="66" s="1"/>
  <c r="I12" i="66" s="1"/>
  <c r="B28" i="112"/>
  <c r="E28" i="112" s="1"/>
  <c r="G28" i="112" s="1"/>
  <c r="E12" i="54"/>
  <c r="G12" i="54" s="1"/>
  <c r="G14" i="54" s="1"/>
  <c r="E28" i="76"/>
  <c r="G28" i="76" s="1"/>
  <c r="H28" i="76" s="1"/>
  <c r="I28" i="76" s="1"/>
  <c r="G27" i="53"/>
  <c r="D25" i="71"/>
  <c r="D23" i="112"/>
  <c r="H23" i="112" s="1"/>
  <c r="I23" i="112" s="1"/>
  <c r="B29" i="66"/>
  <c r="E29" i="66" s="1"/>
  <c r="G29" i="66" s="1"/>
  <c r="E12" i="64"/>
  <c r="G12" i="64" s="1"/>
  <c r="G14" i="64" s="1"/>
  <c r="H18" i="81"/>
  <c r="I18" i="81" s="1"/>
  <c r="D28" i="59"/>
  <c r="H28" i="59" s="1"/>
  <c r="I28" i="59" s="1"/>
  <c r="F24" i="66"/>
  <c r="D38" i="61"/>
  <c r="D40" i="61" s="1"/>
  <c r="B23" i="63"/>
  <c r="D23" i="63" s="1"/>
  <c r="H19" i="81"/>
  <c r="I19" i="81" s="1"/>
  <c r="D38" i="112"/>
  <c r="H38" i="112" s="1"/>
  <c r="I38" i="112" s="1"/>
  <c r="D24" i="51"/>
  <c r="D25" i="51" s="1"/>
  <c r="D23" i="48"/>
  <c r="D25" i="48" s="1"/>
  <c r="G23" i="61"/>
  <c r="G14" i="46"/>
  <c r="E27" i="64"/>
  <c r="G27" i="64" s="1"/>
  <c r="H27" i="64" s="1"/>
  <c r="I27" i="64" s="1"/>
  <c r="B37" i="112"/>
  <c r="E37" i="112" s="1"/>
  <c r="G37" i="112" s="1"/>
  <c r="H13" i="25"/>
  <c r="I13" i="25" s="1"/>
  <c r="B32" i="117"/>
  <c r="E32" i="117" s="1"/>
  <c r="B28" i="71"/>
  <c r="D28" i="71" s="1"/>
  <c r="E31" i="57"/>
  <c r="G31" i="57" s="1"/>
  <c r="B36" i="112"/>
  <c r="E36" i="112" s="1"/>
  <c r="G36" i="112" s="1"/>
  <c r="E38" i="49"/>
  <c r="G38" i="49" s="1"/>
  <c r="H38" i="49" s="1"/>
  <c r="I38" i="49" s="1"/>
  <c r="D13" i="114"/>
  <c r="D14" i="114" s="1"/>
  <c r="D21" i="74"/>
  <c r="B27" i="115"/>
  <c r="E27" i="115" s="1"/>
  <c r="G27" i="115" s="1"/>
  <c r="B32" i="112"/>
  <c r="E32" i="112" s="1"/>
  <c r="G23" i="60"/>
  <c r="D32" i="56"/>
  <c r="D31" i="114"/>
  <c r="D23" i="58"/>
  <c r="D25" i="58" s="1"/>
  <c r="D23" i="60"/>
  <c r="B36" i="117"/>
  <c r="E36" i="117" s="1"/>
  <c r="G36" i="117" s="1"/>
  <c r="E29" i="5"/>
  <c r="G29" i="5" s="1"/>
  <c r="H29" i="5" s="1"/>
  <c r="I29" i="5" s="1"/>
  <c r="B28" i="115"/>
  <c r="E28" i="115" s="1"/>
  <c r="G28" i="115" s="1"/>
  <c r="D13" i="46"/>
  <c r="H13" i="46" s="1"/>
  <c r="I13" i="46" s="1"/>
  <c r="D14" i="51"/>
  <c r="D24" i="62"/>
  <c r="D23" i="59"/>
  <c r="D25" i="59" s="1"/>
  <c r="E37" i="61"/>
  <c r="G37" i="61" s="1"/>
  <c r="H37" i="61" s="1"/>
  <c r="I37" i="61" s="1"/>
  <c r="E13" i="59"/>
  <c r="G13" i="59" s="1"/>
  <c r="H13" i="59" s="1"/>
  <c r="I13" i="59" s="1"/>
  <c r="H19" i="50"/>
  <c r="I19" i="50" s="1"/>
  <c r="B21" i="69"/>
  <c r="E21" i="69" s="1"/>
  <c r="G21" i="69" s="1"/>
  <c r="B22" i="74"/>
  <c r="D22" i="74" s="1"/>
  <c r="D12" i="4"/>
  <c r="H12" i="4" s="1"/>
  <c r="I12" i="4" s="1"/>
  <c r="H16" i="79"/>
  <c r="I16" i="79" s="1"/>
  <c r="D24" i="116"/>
  <c r="D28" i="49"/>
  <c r="H28" i="49" s="1"/>
  <c r="I28" i="49" s="1"/>
  <c r="E24" i="116"/>
  <c r="B27" i="113"/>
  <c r="D27" i="113" s="1"/>
  <c r="B30" i="74"/>
  <c r="E30" i="74" s="1"/>
  <c r="G30" i="74" s="1"/>
  <c r="D12" i="52"/>
  <c r="H12" i="52" s="1"/>
  <c r="I12" i="52" s="1"/>
  <c r="D23" i="47"/>
  <c r="D27" i="53"/>
  <c r="D32" i="47"/>
  <c r="H24" i="75"/>
  <c r="I24" i="75" s="1"/>
  <c r="H22" i="48"/>
  <c r="I22" i="48" s="1"/>
  <c r="B24" i="69"/>
  <c r="E24" i="69" s="1"/>
  <c r="D12" i="58"/>
  <c r="D14" i="58" s="1"/>
  <c r="B32" i="113"/>
  <c r="D32" i="113" s="1"/>
  <c r="D23" i="56"/>
  <c r="B32" i="116"/>
  <c r="D32" i="116" s="1"/>
  <c r="E36" i="61"/>
  <c r="G36" i="61" s="1"/>
  <c r="D37" i="56"/>
  <c r="H37" i="56" s="1"/>
  <c r="I37" i="56" s="1"/>
  <c r="B32" i="114"/>
  <c r="E32" i="114" s="1"/>
  <c r="E36" i="47"/>
  <c r="G36" i="47" s="1"/>
  <c r="H36" i="47" s="1"/>
  <c r="I36" i="47" s="1"/>
  <c r="G24" i="51"/>
  <c r="B19" i="69"/>
  <c r="D19" i="69" s="1"/>
  <c r="D29" i="69"/>
  <c r="H29" i="69" s="1"/>
  <c r="I29" i="69" s="1"/>
  <c r="B30" i="71"/>
  <c r="D30" i="71" s="1"/>
  <c r="B36" i="116"/>
  <c r="E36" i="116" s="1"/>
  <c r="G36" i="116" s="1"/>
  <c r="D12" i="53"/>
  <c r="H12" i="53" s="1"/>
  <c r="I12" i="53" s="1"/>
  <c r="B36" i="114"/>
  <c r="D36" i="114" s="1"/>
  <c r="D24" i="115"/>
  <c r="E12" i="114"/>
  <c r="G12" i="114" s="1"/>
  <c r="H12" i="114" s="1"/>
  <c r="I12" i="114" s="1"/>
  <c r="D26" i="5"/>
  <c r="D12" i="25"/>
  <c r="D14" i="25" s="1"/>
  <c r="B23" i="69"/>
  <c r="E23" i="69" s="1"/>
  <c r="B29" i="71"/>
  <c r="E29" i="71" s="1"/>
  <c r="G29" i="71" s="1"/>
  <c r="E12" i="59"/>
  <c r="G12" i="59" s="1"/>
  <c r="H12" i="59" s="1"/>
  <c r="I12" i="59" s="1"/>
  <c r="B37" i="116"/>
  <c r="D37" i="116" s="1"/>
  <c r="B28" i="74"/>
  <c r="E28" i="74" s="1"/>
  <c r="G28" i="74" s="1"/>
  <c r="B29" i="74"/>
  <c r="D29" i="74" s="1"/>
  <c r="D37" i="59"/>
  <c r="D40" i="59" s="1"/>
  <c r="G24" i="59"/>
  <c r="H24" i="59" s="1"/>
  <c r="I24" i="59" s="1"/>
  <c r="D22" i="78"/>
  <c r="D23" i="78" s="1"/>
  <c r="G27" i="57"/>
  <c r="H16" i="80"/>
  <c r="I16" i="80" s="1"/>
  <c r="G23" i="50"/>
  <c r="H23" i="50" s="1"/>
  <c r="I23" i="50" s="1"/>
  <c r="B31" i="116"/>
  <c r="H19" i="79"/>
  <c r="I19" i="79" s="1"/>
  <c r="H22" i="50"/>
  <c r="I22" i="50" s="1"/>
  <c r="D17" i="65"/>
  <c r="D13" i="67"/>
  <c r="H13" i="67" s="1"/>
  <c r="I13" i="67" s="1"/>
  <c r="B28" i="69"/>
  <c r="D28" i="69" s="1"/>
  <c r="B27" i="69"/>
  <c r="D27" i="69" s="1"/>
  <c r="E38" i="59"/>
  <c r="G38" i="59" s="1"/>
  <c r="H38" i="59" s="1"/>
  <c r="I38" i="59" s="1"/>
  <c r="B28" i="116"/>
  <c r="E28" i="116" s="1"/>
  <c r="G28" i="116" s="1"/>
  <c r="B38" i="116"/>
  <c r="D38" i="116" s="1"/>
  <c r="G24" i="58"/>
  <c r="H24" i="58" s="1"/>
  <c r="I24" i="58" s="1"/>
  <c r="E13" i="51"/>
  <c r="G13" i="51" s="1"/>
  <c r="G14" i="51" s="1"/>
  <c r="G24" i="117"/>
  <c r="G24" i="57"/>
  <c r="G23" i="62"/>
  <c r="D17" i="70"/>
  <c r="D23" i="61"/>
  <c r="D25" i="61" s="1"/>
  <c r="H24" i="73"/>
  <c r="I24" i="73" s="1"/>
  <c r="E12" i="67"/>
  <c r="G12" i="67" s="1"/>
  <c r="G14" i="67" s="1"/>
  <c r="B28" i="77"/>
  <c r="D28" i="77" s="1"/>
  <c r="E38" i="56"/>
  <c r="G38" i="56" s="1"/>
  <c r="G40" i="56" s="1"/>
  <c r="B36" i="115"/>
  <c r="E36" i="115" s="1"/>
  <c r="G36" i="115" s="1"/>
  <c r="B32" i="115"/>
  <c r="D32" i="115" s="1"/>
  <c r="G23" i="116"/>
  <c r="D32" i="49"/>
  <c r="H18" i="79"/>
  <c r="I18" i="79" s="1"/>
  <c r="H21" i="73"/>
  <c r="I21" i="73" s="1"/>
  <c r="D17" i="69"/>
  <c r="B30" i="77"/>
  <c r="E30" i="77" s="1"/>
  <c r="G30" i="77" s="1"/>
  <c r="G23" i="114"/>
  <c r="D37" i="115"/>
  <c r="H37" i="115" s="1"/>
  <c r="I37" i="115" s="1"/>
  <c r="G14" i="4"/>
  <c r="D18" i="69"/>
  <c r="D24" i="71"/>
  <c r="D32" i="61"/>
  <c r="H19" i="112"/>
  <c r="I19" i="112" s="1"/>
  <c r="G21" i="74"/>
  <c r="G23" i="47"/>
  <c r="D25" i="77"/>
  <c r="D23" i="80"/>
  <c r="D24" i="80" s="1"/>
  <c r="E17" i="65"/>
  <c r="G17" i="65" s="1"/>
  <c r="B28" i="80"/>
  <c r="E28" i="80" s="1"/>
  <c r="G28" i="80" s="1"/>
  <c r="D24" i="117"/>
  <c r="B31" i="115"/>
  <c r="E31" i="115" s="1"/>
  <c r="D24" i="52"/>
  <c r="D25" i="52" s="1"/>
  <c r="B38" i="115"/>
  <c r="D38" i="115" s="1"/>
  <c r="D23" i="114"/>
  <c r="H16" i="81"/>
  <c r="I16" i="81" s="1"/>
  <c r="D25" i="49"/>
  <c r="D20" i="71"/>
  <c r="F24" i="78"/>
  <c r="G24" i="78" s="1"/>
  <c r="H24" i="78" s="1"/>
  <c r="I24" i="78" s="1"/>
  <c r="F24" i="77"/>
  <c r="F24" i="76"/>
  <c r="G24" i="76" s="1"/>
  <c r="F24" i="71"/>
  <c r="G24" i="71" s="1"/>
  <c r="F24" i="5"/>
  <c r="G24" i="5" s="1"/>
  <c r="F24" i="72"/>
  <c r="G24" i="72" s="1"/>
  <c r="F31" i="62"/>
  <c r="G31" i="62" s="1"/>
  <c r="H31" i="62" s="1"/>
  <c r="I31" i="62" s="1"/>
  <c r="F31" i="61"/>
  <c r="F31" i="60"/>
  <c r="F31" i="116"/>
  <c r="E41" i="117"/>
  <c r="G41" i="117" s="1"/>
  <c r="D41" i="117"/>
  <c r="D33" i="74"/>
  <c r="E33" i="74"/>
  <c r="G33" i="74" s="1"/>
  <c r="E17" i="116"/>
  <c r="G17" i="116" s="1"/>
  <c r="D17" i="116"/>
  <c r="F23" i="69"/>
  <c r="F23" i="68"/>
  <c r="F23" i="70"/>
  <c r="E41" i="112"/>
  <c r="G41" i="112" s="1"/>
  <c r="D41" i="112"/>
  <c r="E15" i="112"/>
  <c r="G15" i="112" s="1"/>
  <c r="D15" i="112"/>
  <c r="F19" i="5"/>
  <c r="G19" i="5" s="1"/>
  <c r="H19" i="5" s="1"/>
  <c r="I19" i="5" s="1"/>
  <c r="F19" i="71"/>
  <c r="G19" i="71" s="1"/>
  <c r="H19" i="71" s="1"/>
  <c r="I19" i="71" s="1"/>
  <c r="F19" i="72"/>
  <c r="G19" i="72" s="1"/>
  <c r="H19" i="72" s="1"/>
  <c r="I19" i="72" s="1"/>
  <c r="E17" i="113"/>
  <c r="G17" i="113" s="1"/>
  <c r="D17" i="113"/>
  <c r="E16" i="114"/>
  <c r="G16" i="114" s="1"/>
  <c r="D16" i="114"/>
  <c r="D13" i="66"/>
  <c r="B24" i="63"/>
  <c r="E24" i="63" s="1"/>
  <c r="B23" i="66"/>
  <c r="E23" i="66" s="1"/>
  <c r="B24" i="66"/>
  <c r="D24" i="66" s="1"/>
  <c r="H22" i="80"/>
  <c r="I22" i="80" s="1"/>
  <c r="D26" i="73"/>
  <c r="E23" i="56"/>
  <c r="G23" i="56" s="1"/>
  <c r="D12" i="46"/>
  <c r="D13" i="52"/>
  <c r="H13" i="52" s="1"/>
  <c r="I13" i="52" s="1"/>
  <c r="F19" i="75"/>
  <c r="G19" i="75" s="1"/>
  <c r="H19" i="75" s="1"/>
  <c r="I19" i="75" s="1"/>
  <c r="F19" i="74"/>
  <c r="G19" i="74" s="1"/>
  <c r="H19" i="74" s="1"/>
  <c r="I19" i="74" s="1"/>
  <c r="F19" i="73"/>
  <c r="G19" i="73" s="1"/>
  <c r="H19" i="73" s="1"/>
  <c r="I19" i="73" s="1"/>
  <c r="D26" i="72"/>
  <c r="F23" i="65"/>
  <c r="F23" i="66"/>
  <c r="F23" i="67"/>
  <c r="F22" i="51"/>
  <c r="G22" i="51" s="1"/>
  <c r="H22" i="51" s="1"/>
  <c r="I22" i="51" s="1"/>
  <c r="F22" i="53"/>
  <c r="G22" i="53" s="1"/>
  <c r="H22" i="53" s="1"/>
  <c r="I22" i="53" s="1"/>
  <c r="F22" i="52"/>
  <c r="G22" i="52" s="1"/>
  <c r="H22" i="52" s="1"/>
  <c r="I22" i="52" s="1"/>
  <c r="F22" i="114"/>
  <c r="G22" i="114" s="1"/>
  <c r="H22" i="114" s="1"/>
  <c r="I22" i="114" s="1"/>
  <c r="F21" i="78"/>
  <c r="G21" i="78" s="1"/>
  <c r="H21" i="78" s="1"/>
  <c r="I21" i="78" s="1"/>
  <c r="F21" i="77"/>
  <c r="F21" i="76"/>
  <c r="G21" i="76" s="1"/>
  <c r="H21" i="76" s="1"/>
  <c r="I21" i="76" s="1"/>
  <c r="F21" i="5"/>
  <c r="G21" i="5" s="1"/>
  <c r="H21" i="5" s="1"/>
  <c r="I21" i="5" s="1"/>
  <c r="F21" i="72"/>
  <c r="G21" i="72" s="1"/>
  <c r="H21" i="72" s="1"/>
  <c r="I21" i="72" s="1"/>
  <c r="F21" i="71"/>
  <c r="G21" i="71" s="1"/>
  <c r="H21" i="71" s="1"/>
  <c r="I21" i="71" s="1"/>
  <c r="F18" i="66"/>
  <c r="F18" i="65"/>
  <c r="G18" i="65" s="1"/>
  <c r="H18" i="65" s="1"/>
  <c r="I18" i="65" s="1"/>
  <c r="F18" i="67"/>
  <c r="D23" i="113"/>
  <c r="E23" i="113"/>
  <c r="G23" i="113" s="1"/>
  <c r="H22" i="49"/>
  <c r="I22" i="49" s="1"/>
  <c r="E21" i="77"/>
  <c r="D21" i="77"/>
  <c r="F19" i="64"/>
  <c r="G19" i="64" s="1"/>
  <c r="H19" i="64" s="1"/>
  <c r="I19" i="64" s="1"/>
  <c r="F19" i="25"/>
  <c r="F19" i="63"/>
  <c r="H17" i="112"/>
  <c r="I17" i="112" s="1"/>
  <c r="F19" i="78"/>
  <c r="G19" i="78" s="1"/>
  <c r="H19" i="78" s="1"/>
  <c r="I19" i="78" s="1"/>
  <c r="F19" i="77"/>
  <c r="G19" i="77" s="1"/>
  <c r="H19" i="77" s="1"/>
  <c r="I19" i="77" s="1"/>
  <c r="F19" i="76"/>
  <c r="G19" i="76" s="1"/>
  <c r="H19" i="76" s="1"/>
  <c r="I19" i="76" s="1"/>
  <c r="E24" i="56"/>
  <c r="D24" i="56"/>
  <c r="E15" i="113"/>
  <c r="G15" i="113" s="1"/>
  <c r="D15" i="113"/>
  <c r="B19" i="63"/>
  <c r="E19" i="63" s="1"/>
  <c r="B29" i="63"/>
  <c r="D29" i="63" s="1"/>
  <c r="D12" i="65"/>
  <c r="H12" i="65" s="1"/>
  <c r="I12" i="65" s="1"/>
  <c r="G17" i="70"/>
  <c r="D18" i="25"/>
  <c r="B19" i="66"/>
  <c r="D19" i="66" s="1"/>
  <c r="E27" i="66"/>
  <c r="G27" i="66" s="1"/>
  <c r="H27" i="66" s="1"/>
  <c r="I27" i="66" s="1"/>
  <c r="E18" i="69"/>
  <c r="B13" i="71"/>
  <c r="E13" i="71" s="1"/>
  <c r="G13" i="71" s="1"/>
  <c r="B13" i="80"/>
  <c r="D13" i="80" s="1"/>
  <c r="D15" i="80" s="1"/>
  <c r="G23" i="59"/>
  <c r="D36" i="56"/>
  <c r="H36" i="56" s="1"/>
  <c r="I36" i="56" s="1"/>
  <c r="B27" i="117"/>
  <c r="D27" i="117" s="1"/>
  <c r="B37" i="117"/>
  <c r="D37" i="117" s="1"/>
  <c r="D23" i="62"/>
  <c r="D13" i="64"/>
  <c r="H13" i="64" s="1"/>
  <c r="I13" i="64" s="1"/>
  <c r="D23" i="116"/>
  <c r="B27" i="114"/>
  <c r="D27" i="114" s="1"/>
  <c r="B37" i="114"/>
  <c r="D37" i="114" s="1"/>
  <c r="B37" i="113"/>
  <c r="E37" i="113" s="1"/>
  <c r="G37" i="113" s="1"/>
  <c r="G24" i="52"/>
  <c r="D13" i="4"/>
  <c r="H13" i="4" s="1"/>
  <c r="I13" i="4" s="1"/>
  <c r="H22" i="81"/>
  <c r="I22" i="81" s="1"/>
  <c r="H19" i="49"/>
  <c r="I19" i="49" s="1"/>
  <c r="D28" i="47"/>
  <c r="H28" i="47" s="1"/>
  <c r="I28" i="47" s="1"/>
  <c r="E36" i="49"/>
  <c r="G36" i="49" s="1"/>
  <c r="H36" i="49" s="1"/>
  <c r="I36" i="49" s="1"/>
  <c r="D31" i="113"/>
  <c r="G23" i="49"/>
  <c r="E20" i="74"/>
  <c r="D20" i="74"/>
  <c r="E18" i="80"/>
  <c r="G18" i="80" s="1"/>
  <c r="D18" i="80"/>
  <c r="F16" i="68"/>
  <c r="G16" i="68" s="1"/>
  <c r="H16" i="68" s="1"/>
  <c r="I16" i="68" s="1"/>
  <c r="F16" i="70"/>
  <c r="G16" i="70" s="1"/>
  <c r="H16" i="70" s="1"/>
  <c r="I16" i="70" s="1"/>
  <c r="F16" i="69"/>
  <c r="G16" i="69" s="1"/>
  <c r="H16" i="69" s="1"/>
  <c r="I16" i="69" s="1"/>
  <c r="F22" i="59"/>
  <c r="G22" i="59" s="1"/>
  <c r="H22" i="59" s="1"/>
  <c r="I22" i="59" s="1"/>
  <c r="F22" i="58"/>
  <c r="G22" i="58" s="1"/>
  <c r="H22" i="58" s="1"/>
  <c r="I22" i="58" s="1"/>
  <c r="F22" i="57"/>
  <c r="G22" i="57" s="1"/>
  <c r="H22" i="57" s="1"/>
  <c r="I22" i="57" s="1"/>
  <c r="F22" i="117"/>
  <c r="G22" i="117" s="1"/>
  <c r="F31" i="54"/>
  <c r="G31" i="54" s="1"/>
  <c r="H31" i="54" s="1"/>
  <c r="I31" i="54" s="1"/>
  <c r="F31" i="56"/>
  <c r="F31" i="115"/>
  <c r="D24" i="74"/>
  <c r="D26" i="74" s="1"/>
  <c r="E24" i="74"/>
  <c r="G24" i="74" s="1"/>
  <c r="F23" i="81"/>
  <c r="G23" i="81" s="1"/>
  <c r="G24" i="81" s="1"/>
  <c r="F23" i="80"/>
  <c r="G23" i="80" s="1"/>
  <c r="F23" i="79"/>
  <c r="G23" i="79" s="1"/>
  <c r="H23" i="79" s="1"/>
  <c r="I23" i="79" s="1"/>
  <c r="F24" i="70"/>
  <c r="F24" i="69"/>
  <c r="F24" i="68"/>
  <c r="F32" i="58"/>
  <c r="G32" i="58" s="1"/>
  <c r="H32" i="58" s="1"/>
  <c r="I32" i="58" s="1"/>
  <c r="F32" i="59"/>
  <c r="F32" i="117"/>
  <c r="F32" i="57"/>
  <c r="F32" i="52"/>
  <c r="F32" i="114"/>
  <c r="F32" i="53"/>
  <c r="F32" i="51"/>
  <c r="D24" i="113"/>
  <c r="B29" i="77"/>
  <c r="B22" i="77"/>
  <c r="D41" i="116"/>
  <c r="E41" i="116"/>
  <c r="G41" i="116" s="1"/>
  <c r="F31" i="46"/>
  <c r="F31" i="47"/>
  <c r="F31" i="4"/>
  <c r="F31" i="112"/>
  <c r="D16" i="115"/>
  <c r="E16" i="115"/>
  <c r="G16" i="115" s="1"/>
  <c r="E24" i="77"/>
  <c r="D24" i="77"/>
  <c r="D26" i="75"/>
  <c r="D16" i="112"/>
  <c r="E16" i="112"/>
  <c r="G16" i="112" s="1"/>
  <c r="D19" i="80"/>
  <c r="G19" i="80"/>
  <c r="D26" i="78"/>
  <c r="H16" i="116"/>
  <c r="I16" i="116" s="1"/>
  <c r="E17" i="114"/>
  <c r="G17" i="114" s="1"/>
  <c r="D17" i="114"/>
  <c r="D15" i="114"/>
  <c r="E15" i="114"/>
  <c r="G15" i="114" s="1"/>
  <c r="F31" i="113"/>
  <c r="G31" i="113" s="1"/>
  <c r="F31" i="50"/>
  <c r="F31" i="49"/>
  <c r="F31" i="48"/>
  <c r="E30" i="5"/>
  <c r="G30" i="5" s="1"/>
  <c r="D30" i="5"/>
  <c r="F24" i="64"/>
  <c r="F24" i="25"/>
  <c r="F24" i="63"/>
  <c r="D33" i="71"/>
  <c r="E33" i="71"/>
  <c r="G33" i="71" s="1"/>
  <c r="F31" i="53"/>
  <c r="F31" i="114"/>
  <c r="G31" i="114" s="1"/>
  <c r="F31" i="51"/>
  <c r="F31" i="52"/>
  <c r="F24" i="4"/>
  <c r="F24" i="47"/>
  <c r="G24" i="47" s="1"/>
  <c r="H24" i="47" s="1"/>
  <c r="I24" i="47" s="1"/>
  <c r="F24" i="46"/>
  <c r="F24" i="112"/>
  <c r="D17" i="115"/>
  <c r="E17" i="115"/>
  <c r="G17" i="115" s="1"/>
  <c r="E20" i="77"/>
  <c r="D20" i="77"/>
  <c r="E32" i="63"/>
  <c r="G32" i="63" s="1"/>
  <c r="D32" i="63"/>
  <c r="F18" i="69"/>
  <c r="F18" i="68"/>
  <c r="F18" i="70"/>
  <c r="G18" i="70" s="1"/>
  <c r="H18" i="70" s="1"/>
  <c r="I18" i="70" s="1"/>
  <c r="F22" i="54"/>
  <c r="G22" i="54" s="1"/>
  <c r="H22" i="54" s="1"/>
  <c r="I22" i="54" s="1"/>
  <c r="F22" i="115"/>
  <c r="G22" i="115" s="1"/>
  <c r="F22" i="56"/>
  <c r="G22" i="56" s="1"/>
  <c r="F22" i="61"/>
  <c r="G22" i="61" s="1"/>
  <c r="H22" i="61" s="1"/>
  <c r="I22" i="61" s="1"/>
  <c r="F22" i="116"/>
  <c r="G22" i="116" s="1"/>
  <c r="H22" i="116" s="1"/>
  <c r="I22" i="116" s="1"/>
  <c r="F22" i="62"/>
  <c r="G22" i="62" s="1"/>
  <c r="H22" i="62" s="1"/>
  <c r="I22" i="62" s="1"/>
  <c r="F22" i="60"/>
  <c r="G22" i="60" s="1"/>
  <c r="B21" i="63"/>
  <c r="E21" i="63" s="1"/>
  <c r="G21" i="63" s="1"/>
  <c r="B28" i="66"/>
  <c r="E28" i="66" s="1"/>
  <c r="G28" i="66" s="1"/>
  <c r="B27" i="80"/>
  <c r="D27" i="80" s="1"/>
  <c r="B38" i="113"/>
  <c r="D38" i="113" s="1"/>
  <c r="D21" i="65"/>
  <c r="E21" i="65"/>
  <c r="G21" i="65" s="1"/>
  <c r="D23" i="115"/>
  <c r="E23" i="115"/>
  <c r="G23" i="115" s="1"/>
  <c r="F17" i="80"/>
  <c r="G17" i="80" s="1"/>
  <c r="H17" i="80" s="1"/>
  <c r="I17" i="80" s="1"/>
  <c r="F17" i="81"/>
  <c r="G17" i="81" s="1"/>
  <c r="H17" i="81" s="1"/>
  <c r="I17" i="81" s="1"/>
  <c r="F17" i="79"/>
  <c r="G17" i="79" s="1"/>
  <c r="H17" i="79" s="1"/>
  <c r="I17" i="79" s="1"/>
  <c r="D32" i="66"/>
  <c r="E32" i="66"/>
  <c r="G32" i="66" s="1"/>
  <c r="F24" i="50"/>
  <c r="F24" i="113"/>
  <c r="G24" i="113" s="1"/>
  <c r="F24" i="48"/>
  <c r="G24" i="48" s="1"/>
  <c r="H24" i="48" s="1"/>
  <c r="I24" i="48" s="1"/>
  <c r="F24" i="49"/>
  <c r="G24" i="49" s="1"/>
  <c r="H24" i="49" s="1"/>
  <c r="I24" i="49" s="1"/>
  <c r="E15" i="117"/>
  <c r="G15" i="117" s="1"/>
  <c r="D15" i="117"/>
  <c r="D18" i="117" s="1"/>
  <c r="H16" i="117"/>
  <c r="I16" i="117" s="1"/>
  <c r="E33" i="77"/>
  <c r="G33" i="77" s="1"/>
  <c r="D33" i="77"/>
  <c r="D15" i="116"/>
  <c r="E15" i="116"/>
  <c r="G15" i="116" s="1"/>
  <c r="H22" i="79"/>
  <c r="I22" i="79" s="1"/>
  <c r="D24" i="79"/>
  <c r="F16" i="65"/>
  <c r="G16" i="65" s="1"/>
  <c r="H16" i="65" s="1"/>
  <c r="I16" i="65" s="1"/>
  <c r="F16" i="66"/>
  <c r="G16" i="66" s="1"/>
  <c r="H16" i="66" s="1"/>
  <c r="I16" i="66" s="1"/>
  <c r="F16" i="67"/>
  <c r="G16" i="67" s="1"/>
  <c r="H16" i="67" s="1"/>
  <c r="I16" i="67" s="1"/>
  <c r="F18" i="63"/>
  <c r="F18" i="25"/>
  <c r="G18" i="25" s="1"/>
  <c r="F18" i="64"/>
  <c r="F32" i="50"/>
  <c r="F32" i="113"/>
  <c r="F32" i="48"/>
  <c r="F32" i="49"/>
  <c r="G32" i="49" s="1"/>
  <c r="D41" i="115"/>
  <c r="E41" i="115"/>
  <c r="G41" i="115" s="1"/>
  <c r="B27" i="63"/>
  <c r="D27" i="63" s="1"/>
  <c r="B21" i="66"/>
  <c r="E21" i="66" s="1"/>
  <c r="G21" i="66" s="1"/>
  <c r="B20" i="80"/>
  <c r="D20" i="80" s="1"/>
  <c r="B31" i="117"/>
  <c r="E31" i="117" s="1"/>
  <c r="G31" i="117" s="1"/>
  <c r="B28" i="117"/>
  <c r="E28" i="117" s="1"/>
  <c r="G28" i="117" s="1"/>
  <c r="B28" i="114"/>
  <c r="D28" i="114" s="1"/>
  <c r="B38" i="114"/>
  <c r="D38" i="114" s="1"/>
  <c r="B36" i="113"/>
  <c r="E36" i="113" s="1"/>
  <c r="G36" i="113" s="1"/>
  <c r="B28" i="113"/>
  <c r="D28" i="113" s="1"/>
  <c r="E23" i="117"/>
  <c r="G23" i="117" s="1"/>
  <c r="D23" i="117"/>
  <c r="E32" i="69"/>
  <c r="G32" i="69" s="1"/>
  <c r="D32" i="69"/>
  <c r="D26" i="76"/>
  <c r="F16" i="25"/>
  <c r="G16" i="25" s="1"/>
  <c r="H16" i="25" s="1"/>
  <c r="I16" i="25" s="1"/>
  <c r="F16" i="64"/>
  <c r="G16" i="64" s="1"/>
  <c r="H16" i="64" s="1"/>
  <c r="I16" i="64" s="1"/>
  <c r="F16" i="63"/>
  <c r="G16" i="63" s="1"/>
  <c r="H16" i="63" s="1"/>
  <c r="I16" i="63" s="1"/>
  <c r="F22" i="47"/>
  <c r="G22" i="47" s="1"/>
  <c r="F22" i="112"/>
  <c r="G22" i="112" s="1"/>
  <c r="F22" i="4"/>
  <c r="G22" i="4" s="1"/>
  <c r="H22" i="4" s="1"/>
  <c r="I22" i="4" s="1"/>
  <c r="F22" i="46"/>
  <c r="G22" i="46" s="1"/>
  <c r="D31" i="80"/>
  <c r="E31" i="80"/>
  <c r="G31" i="80" s="1"/>
  <c r="F25" i="74"/>
  <c r="G25" i="74" s="1"/>
  <c r="H25" i="74" s="1"/>
  <c r="I25" i="74" s="1"/>
  <c r="F25" i="75"/>
  <c r="G25" i="75" s="1"/>
  <c r="F25" i="73"/>
  <c r="G25" i="73" s="1"/>
  <c r="F24" i="60"/>
  <c r="G24" i="60" s="1"/>
  <c r="H24" i="60" s="1"/>
  <c r="I24" i="60" s="1"/>
  <c r="F24" i="116"/>
  <c r="F24" i="62"/>
  <c r="G24" i="62" s="1"/>
  <c r="F24" i="61"/>
  <c r="G24" i="61" s="1"/>
  <c r="H24" i="61" s="1"/>
  <c r="I24" i="61" s="1"/>
  <c r="F24" i="56"/>
  <c r="F24" i="54"/>
  <c r="F24" i="115"/>
  <c r="G24" i="115" s="1"/>
  <c r="F32" i="112"/>
  <c r="F32" i="47"/>
  <c r="G32" i="47" s="1"/>
  <c r="F32" i="46"/>
  <c r="F32" i="4"/>
  <c r="F20" i="80"/>
  <c r="F20" i="81"/>
  <c r="F20" i="79"/>
  <c r="D24" i="81"/>
  <c r="F25" i="71"/>
  <c r="G25" i="71" s="1"/>
  <c r="F25" i="72"/>
  <c r="G25" i="72" s="1"/>
  <c r="H25" i="72" s="1"/>
  <c r="I25" i="72" s="1"/>
  <c r="F25" i="5"/>
  <c r="G25" i="5" s="1"/>
  <c r="H25" i="5" s="1"/>
  <c r="I25" i="5" s="1"/>
  <c r="F32" i="115"/>
  <c r="F32" i="54"/>
  <c r="F32" i="56"/>
  <c r="G32" i="56" s="1"/>
  <c r="E15" i="115"/>
  <c r="G15" i="115" s="1"/>
  <c r="D15" i="115"/>
  <c r="E12" i="63"/>
  <c r="G12" i="63" s="1"/>
  <c r="D12" i="63"/>
  <c r="E24" i="112"/>
  <c r="D24" i="112"/>
  <c r="F25" i="77"/>
  <c r="G25" i="77" s="1"/>
  <c r="F25" i="76"/>
  <c r="G25" i="76" s="1"/>
  <c r="H25" i="76" s="1"/>
  <c r="I25" i="76" s="1"/>
  <c r="F25" i="78"/>
  <c r="G25" i="78" s="1"/>
  <c r="H25" i="78" s="1"/>
  <c r="I25" i="78" s="1"/>
  <c r="H21" i="75"/>
  <c r="I21" i="75" s="1"/>
  <c r="F19" i="70"/>
  <c r="F19" i="68"/>
  <c r="F19" i="69"/>
  <c r="F22" i="73"/>
  <c r="F22" i="75"/>
  <c r="F22" i="74"/>
  <c r="E16" i="113"/>
  <c r="G16" i="113" s="1"/>
  <c r="D16" i="113"/>
  <c r="E41" i="113"/>
  <c r="G41" i="113" s="1"/>
  <c r="D41" i="113"/>
  <c r="E41" i="114"/>
  <c r="G41" i="114" s="1"/>
  <c r="D41" i="114"/>
  <c r="H23" i="54"/>
  <c r="I23" i="54" s="1"/>
  <c r="H23" i="51"/>
  <c r="I23" i="51" s="1"/>
  <c r="E18" i="63"/>
  <c r="D18" i="63"/>
  <c r="E28" i="64"/>
  <c r="G28" i="64" s="1"/>
  <c r="D28" i="64"/>
  <c r="D28" i="65"/>
  <c r="E28" i="65"/>
  <c r="G28" i="65" s="1"/>
  <c r="E24" i="70"/>
  <c r="D24" i="70"/>
  <c r="D12" i="68"/>
  <c r="D14" i="68" s="1"/>
  <c r="E12" i="68"/>
  <c r="G12" i="68" s="1"/>
  <c r="D29" i="25"/>
  <c r="E29" i="25"/>
  <c r="G29" i="25" s="1"/>
  <c r="E12" i="70"/>
  <c r="G12" i="70" s="1"/>
  <c r="D12" i="70"/>
  <c r="D28" i="78"/>
  <c r="E28" i="78"/>
  <c r="G28" i="78" s="1"/>
  <c r="E27" i="59"/>
  <c r="G27" i="59" s="1"/>
  <c r="D27" i="59"/>
  <c r="D29" i="67"/>
  <c r="E29" i="67"/>
  <c r="G29" i="67" s="1"/>
  <c r="D28" i="5"/>
  <c r="E28" i="5"/>
  <c r="G28" i="5" s="1"/>
  <c r="E38" i="58"/>
  <c r="G38" i="58" s="1"/>
  <c r="D38" i="58"/>
  <c r="E28" i="62"/>
  <c r="G28" i="62" s="1"/>
  <c r="D28" i="62"/>
  <c r="D13" i="115"/>
  <c r="E13" i="115"/>
  <c r="G13" i="115" s="1"/>
  <c r="D30" i="72"/>
  <c r="E30" i="72"/>
  <c r="G30" i="72" s="1"/>
  <c r="E31" i="56"/>
  <c r="D31" i="56"/>
  <c r="G14" i="53"/>
  <c r="H16" i="76"/>
  <c r="I16" i="76" s="1"/>
  <c r="H19" i="116"/>
  <c r="I19" i="116" s="1"/>
  <c r="E12" i="61"/>
  <c r="G12" i="61" s="1"/>
  <c r="D12" i="61"/>
  <c r="E31" i="50"/>
  <c r="D31" i="50"/>
  <c r="D37" i="50"/>
  <c r="E37" i="50"/>
  <c r="G37" i="50" s="1"/>
  <c r="G15" i="72"/>
  <c r="H13" i="72"/>
  <c r="I13" i="72" s="1"/>
  <c r="E36" i="53"/>
  <c r="G36" i="53" s="1"/>
  <c r="D36" i="53"/>
  <c r="E28" i="52"/>
  <c r="G28" i="52" s="1"/>
  <c r="D28" i="52"/>
  <c r="D13" i="81"/>
  <c r="D15" i="81" s="1"/>
  <c r="E13" i="81"/>
  <c r="G13" i="81" s="1"/>
  <c r="E24" i="50"/>
  <c r="D24" i="50"/>
  <c r="D25" i="50" s="1"/>
  <c r="D12" i="48"/>
  <c r="E12" i="48"/>
  <c r="G12" i="48" s="1"/>
  <c r="H23" i="57"/>
  <c r="I23" i="57" s="1"/>
  <c r="E29" i="73"/>
  <c r="G29" i="73" s="1"/>
  <c r="D29" i="73"/>
  <c r="H19" i="51"/>
  <c r="I19" i="51" s="1"/>
  <c r="H28" i="73"/>
  <c r="I28" i="73" s="1"/>
  <c r="D24" i="46"/>
  <c r="E24" i="46"/>
  <c r="E27" i="112"/>
  <c r="G27" i="112" s="1"/>
  <c r="D27" i="112"/>
  <c r="E32" i="51"/>
  <c r="D32" i="51"/>
  <c r="E13" i="50"/>
  <c r="G13" i="50" s="1"/>
  <c r="D13" i="50"/>
  <c r="D37" i="49"/>
  <c r="D40" i="49" s="1"/>
  <c r="E37" i="49"/>
  <c r="G37" i="49" s="1"/>
  <c r="E27" i="47"/>
  <c r="G27" i="47" s="1"/>
  <c r="D27" i="47"/>
  <c r="D31" i="46"/>
  <c r="E31" i="46"/>
  <c r="D24" i="64"/>
  <c r="E24" i="64"/>
  <c r="E23" i="64"/>
  <c r="G23" i="64" s="1"/>
  <c r="D23" i="64"/>
  <c r="E18" i="67"/>
  <c r="D18" i="67"/>
  <c r="E19" i="65"/>
  <c r="G19" i="65" s="1"/>
  <c r="D19" i="65"/>
  <c r="E29" i="70"/>
  <c r="G29" i="70" s="1"/>
  <c r="D29" i="70"/>
  <c r="G17" i="69"/>
  <c r="E28" i="70"/>
  <c r="G28" i="70" s="1"/>
  <c r="D28" i="70"/>
  <c r="E12" i="69"/>
  <c r="G12" i="69" s="1"/>
  <c r="D12" i="69"/>
  <c r="E29" i="68"/>
  <c r="G29" i="68" s="1"/>
  <c r="D29" i="68"/>
  <c r="E20" i="79"/>
  <c r="D20" i="79"/>
  <c r="D21" i="79" s="1"/>
  <c r="E31" i="59"/>
  <c r="G31" i="59" s="1"/>
  <c r="D31" i="59"/>
  <c r="D29" i="75"/>
  <c r="E29" i="75"/>
  <c r="G29" i="75" s="1"/>
  <c r="D31" i="58"/>
  <c r="D33" i="58" s="1"/>
  <c r="E31" i="58"/>
  <c r="G31" i="58" s="1"/>
  <c r="E32" i="62"/>
  <c r="G32" i="62" s="1"/>
  <c r="D32" i="62"/>
  <c r="D33" i="62" s="1"/>
  <c r="E37" i="57"/>
  <c r="G37" i="57" s="1"/>
  <c r="D37" i="57"/>
  <c r="D28" i="60"/>
  <c r="E28" i="60"/>
  <c r="G28" i="60" s="1"/>
  <c r="E37" i="54"/>
  <c r="G37" i="54" s="1"/>
  <c r="D37" i="54"/>
  <c r="D24" i="114"/>
  <c r="E24" i="114"/>
  <c r="G24" i="114" s="1"/>
  <c r="H16" i="5"/>
  <c r="I16" i="5" s="1"/>
  <c r="H19" i="62"/>
  <c r="I19" i="62" s="1"/>
  <c r="D13" i="74"/>
  <c r="D15" i="74" s="1"/>
  <c r="E13" i="74"/>
  <c r="G13" i="74" s="1"/>
  <c r="D12" i="56"/>
  <c r="E12" i="56"/>
  <c r="G12" i="56" s="1"/>
  <c r="D31" i="53"/>
  <c r="E31" i="53"/>
  <c r="H19" i="57"/>
  <c r="I19" i="57" s="1"/>
  <c r="E28" i="81"/>
  <c r="G28" i="81" s="1"/>
  <c r="D28" i="81"/>
  <c r="D26" i="81"/>
  <c r="E26" i="81"/>
  <c r="G26" i="81" s="1"/>
  <c r="E12" i="62"/>
  <c r="G12" i="62" s="1"/>
  <c r="D12" i="62"/>
  <c r="E13" i="73"/>
  <c r="G13" i="73" s="1"/>
  <c r="D13" i="73"/>
  <c r="D15" i="73" s="1"/>
  <c r="E37" i="60"/>
  <c r="G37" i="60" s="1"/>
  <c r="D37" i="60"/>
  <c r="H19" i="52"/>
  <c r="I19" i="52" s="1"/>
  <c r="E27" i="60"/>
  <c r="G27" i="60" s="1"/>
  <c r="D27" i="60"/>
  <c r="H13" i="57"/>
  <c r="I13" i="57" s="1"/>
  <c r="D23" i="46"/>
  <c r="E23" i="46"/>
  <c r="G23" i="46" s="1"/>
  <c r="E12" i="113"/>
  <c r="G12" i="113" s="1"/>
  <c r="D12" i="113"/>
  <c r="E31" i="48"/>
  <c r="D31" i="48"/>
  <c r="D36" i="51"/>
  <c r="E36" i="51"/>
  <c r="G36" i="51" s="1"/>
  <c r="D28" i="46"/>
  <c r="E28" i="46"/>
  <c r="G28" i="46" s="1"/>
  <c r="E38" i="46"/>
  <c r="G38" i="46" s="1"/>
  <c r="D38" i="46"/>
  <c r="D32" i="4"/>
  <c r="E32" i="4"/>
  <c r="D21" i="64"/>
  <c r="E21" i="64"/>
  <c r="G21" i="64" s="1"/>
  <c r="E28" i="63"/>
  <c r="G28" i="63" s="1"/>
  <c r="D28" i="63"/>
  <c r="D17" i="64"/>
  <c r="E17" i="64"/>
  <c r="G17" i="64" s="1"/>
  <c r="D23" i="70"/>
  <c r="E23" i="70"/>
  <c r="E18" i="68"/>
  <c r="D18" i="68"/>
  <c r="D24" i="25"/>
  <c r="E24" i="25"/>
  <c r="E13" i="69"/>
  <c r="G13" i="69" s="1"/>
  <c r="D13" i="69"/>
  <c r="E27" i="68"/>
  <c r="G27" i="68" s="1"/>
  <c r="D27" i="68"/>
  <c r="E22" i="76"/>
  <c r="G22" i="76" s="1"/>
  <c r="D22" i="76"/>
  <c r="D23" i="76" s="1"/>
  <c r="E27" i="79"/>
  <c r="G27" i="79" s="1"/>
  <c r="D27" i="79"/>
  <c r="E30" i="78"/>
  <c r="G30" i="78" s="1"/>
  <c r="D30" i="78"/>
  <c r="D22" i="71"/>
  <c r="E22" i="71"/>
  <c r="G22" i="71" s="1"/>
  <c r="E27" i="67"/>
  <c r="G27" i="67" s="1"/>
  <c r="D27" i="67"/>
  <c r="D24" i="67"/>
  <c r="E24" i="67"/>
  <c r="G24" i="67" s="1"/>
  <c r="D13" i="77"/>
  <c r="D15" i="77" s="1"/>
  <c r="E13" i="77"/>
  <c r="G13" i="77" s="1"/>
  <c r="E28" i="75"/>
  <c r="G28" i="75" s="1"/>
  <c r="D28" i="75"/>
  <c r="E36" i="58"/>
  <c r="G36" i="58" s="1"/>
  <c r="D36" i="58"/>
  <c r="E27" i="62"/>
  <c r="G27" i="62" s="1"/>
  <c r="D27" i="62"/>
  <c r="D36" i="62"/>
  <c r="E36" i="62"/>
  <c r="G36" i="62" s="1"/>
  <c r="H38" i="61"/>
  <c r="I38" i="61" s="1"/>
  <c r="D13" i="60"/>
  <c r="E13" i="60"/>
  <c r="G13" i="60" s="1"/>
  <c r="H28" i="79"/>
  <c r="I28" i="79" s="1"/>
  <c r="E28" i="72"/>
  <c r="G28" i="72" s="1"/>
  <c r="D28" i="72"/>
  <c r="H13" i="58"/>
  <c r="I13" i="58" s="1"/>
  <c r="E31" i="61"/>
  <c r="D31" i="61"/>
  <c r="D38" i="117"/>
  <c r="E38" i="117"/>
  <c r="G38" i="117" s="1"/>
  <c r="E28" i="57"/>
  <c r="G28" i="57" s="1"/>
  <c r="D28" i="57"/>
  <c r="E38" i="57"/>
  <c r="G38" i="57" s="1"/>
  <c r="D38" i="57"/>
  <c r="D27" i="116"/>
  <c r="E28" i="54"/>
  <c r="G28" i="54" s="1"/>
  <c r="D28" i="54"/>
  <c r="D38" i="54"/>
  <c r="E38" i="54"/>
  <c r="G38" i="54" s="1"/>
  <c r="H13" i="53"/>
  <c r="I13" i="53" s="1"/>
  <c r="H16" i="78"/>
  <c r="I16" i="78" s="1"/>
  <c r="H16" i="71"/>
  <c r="I16" i="71" s="1"/>
  <c r="H15" i="66"/>
  <c r="I15" i="66" s="1"/>
  <c r="H19" i="56"/>
  <c r="I19" i="56" s="1"/>
  <c r="E13" i="56"/>
  <c r="G13" i="56" s="1"/>
  <c r="D13" i="56"/>
  <c r="D24" i="54"/>
  <c r="D25" i="54" s="1"/>
  <c r="E24" i="54"/>
  <c r="E32" i="50"/>
  <c r="D32" i="50"/>
  <c r="H15" i="68"/>
  <c r="I15" i="68" s="1"/>
  <c r="H19" i="58"/>
  <c r="I19" i="58" s="1"/>
  <c r="E28" i="53"/>
  <c r="G28" i="53" s="1"/>
  <c r="D28" i="53"/>
  <c r="E38" i="53"/>
  <c r="G38" i="53" s="1"/>
  <c r="D38" i="53"/>
  <c r="D36" i="52"/>
  <c r="E36" i="52"/>
  <c r="G36" i="52" s="1"/>
  <c r="E20" i="81"/>
  <c r="D20" i="81"/>
  <c r="D21" i="81" s="1"/>
  <c r="E13" i="62"/>
  <c r="G13" i="62" s="1"/>
  <c r="D13" i="62"/>
  <c r="D14" i="54"/>
  <c r="D13" i="47"/>
  <c r="E13" i="47"/>
  <c r="G13" i="47" s="1"/>
  <c r="D12" i="112"/>
  <c r="E12" i="112"/>
  <c r="G12" i="112" s="1"/>
  <c r="E22" i="73"/>
  <c r="D22" i="73"/>
  <c r="D23" i="73" s="1"/>
  <c r="H16" i="73"/>
  <c r="I16" i="73" s="1"/>
  <c r="H15" i="63"/>
  <c r="I15" i="63" s="1"/>
  <c r="H19" i="114"/>
  <c r="I19" i="114" s="1"/>
  <c r="E12" i="116"/>
  <c r="G12" i="116" s="1"/>
  <c r="D12" i="116"/>
  <c r="E31" i="60"/>
  <c r="D31" i="60"/>
  <c r="E28" i="48"/>
  <c r="G28" i="48" s="1"/>
  <c r="D28" i="48"/>
  <c r="G23" i="48"/>
  <c r="D24" i="4"/>
  <c r="E24" i="4"/>
  <c r="E13" i="113"/>
  <c r="G13" i="113" s="1"/>
  <c r="D13" i="113"/>
  <c r="E27" i="51"/>
  <c r="G27" i="51" s="1"/>
  <c r="D27" i="51"/>
  <c r="D37" i="51"/>
  <c r="E37" i="51"/>
  <c r="G37" i="51" s="1"/>
  <c r="E31" i="49"/>
  <c r="D31" i="49"/>
  <c r="D37" i="47"/>
  <c r="D40" i="47" s="1"/>
  <c r="E37" i="47"/>
  <c r="G37" i="47" s="1"/>
  <c r="E32" i="46"/>
  <c r="D32" i="46"/>
  <c r="D27" i="4"/>
  <c r="E27" i="4"/>
  <c r="G27" i="4" s="1"/>
  <c r="E36" i="4"/>
  <c r="G36" i="4" s="1"/>
  <c r="D36" i="4"/>
  <c r="G14" i="66"/>
  <c r="D17" i="67"/>
  <c r="E17" i="67"/>
  <c r="G17" i="67" s="1"/>
  <c r="G14" i="65"/>
  <c r="H17" i="25"/>
  <c r="I17" i="25" s="1"/>
  <c r="E21" i="70"/>
  <c r="G21" i="70" s="1"/>
  <c r="D21" i="70"/>
  <c r="E27" i="25"/>
  <c r="G27" i="25" s="1"/>
  <c r="D27" i="25"/>
  <c r="E28" i="68"/>
  <c r="G28" i="68" s="1"/>
  <c r="D28" i="68"/>
  <c r="E21" i="68"/>
  <c r="G21" i="68" s="1"/>
  <c r="D21" i="68"/>
  <c r="E29" i="76"/>
  <c r="G29" i="76" s="1"/>
  <c r="D29" i="76"/>
  <c r="D26" i="79"/>
  <c r="E26" i="79"/>
  <c r="G26" i="79" s="1"/>
  <c r="E19" i="67"/>
  <c r="G19" i="67" s="1"/>
  <c r="D19" i="67"/>
  <c r="E26" i="80"/>
  <c r="G26" i="80" s="1"/>
  <c r="D26" i="80"/>
  <c r="D30" i="75"/>
  <c r="E30" i="75"/>
  <c r="G30" i="75" s="1"/>
  <c r="D27" i="58"/>
  <c r="E27" i="58"/>
  <c r="G27" i="58" s="1"/>
  <c r="D38" i="62"/>
  <c r="E38" i="62"/>
  <c r="G38" i="62" s="1"/>
  <c r="G14" i="58"/>
  <c r="E36" i="57"/>
  <c r="G36" i="57" s="1"/>
  <c r="D36" i="57"/>
  <c r="E36" i="60"/>
  <c r="G36" i="60" s="1"/>
  <c r="D36" i="60"/>
  <c r="D36" i="54"/>
  <c r="E36" i="54"/>
  <c r="G36" i="54" s="1"/>
  <c r="E27" i="50"/>
  <c r="G27" i="50" s="1"/>
  <c r="D27" i="50"/>
  <c r="H15" i="65"/>
  <c r="I15" i="65" s="1"/>
  <c r="H15" i="70"/>
  <c r="I15" i="70" s="1"/>
  <c r="D38" i="52"/>
  <c r="E38" i="52"/>
  <c r="G38" i="52" s="1"/>
  <c r="D12" i="117"/>
  <c r="E12" i="117"/>
  <c r="G12" i="117" s="1"/>
  <c r="D24" i="53"/>
  <c r="D25" i="53" s="1"/>
  <c r="E24" i="53"/>
  <c r="G24" i="53" s="1"/>
  <c r="D13" i="49"/>
  <c r="E13" i="49"/>
  <c r="G13" i="49" s="1"/>
  <c r="H23" i="53"/>
  <c r="I23" i="53" s="1"/>
  <c r="H16" i="74"/>
  <c r="I16" i="74" s="1"/>
  <c r="D27" i="57"/>
  <c r="D32" i="60"/>
  <c r="E32" i="60"/>
  <c r="G32" i="60" s="1"/>
  <c r="G14" i="52"/>
  <c r="D28" i="112"/>
  <c r="E27" i="48"/>
  <c r="G27" i="48" s="1"/>
  <c r="D27" i="48"/>
  <c r="E32" i="48"/>
  <c r="D32" i="48"/>
  <c r="E37" i="46"/>
  <c r="G37" i="46" s="1"/>
  <c r="D37" i="46"/>
  <c r="E28" i="4"/>
  <c r="G28" i="4" s="1"/>
  <c r="D28" i="4"/>
  <c r="E38" i="4"/>
  <c r="G38" i="4" s="1"/>
  <c r="D38" i="4"/>
  <c r="H38" i="48"/>
  <c r="I38" i="48" s="1"/>
  <c r="E13" i="63"/>
  <c r="G13" i="63" s="1"/>
  <c r="D13" i="63"/>
  <c r="D19" i="70"/>
  <c r="E19" i="70"/>
  <c r="E23" i="25"/>
  <c r="G23" i="25" s="1"/>
  <c r="D23" i="25"/>
  <c r="E28" i="25"/>
  <c r="G28" i="25" s="1"/>
  <c r="D28" i="25"/>
  <c r="D19" i="68"/>
  <c r="E19" i="68"/>
  <c r="E13" i="70"/>
  <c r="G13" i="70" s="1"/>
  <c r="D13" i="70"/>
  <c r="E23" i="67"/>
  <c r="D23" i="67"/>
  <c r="E13" i="75"/>
  <c r="G13" i="75" s="1"/>
  <c r="D13" i="75"/>
  <c r="D15" i="75" s="1"/>
  <c r="E37" i="58"/>
  <c r="G37" i="58" s="1"/>
  <c r="D37" i="58"/>
  <c r="E12" i="60"/>
  <c r="G12" i="60" s="1"/>
  <c r="D12" i="60"/>
  <c r="D29" i="72"/>
  <c r="E29" i="72"/>
  <c r="G29" i="72" s="1"/>
  <c r="D28" i="61"/>
  <c r="E28" i="61"/>
  <c r="G28" i="61" s="1"/>
  <c r="E27" i="61"/>
  <c r="G27" i="61" s="1"/>
  <c r="D27" i="61"/>
  <c r="E27" i="52"/>
  <c r="G27" i="52" s="1"/>
  <c r="D27" i="52"/>
  <c r="H19" i="4"/>
  <c r="I19" i="4" s="1"/>
  <c r="H15" i="67"/>
  <c r="I15" i="67" s="1"/>
  <c r="E13" i="61"/>
  <c r="G13" i="61" s="1"/>
  <c r="D13" i="61"/>
  <c r="E31" i="52"/>
  <c r="D31" i="52"/>
  <c r="E28" i="50"/>
  <c r="G28" i="50" s="1"/>
  <c r="D28" i="50"/>
  <c r="D38" i="50"/>
  <c r="E38" i="50"/>
  <c r="G38" i="50" s="1"/>
  <c r="E37" i="53"/>
  <c r="G37" i="53" s="1"/>
  <c r="D37" i="53"/>
  <c r="E32" i="52"/>
  <c r="D32" i="52"/>
  <c r="D13" i="117"/>
  <c r="E13" i="117"/>
  <c r="G13" i="117" s="1"/>
  <c r="H13" i="54"/>
  <c r="I13" i="54" s="1"/>
  <c r="D12" i="49"/>
  <c r="E12" i="49"/>
  <c r="G12" i="49" s="1"/>
  <c r="D13" i="112"/>
  <c r="E13" i="112"/>
  <c r="G13" i="112" s="1"/>
  <c r="H15" i="25"/>
  <c r="I15" i="25" s="1"/>
  <c r="E31" i="112"/>
  <c r="D31" i="112"/>
  <c r="E31" i="51"/>
  <c r="D31" i="51"/>
  <c r="E27" i="49"/>
  <c r="G27" i="49" s="1"/>
  <c r="D27" i="49"/>
  <c r="E31" i="47"/>
  <c r="D31" i="47"/>
  <c r="E17" i="66"/>
  <c r="G17" i="66" s="1"/>
  <c r="D17" i="66"/>
  <c r="E23" i="65"/>
  <c r="D23" i="65"/>
  <c r="D25" i="65" s="1"/>
  <c r="E17" i="63"/>
  <c r="G17" i="63" s="1"/>
  <c r="D17" i="63"/>
  <c r="D29" i="64"/>
  <c r="E29" i="64"/>
  <c r="G29" i="64" s="1"/>
  <c r="G14" i="25"/>
  <c r="E18" i="66"/>
  <c r="D18" i="66"/>
  <c r="E27" i="65"/>
  <c r="G27" i="65" s="1"/>
  <c r="D27" i="65"/>
  <c r="E18" i="64"/>
  <c r="D18" i="64"/>
  <c r="D27" i="70"/>
  <c r="E27" i="70"/>
  <c r="G27" i="70" s="1"/>
  <c r="H29" i="65"/>
  <c r="I29" i="65" s="1"/>
  <c r="E17" i="68"/>
  <c r="G17" i="68" s="1"/>
  <c r="D17" i="68"/>
  <c r="D19" i="25"/>
  <c r="E19" i="25"/>
  <c r="D21" i="25"/>
  <c r="E21" i="25"/>
  <c r="G21" i="25" s="1"/>
  <c r="D23" i="68"/>
  <c r="E23" i="68"/>
  <c r="E24" i="68"/>
  <c r="D24" i="68"/>
  <c r="D30" i="76"/>
  <c r="E30" i="76"/>
  <c r="G30" i="76" s="1"/>
  <c r="D13" i="79"/>
  <c r="D15" i="79" s="1"/>
  <c r="E13" i="79"/>
  <c r="G13" i="79" s="1"/>
  <c r="D13" i="78"/>
  <c r="D15" i="78" s="1"/>
  <c r="E13" i="78"/>
  <c r="G13" i="78" s="1"/>
  <c r="E32" i="59"/>
  <c r="D32" i="59"/>
  <c r="E28" i="67"/>
  <c r="G28" i="67" s="1"/>
  <c r="D28" i="67"/>
  <c r="E21" i="67"/>
  <c r="G21" i="67" s="1"/>
  <c r="D21" i="67"/>
  <c r="E22" i="5"/>
  <c r="G22" i="5" s="1"/>
  <c r="D22" i="5"/>
  <c r="D23" i="5" s="1"/>
  <c r="D14" i="59"/>
  <c r="H13" i="76"/>
  <c r="I13" i="76" s="1"/>
  <c r="G15" i="76"/>
  <c r="D22" i="75"/>
  <c r="D23" i="75" s="1"/>
  <c r="E22" i="75"/>
  <c r="H36" i="59"/>
  <c r="I36" i="59" s="1"/>
  <c r="E28" i="58"/>
  <c r="G28" i="58" s="1"/>
  <c r="D28" i="58"/>
  <c r="D37" i="62"/>
  <c r="E37" i="62"/>
  <c r="G37" i="62" s="1"/>
  <c r="E12" i="115"/>
  <c r="G12" i="115" s="1"/>
  <c r="D12" i="115"/>
  <c r="E22" i="72"/>
  <c r="G22" i="72" s="1"/>
  <c r="D22" i="72"/>
  <c r="D23" i="72" s="1"/>
  <c r="G15" i="5"/>
  <c r="H13" i="5"/>
  <c r="I13" i="5" s="1"/>
  <c r="D28" i="56"/>
  <c r="E28" i="56"/>
  <c r="G28" i="56" s="1"/>
  <c r="E27" i="56"/>
  <c r="G27" i="56" s="1"/>
  <c r="D27" i="56"/>
  <c r="E32" i="57"/>
  <c r="D32" i="57"/>
  <c r="G27" i="116"/>
  <c r="E38" i="60"/>
  <c r="G38" i="60" s="1"/>
  <c r="D38" i="60"/>
  <c r="D27" i="54"/>
  <c r="E27" i="54"/>
  <c r="G27" i="54" s="1"/>
  <c r="E32" i="54"/>
  <c r="D32" i="54"/>
  <c r="D33" i="54" s="1"/>
  <c r="H16" i="77"/>
  <c r="I16" i="77" s="1"/>
  <c r="H16" i="72"/>
  <c r="I16" i="72" s="1"/>
  <c r="H19" i="61"/>
  <c r="I19" i="61" s="1"/>
  <c r="H19" i="54"/>
  <c r="I19" i="54" s="1"/>
  <c r="D36" i="50"/>
  <c r="E36" i="50"/>
  <c r="G36" i="50" s="1"/>
  <c r="H15" i="69"/>
  <c r="I15" i="69" s="1"/>
  <c r="H19" i="59"/>
  <c r="I19" i="59" s="1"/>
  <c r="E12" i="57"/>
  <c r="G12" i="57" s="1"/>
  <c r="D12" i="57"/>
  <c r="D14" i="57" s="1"/>
  <c r="E32" i="53"/>
  <c r="D32" i="53"/>
  <c r="D37" i="52"/>
  <c r="E37" i="52"/>
  <c r="G37" i="52" s="1"/>
  <c r="E27" i="81"/>
  <c r="G27" i="81" s="1"/>
  <c r="D27" i="81"/>
  <c r="H12" i="54"/>
  <c r="I12" i="54" s="1"/>
  <c r="D13" i="48"/>
  <c r="E13" i="48"/>
  <c r="G13" i="48" s="1"/>
  <c r="D12" i="47"/>
  <c r="E12" i="47"/>
  <c r="G12" i="47" s="1"/>
  <c r="D30" i="73"/>
  <c r="E30" i="73"/>
  <c r="G30" i="73" s="1"/>
  <c r="H16" i="75"/>
  <c r="I16" i="75" s="1"/>
  <c r="H15" i="64"/>
  <c r="I15" i="64" s="1"/>
  <c r="H19" i="53"/>
  <c r="I19" i="53" s="1"/>
  <c r="H29" i="78"/>
  <c r="I29" i="78" s="1"/>
  <c r="G23" i="58"/>
  <c r="E13" i="116"/>
  <c r="G13" i="116" s="1"/>
  <c r="D13" i="116"/>
  <c r="D23" i="4"/>
  <c r="E23" i="4"/>
  <c r="G23" i="4" s="1"/>
  <c r="D37" i="48"/>
  <c r="E37" i="48"/>
  <c r="G37" i="48" s="1"/>
  <c r="E28" i="51"/>
  <c r="G28" i="51" s="1"/>
  <c r="D28" i="51"/>
  <c r="D38" i="51"/>
  <c r="E38" i="51"/>
  <c r="G38" i="51" s="1"/>
  <c r="E12" i="50"/>
  <c r="G12" i="50" s="1"/>
  <c r="D12" i="50"/>
  <c r="D36" i="48"/>
  <c r="E36" i="48"/>
  <c r="G36" i="48" s="1"/>
  <c r="D27" i="46"/>
  <c r="E27" i="46"/>
  <c r="G27" i="46" s="1"/>
  <c r="E36" i="46"/>
  <c r="G36" i="46" s="1"/>
  <c r="D36" i="46"/>
  <c r="D31" i="4"/>
  <c r="E31" i="4"/>
  <c r="E37" i="4"/>
  <c r="G37" i="4" s="1"/>
  <c r="D37" i="4"/>
  <c r="D26" i="71" l="1"/>
  <c r="D33" i="57"/>
  <c r="H31" i="57"/>
  <c r="I31" i="57" s="1"/>
  <c r="H31" i="80"/>
  <c r="I31" i="80" s="1"/>
  <c r="D18" i="116"/>
  <c r="H41" i="115"/>
  <c r="I41" i="115" s="1"/>
  <c r="H24" i="117"/>
  <c r="I24" i="117" s="1"/>
  <c r="H32" i="61"/>
  <c r="I32" i="61" s="1"/>
  <c r="D37" i="112"/>
  <c r="D36" i="117"/>
  <c r="H36" i="117" s="1"/>
  <c r="I36" i="117" s="1"/>
  <c r="H25" i="71"/>
  <c r="I25" i="71" s="1"/>
  <c r="H24" i="57"/>
  <c r="I24" i="57" s="1"/>
  <c r="D14" i="46"/>
  <c r="H14" i="46" s="1"/>
  <c r="I14" i="46" s="1"/>
  <c r="D28" i="115"/>
  <c r="H28" i="115" s="1"/>
  <c r="I28" i="115" s="1"/>
  <c r="D14" i="66"/>
  <c r="H14" i="66" s="1"/>
  <c r="I14" i="66" s="1"/>
  <c r="D30" i="74"/>
  <c r="H30" i="74" s="1"/>
  <c r="I30" i="74" s="1"/>
  <c r="E38" i="113"/>
  <c r="G38" i="113" s="1"/>
  <c r="H38" i="113" s="1"/>
  <c r="I38" i="113" s="1"/>
  <c r="D29" i="66"/>
  <c r="H29" i="66" s="1"/>
  <c r="I29" i="66" s="1"/>
  <c r="G40" i="61"/>
  <c r="H40" i="61" s="1"/>
  <c r="I40" i="61" s="1"/>
  <c r="H27" i="53"/>
  <c r="I27" i="53" s="1"/>
  <c r="G23" i="68"/>
  <c r="H23" i="68" s="1"/>
  <c r="I23" i="68" s="1"/>
  <c r="G40" i="59"/>
  <c r="H40" i="59" s="1"/>
  <c r="I40" i="59" s="1"/>
  <c r="D24" i="69"/>
  <c r="H12" i="64"/>
  <c r="I12" i="64" s="1"/>
  <c r="D32" i="117"/>
  <c r="D21" i="69"/>
  <c r="H21" i="69" s="1"/>
  <c r="I21" i="69" s="1"/>
  <c r="E28" i="71"/>
  <c r="G28" i="71" s="1"/>
  <c r="H28" i="71" s="1"/>
  <c r="I28" i="71" s="1"/>
  <c r="E22" i="74"/>
  <c r="G22" i="74" s="1"/>
  <c r="H22" i="74" s="1"/>
  <c r="I22" i="74" s="1"/>
  <c r="G18" i="67"/>
  <c r="H18" i="67" s="1"/>
  <c r="I18" i="67" s="1"/>
  <c r="D28" i="74"/>
  <c r="H28" i="74" s="1"/>
  <c r="I28" i="74" s="1"/>
  <c r="H25" i="77"/>
  <c r="I25" i="77" s="1"/>
  <c r="G40" i="47"/>
  <c r="H40" i="47" s="1"/>
  <c r="I40" i="47" s="1"/>
  <c r="D25" i="112"/>
  <c r="D29" i="112" s="1"/>
  <c r="E23" i="63"/>
  <c r="G23" i="63" s="1"/>
  <c r="H23" i="63" s="1"/>
  <c r="I23" i="63" s="1"/>
  <c r="D37" i="113"/>
  <c r="H37" i="113" s="1"/>
  <c r="I37" i="113" s="1"/>
  <c r="D36" i="113"/>
  <c r="H36" i="113" s="1"/>
  <c r="I36" i="113" s="1"/>
  <c r="H12" i="25"/>
  <c r="I12" i="25" s="1"/>
  <c r="H23" i="60"/>
  <c r="I23" i="60" s="1"/>
  <c r="D14" i="65"/>
  <c r="H14" i="65" s="1"/>
  <c r="I14" i="65" s="1"/>
  <c r="H12" i="58"/>
  <c r="I12" i="58" s="1"/>
  <c r="D30" i="59"/>
  <c r="H13" i="66"/>
  <c r="I13" i="66" s="1"/>
  <c r="D28" i="80"/>
  <c r="H28" i="80" s="1"/>
  <c r="I28" i="80" s="1"/>
  <c r="E20" i="80"/>
  <c r="G20" i="80" s="1"/>
  <c r="G21" i="80" s="1"/>
  <c r="E29" i="74"/>
  <c r="G29" i="74" s="1"/>
  <c r="G32" i="74" s="1"/>
  <c r="D25" i="62"/>
  <c r="D30" i="62" s="1"/>
  <c r="D35" i="62" s="1"/>
  <c r="G14" i="114"/>
  <c r="H14" i="114" s="1"/>
  <c r="I14" i="114" s="1"/>
  <c r="D25" i="81"/>
  <c r="D36" i="116"/>
  <c r="D40" i="116" s="1"/>
  <c r="H23" i="62"/>
  <c r="I23" i="62" s="1"/>
  <c r="E24" i="66"/>
  <c r="G24" i="66" s="1"/>
  <c r="H24" i="66" s="1"/>
  <c r="I24" i="66" s="1"/>
  <c r="D40" i="56"/>
  <c r="H40" i="56" s="1"/>
  <c r="I40" i="56" s="1"/>
  <c r="D30" i="48"/>
  <c r="G24" i="116"/>
  <c r="H24" i="116" s="1"/>
  <c r="I24" i="116" s="1"/>
  <c r="D32" i="112"/>
  <c r="D33" i="112" s="1"/>
  <c r="D29" i="51"/>
  <c r="G23" i="70"/>
  <c r="H23" i="70" s="1"/>
  <c r="I23" i="70" s="1"/>
  <c r="D32" i="114"/>
  <c r="D33" i="114" s="1"/>
  <c r="E27" i="113"/>
  <c r="G27" i="113" s="1"/>
  <c r="H27" i="113" s="1"/>
  <c r="I27" i="113" s="1"/>
  <c r="H24" i="51"/>
  <c r="I24" i="51" s="1"/>
  <c r="D27" i="115"/>
  <c r="H27" i="115" s="1"/>
  <c r="I27" i="115" s="1"/>
  <c r="G40" i="49"/>
  <c r="H40" i="49" s="1"/>
  <c r="I40" i="49" s="1"/>
  <c r="D25" i="116"/>
  <c r="D29" i="116" s="1"/>
  <c r="D33" i="113"/>
  <c r="H23" i="47"/>
  <c r="I23" i="47" s="1"/>
  <c r="D14" i="4"/>
  <c r="H14" i="4" s="1"/>
  <c r="I14" i="4" s="1"/>
  <c r="E27" i="69"/>
  <c r="G27" i="69" s="1"/>
  <c r="H27" i="69" s="1"/>
  <c r="I27" i="69" s="1"/>
  <c r="E37" i="114"/>
  <c r="G37" i="114" s="1"/>
  <c r="H37" i="114" s="1"/>
  <c r="I37" i="114" s="1"/>
  <c r="G32" i="48"/>
  <c r="H32" i="48" s="1"/>
  <c r="I32" i="48" s="1"/>
  <c r="D29" i="48"/>
  <c r="D31" i="117"/>
  <c r="H31" i="117" s="1"/>
  <c r="I31" i="117" s="1"/>
  <c r="H23" i="114"/>
  <c r="I23" i="114" s="1"/>
  <c r="E32" i="115"/>
  <c r="G32" i="115" s="1"/>
  <c r="H32" i="115" s="1"/>
  <c r="I32" i="115" s="1"/>
  <c r="G32" i="59"/>
  <c r="H32" i="59" s="1"/>
  <c r="I32" i="59" s="1"/>
  <c r="H41" i="112"/>
  <c r="I41" i="112" s="1"/>
  <c r="D27" i="75"/>
  <c r="G19" i="25"/>
  <c r="G20" i="25" s="1"/>
  <c r="G22" i="25" s="1"/>
  <c r="G24" i="50"/>
  <c r="G25" i="50" s="1"/>
  <c r="G29" i="50" s="1"/>
  <c r="H41" i="113"/>
  <c r="I41" i="113" s="1"/>
  <c r="H32" i="47"/>
  <c r="I32" i="47" s="1"/>
  <c r="D25" i="60"/>
  <c r="D29" i="60" s="1"/>
  <c r="E27" i="63"/>
  <c r="G27" i="63" s="1"/>
  <c r="H27" i="63" s="1"/>
  <c r="I27" i="63" s="1"/>
  <c r="G25" i="58"/>
  <c r="G29" i="58" s="1"/>
  <c r="H23" i="61"/>
  <c r="I23" i="61" s="1"/>
  <c r="D33" i="47"/>
  <c r="E32" i="113"/>
  <c r="G32" i="113" s="1"/>
  <c r="G33" i="113" s="1"/>
  <c r="D29" i="61"/>
  <c r="G19" i="68"/>
  <c r="H19" i="68" s="1"/>
  <c r="I19" i="68" s="1"/>
  <c r="D36" i="112"/>
  <c r="D40" i="112" s="1"/>
  <c r="G32" i="4"/>
  <c r="H32" i="4" s="1"/>
  <c r="I32" i="4" s="1"/>
  <c r="H21" i="74"/>
  <c r="I21" i="74" s="1"/>
  <c r="G25" i="48"/>
  <c r="G30" i="48" s="1"/>
  <c r="H13" i="114"/>
  <c r="I13" i="114" s="1"/>
  <c r="H13" i="51"/>
  <c r="I13" i="51" s="1"/>
  <c r="H36" i="61"/>
  <c r="I36" i="61" s="1"/>
  <c r="E32" i="116"/>
  <c r="G32" i="116" s="1"/>
  <c r="H32" i="116" s="1"/>
  <c r="I32" i="116" s="1"/>
  <c r="D33" i="56"/>
  <c r="D28" i="116"/>
  <c r="H28" i="116" s="1"/>
  <c r="I28" i="116" s="1"/>
  <c r="G24" i="63"/>
  <c r="G32" i="114"/>
  <c r="G33" i="114" s="1"/>
  <c r="H17" i="114"/>
  <c r="I17" i="114" s="1"/>
  <c r="H22" i="78"/>
  <c r="I22" i="78" s="1"/>
  <c r="G24" i="70"/>
  <c r="H24" i="70" s="1"/>
  <c r="I24" i="70" s="1"/>
  <c r="D30" i="58"/>
  <c r="D35" i="58" s="1"/>
  <c r="D14" i="63"/>
  <c r="E38" i="115"/>
  <c r="G38" i="115" s="1"/>
  <c r="H38" i="115" s="1"/>
  <c r="I38" i="115" s="1"/>
  <c r="D23" i="69"/>
  <c r="D21" i="63"/>
  <c r="H21" i="63" s="1"/>
  <c r="I21" i="63" s="1"/>
  <c r="H32" i="56"/>
  <c r="I32" i="56" s="1"/>
  <c r="G31" i="66"/>
  <c r="H23" i="59"/>
  <c r="I23" i="59" s="1"/>
  <c r="D30" i="49"/>
  <c r="D32" i="73"/>
  <c r="D34" i="73" s="1"/>
  <c r="E38" i="116"/>
  <c r="G38" i="116" s="1"/>
  <c r="H38" i="116" s="1"/>
  <c r="I38" i="116" s="1"/>
  <c r="D25" i="114"/>
  <c r="D30" i="114" s="1"/>
  <c r="H32" i="49"/>
  <c r="I32" i="49" s="1"/>
  <c r="D14" i="52"/>
  <c r="H14" i="52" s="1"/>
  <c r="I14" i="52" s="1"/>
  <c r="D14" i="53"/>
  <c r="H14" i="53" s="1"/>
  <c r="I14" i="53" s="1"/>
  <c r="G18" i="64"/>
  <c r="H18" i="64" s="1"/>
  <c r="I18" i="64" s="1"/>
  <c r="D29" i="49"/>
  <c r="D36" i="115"/>
  <c r="H36" i="115" s="1"/>
  <c r="I36" i="115" s="1"/>
  <c r="G19" i="70"/>
  <c r="G20" i="70" s="1"/>
  <c r="G22" i="70" s="1"/>
  <c r="D29" i="58"/>
  <c r="D34" i="58" s="1"/>
  <c r="E19" i="69"/>
  <c r="G19" i="69" s="1"/>
  <c r="H19" i="69" s="1"/>
  <c r="I19" i="69" s="1"/>
  <c r="E28" i="113"/>
  <c r="G28" i="113" s="1"/>
  <c r="H28" i="113" s="1"/>
  <c r="I28" i="113" s="1"/>
  <c r="G32" i="51"/>
  <c r="H32" i="51" s="1"/>
  <c r="I32" i="51" s="1"/>
  <c r="G24" i="46"/>
  <c r="G25" i="46" s="1"/>
  <c r="D29" i="71"/>
  <c r="D32" i="71" s="1"/>
  <c r="G24" i="112"/>
  <c r="G25" i="112" s="1"/>
  <c r="H25" i="112" s="1"/>
  <c r="D25" i="117"/>
  <c r="D29" i="117" s="1"/>
  <c r="H23" i="115"/>
  <c r="I23" i="115" s="1"/>
  <c r="H19" i="80"/>
  <c r="I19" i="80" s="1"/>
  <c r="D25" i="47"/>
  <c r="D29" i="47" s="1"/>
  <c r="H17" i="70"/>
  <c r="I17" i="70" s="1"/>
  <c r="G23" i="69"/>
  <c r="D20" i="69"/>
  <c r="G22" i="75"/>
  <c r="H22" i="75" s="1"/>
  <c r="I22" i="75" s="1"/>
  <c r="H23" i="80"/>
  <c r="I23" i="80" s="1"/>
  <c r="G32" i="112"/>
  <c r="G32" i="57"/>
  <c r="G33" i="57" s="1"/>
  <c r="D20" i="25"/>
  <c r="D22" i="25" s="1"/>
  <c r="D14" i="67"/>
  <c r="H14" i="67" s="1"/>
  <c r="I14" i="67" s="1"/>
  <c r="G23" i="65"/>
  <c r="H23" i="65" s="1"/>
  <c r="I23" i="65" s="1"/>
  <c r="G31" i="49"/>
  <c r="H31" i="49" s="1"/>
  <c r="I31" i="49" s="1"/>
  <c r="H37" i="59"/>
  <c r="I37" i="59" s="1"/>
  <c r="D33" i="61"/>
  <c r="D47" i="61" s="1"/>
  <c r="E28" i="69"/>
  <c r="G28" i="69" s="1"/>
  <c r="G25" i="51"/>
  <c r="G29" i="51" s="1"/>
  <c r="H38" i="56"/>
  <c r="I38" i="56" s="1"/>
  <c r="G14" i="59"/>
  <c r="H14" i="59" s="1"/>
  <c r="I14" i="59" s="1"/>
  <c r="D25" i="56"/>
  <c r="D29" i="56" s="1"/>
  <c r="G31" i="115"/>
  <c r="G20" i="65"/>
  <c r="G22" i="65" s="1"/>
  <c r="D31" i="116"/>
  <c r="D33" i="116" s="1"/>
  <c r="E31" i="116"/>
  <c r="G31" i="116" s="1"/>
  <c r="G32" i="50"/>
  <c r="H32" i="50" s="1"/>
  <c r="I32" i="50" s="1"/>
  <c r="H24" i="115"/>
  <c r="I24" i="115" s="1"/>
  <c r="D33" i="4"/>
  <c r="D25" i="4"/>
  <c r="D30" i="4" s="1"/>
  <c r="D31" i="115"/>
  <c r="D33" i="115" s="1"/>
  <c r="G25" i="61"/>
  <c r="G30" i="61" s="1"/>
  <c r="E37" i="116"/>
  <c r="G37" i="116" s="1"/>
  <c r="H37" i="116" s="1"/>
  <c r="I37" i="116" s="1"/>
  <c r="E13" i="80"/>
  <c r="G13" i="80" s="1"/>
  <c r="G15" i="80" s="1"/>
  <c r="E28" i="77"/>
  <c r="G28" i="77" s="1"/>
  <c r="H28" i="77" s="1"/>
  <c r="I28" i="77" s="1"/>
  <c r="E30" i="71"/>
  <c r="G30" i="71" s="1"/>
  <c r="H30" i="71" s="1"/>
  <c r="I30" i="71" s="1"/>
  <c r="D14" i="64"/>
  <c r="H14" i="64" s="1"/>
  <c r="I14" i="64" s="1"/>
  <c r="G25" i="53"/>
  <c r="H25" i="53" s="1"/>
  <c r="E36" i="114"/>
  <c r="G36" i="114" s="1"/>
  <c r="H36" i="114" s="1"/>
  <c r="I36" i="114" s="1"/>
  <c r="D28" i="117"/>
  <c r="H28" i="117" s="1"/>
  <c r="I28" i="117" s="1"/>
  <c r="D23" i="71"/>
  <c r="D30" i="77"/>
  <c r="H30" i="77" s="1"/>
  <c r="I30" i="77" s="1"/>
  <c r="D13" i="71"/>
  <c r="D15" i="71" s="1"/>
  <c r="D20" i="65"/>
  <c r="D19" i="63"/>
  <c r="D20" i="63" s="1"/>
  <c r="G24" i="64"/>
  <c r="H24" i="64" s="1"/>
  <c r="I24" i="64" s="1"/>
  <c r="H12" i="67"/>
  <c r="I12" i="67" s="1"/>
  <c r="H18" i="25"/>
  <c r="I18" i="25" s="1"/>
  <c r="G24" i="79"/>
  <c r="H24" i="79" s="1"/>
  <c r="I24" i="79" s="1"/>
  <c r="D14" i="50"/>
  <c r="G24" i="68"/>
  <c r="D21" i="66"/>
  <c r="H21" i="66" s="1"/>
  <c r="I21" i="66" s="1"/>
  <c r="G18" i="66"/>
  <c r="H18" i="66" s="1"/>
  <c r="I18" i="66" s="1"/>
  <c r="G31" i="64"/>
  <c r="G31" i="47"/>
  <c r="H31" i="47" s="1"/>
  <c r="I31" i="47" s="1"/>
  <c r="G31" i="51"/>
  <c r="D20" i="70"/>
  <c r="D22" i="70" s="1"/>
  <c r="E29" i="63"/>
  <c r="G29" i="63" s="1"/>
  <c r="D33" i="49"/>
  <c r="D47" i="49" s="1"/>
  <c r="D50" i="49" s="1"/>
  <c r="D27" i="76"/>
  <c r="G25" i="52"/>
  <c r="G30" i="52" s="1"/>
  <c r="H12" i="63"/>
  <c r="I12" i="63" s="1"/>
  <c r="H23" i="117"/>
  <c r="I23" i="117" s="1"/>
  <c r="D25" i="115"/>
  <c r="H31" i="114"/>
  <c r="I31" i="114" s="1"/>
  <c r="G32" i="52"/>
  <c r="H32" i="52" s="1"/>
  <c r="I32" i="52" s="1"/>
  <c r="D29" i="57"/>
  <c r="D24" i="63"/>
  <c r="D25" i="63" s="1"/>
  <c r="G31" i="60"/>
  <c r="H31" i="60" s="1"/>
  <c r="I31" i="60" s="1"/>
  <c r="G33" i="62"/>
  <c r="H33" i="62" s="1"/>
  <c r="I33" i="62" s="1"/>
  <c r="E19" i="66"/>
  <c r="G19" i="66" s="1"/>
  <c r="D25" i="79"/>
  <c r="D28" i="66"/>
  <c r="H17" i="65"/>
  <c r="I17" i="65" s="1"/>
  <c r="E28" i="114"/>
  <c r="G28" i="114" s="1"/>
  <c r="H28" i="114" s="1"/>
  <c r="I28" i="114" s="1"/>
  <c r="D32" i="5"/>
  <c r="D34" i="5" s="1"/>
  <c r="D21" i="80"/>
  <c r="D25" i="80" s="1"/>
  <c r="H24" i="113"/>
  <c r="I24" i="113" s="1"/>
  <c r="H33" i="71"/>
  <c r="I33" i="71" s="1"/>
  <c r="H16" i="112"/>
  <c r="I16" i="112" s="1"/>
  <c r="H24" i="52"/>
  <c r="I24" i="52" s="1"/>
  <c r="G23" i="66"/>
  <c r="G24" i="80"/>
  <c r="H24" i="80" s="1"/>
  <c r="I24" i="80" s="1"/>
  <c r="D29" i="52"/>
  <c r="D33" i="50"/>
  <c r="G31" i="4"/>
  <c r="G25" i="59"/>
  <c r="G29" i="59" s="1"/>
  <c r="G25" i="114"/>
  <c r="E27" i="117"/>
  <c r="G27" i="117" s="1"/>
  <c r="H27" i="117" s="1"/>
  <c r="I27" i="117" s="1"/>
  <c r="G31" i="50"/>
  <c r="H30" i="5"/>
  <c r="I30" i="5" s="1"/>
  <c r="G25" i="113"/>
  <c r="H17" i="113"/>
  <c r="I17" i="113" s="1"/>
  <c r="D18" i="112"/>
  <c r="G25" i="49"/>
  <c r="G30" i="49" s="1"/>
  <c r="D14" i="60"/>
  <c r="G23" i="67"/>
  <c r="H23" i="67" s="1"/>
  <c r="I23" i="67" s="1"/>
  <c r="D30" i="79"/>
  <c r="D32" i="79" s="1"/>
  <c r="D25" i="64"/>
  <c r="D30" i="52"/>
  <c r="G18" i="63"/>
  <c r="H18" i="63" s="1"/>
  <c r="I18" i="63" s="1"/>
  <c r="H32" i="63"/>
  <c r="I32" i="63" s="1"/>
  <c r="D26" i="77"/>
  <c r="H24" i="81"/>
  <c r="I24" i="81" s="1"/>
  <c r="G24" i="56"/>
  <c r="H24" i="56" s="1"/>
  <c r="I24" i="56" s="1"/>
  <c r="D25" i="113"/>
  <c r="D30" i="113" s="1"/>
  <c r="H31" i="113"/>
  <c r="I31" i="113" s="1"/>
  <c r="H24" i="62"/>
  <c r="I24" i="62" s="1"/>
  <c r="G25" i="62"/>
  <c r="G26" i="73"/>
  <c r="H26" i="73" s="1"/>
  <c r="I26" i="73" s="1"/>
  <c r="H25" i="73"/>
  <c r="I25" i="73" s="1"/>
  <c r="E22" i="77"/>
  <c r="G22" i="77" s="1"/>
  <c r="D22" i="77"/>
  <c r="D23" i="77" s="1"/>
  <c r="H22" i="112"/>
  <c r="I22" i="112" s="1"/>
  <c r="H22" i="56"/>
  <c r="I22" i="56" s="1"/>
  <c r="G26" i="71"/>
  <c r="H26" i="71" s="1"/>
  <c r="I26" i="71" s="1"/>
  <c r="H24" i="71"/>
  <c r="I24" i="71" s="1"/>
  <c r="E27" i="114"/>
  <c r="G27" i="114" s="1"/>
  <c r="H27" i="114" s="1"/>
  <c r="I27" i="114" s="1"/>
  <c r="G32" i="46"/>
  <c r="H32" i="46" s="1"/>
  <c r="I32" i="46" s="1"/>
  <c r="D14" i="62"/>
  <c r="G25" i="57"/>
  <c r="G30" i="57" s="1"/>
  <c r="E37" i="117"/>
  <c r="G37" i="117" s="1"/>
  <c r="G20" i="79"/>
  <c r="H20" i="79" s="1"/>
  <c r="I20" i="79" s="1"/>
  <c r="G31" i="46"/>
  <c r="H41" i="114"/>
  <c r="I41" i="114" s="1"/>
  <c r="H22" i="47"/>
  <c r="I22" i="47" s="1"/>
  <c r="G25" i="47"/>
  <c r="H32" i="69"/>
  <c r="I32" i="69" s="1"/>
  <c r="G18" i="117"/>
  <c r="H15" i="117"/>
  <c r="I15" i="117" s="1"/>
  <c r="D29" i="77"/>
  <c r="E29" i="77"/>
  <c r="G29" i="77" s="1"/>
  <c r="D18" i="113"/>
  <c r="H16" i="114"/>
  <c r="I16" i="114" s="1"/>
  <c r="G18" i="112"/>
  <c r="H15" i="112"/>
  <c r="I15" i="112" s="1"/>
  <c r="H17" i="116"/>
  <c r="I17" i="116" s="1"/>
  <c r="H41" i="117"/>
  <c r="I41" i="117" s="1"/>
  <c r="G26" i="76"/>
  <c r="H26" i="76" s="1"/>
  <c r="I26" i="76" s="1"/>
  <c r="H24" i="76"/>
  <c r="I24" i="76" s="1"/>
  <c r="D14" i="47"/>
  <c r="D40" i="50"/>
  <c r="G32" i="54"/>
  <c r="G33" i="54" s="1"/>
  <c r="H33" i="54" s="1"/>
  <c r="I33" i="54" s="1"/>
  <c r="G32" i="117"/>
  <c r="G33" i="117" s="1"/>
  <c r="D31" i="65"/>
  <c r="D23" i="66"/>
  <c r="D25" i="66" s="1"/>
  <c r="H23" i="49"/>
  <c r="I23" i="49" s="1"/>
  <c r="D40" i="57"/>
  <c r="H12" i="46"/>
  <c r="I12" i="46" s="1"/>
  <c r="G24" i="4"/>
  <c r="G25" i="4" s="1"/>
  <c r="G29" i="4" s="1"/>
  <c r="D27" i="73"/>
  <c r="G24" i="54"/>
  <c r="G25" i="54" s="1"/>
  <c r="G30" i="54" s="1"/>
  <c r="E27" i="80"/>
  <c r="G27" i="80" s="1"/>
  <c r="H27" i="80" s="1"/>
  <c r="I27" i="80" s="1"/>
  <c r="D33" i="48"/>
  <c r="G31" i="53"/>
  <c r="H31" i="53" s="1"/>
  <c r="I31" i="53" s="1"/>
  <c r="D33" i="46"/>
  <c r="E38" i="114"/>
  <c r="G38" i="114" s="1"/>
  <c r="H38" i="114" s="1"/>
  <c r="I38" i="114" s="1"/>
  <c r="G31" i="56"/>
  <c r="G33" i="56" s="1"/>
  <c r="D18" i="115"/>
  <c r="H22" i="46"/>
  <c r="I22" i="46" s="1"/>
  <c r="H33" i="77"/>
  <c r="I33" i="77" s="1"/>
  <c r="H32" i="66"/>
  <c r="I32" i="66" s="1"/>
  <c r="D18" i="114"/>
  <c r="H16" i="115"/>
  <c r="I16" i="115" s="1"/>
  <c r="H41" i="116"/>
  <c r="I41" i="116" s="1"/>
  <c r="H18" i="80"/>
  <c r="I18" i="80" s="1"/>
  <c r="D27" i="78"/>
  <c r="G18" i="113"/>
  <c r="H15" i="113"/>
  <c r="I15" i="113" s="1"/>
  <c r="H23" i="81"/>
  <c r="I23" i="81" s="1"/>
  <c r="H33" i="74"/>
  <c r="I33" i="74" s="1"/>
  <c r="H24" i="72"/>
  <c r="I24" i="72" s="1"/>
  <c r="G26" i="72"/>
  <c r="H26" i="72" s="1"/>
  <c r="I26" i="72" s="1"/>
  <c r="G24" i="77"/>
  <c r="D14" i="113"/>
  <c r="H22" i="60"/>
  <c r="I22" i="60" s="1"/>
  <c r="G25" i="60"/>
  <c r="G26" i="74"/>
  <c r="H26" i="74" s="1"/>
  <c r="I26" i="74" s="1"/>
  <c r="H24" i="74"/>
  <c r="I24" i="74" s="1"/>
  <c r="G32" i="53"/>
  <c r="H32" i="53" s="1"/>
  <c r="I32" i="53" s="1"/>
  <c r="D14" i="117"/>
  <c r="H16" i="113"/>
  <c r="I16" i="113" s="1"/>
  <c r="H25" i="75"/>
  <c r="I25" i="75" s="1"/>
  <c r="G26" i="75"/>
  <c r="H26" i="75" s="1"/>
  <c r="I26" i="75" s="1"/>
  <c r="G25" i="115"/>
  <c r="H22" i="115"/>
  <c r="I22" i="115" s="1"/>
  <c r="H15" i="114"/>
  <c r="I15" i="114" s="1"/>
  <c r="G18" i="114"/>
  <c r="G21" i="77"/>
  <c r="D40" i="46"/>
  <c r="D14" i="115"/>
  <c r="D20" i="68"/>
  <c r="D22" i="68" s="1"/>
  <c r="G24" i="69"/>
  <c r="D33" i="51"/>
  <c r="G31" i="112"/>
  <c r="G31" i="52"/>
  <c r="D25" i="67"/>
  <c r="D25" i="25"/>
  <c r="H23" i="113"/>
  <c r="I23" i="113" s="1"/>
  <c r="H23" i="116"/>
  <c r="I23" i="116" s="1"/>
  <c r="H27" i="57"/>
  <c r="I27" i="57" s="1"/>
  <c r="D31" i="25"/>
  <c r="G22" i="73"/>
  <c r="H22" i="73" s="1"/>
  <c r="I22" i="73" s="1"/>
  <c r="G20" i="81"/>
  <c r="G21" i="81" s="1"/>
  <c r="D23" i="74"/>
  <c r="G31" i="61"/>
  <c r="G33" i="61" s="1"/>
  <c r="D32" i="75"/>
  <c r="D34" i="75" s="1"/>
  <c r="D31" i="68"/>
  <c r="G24" i="25"/>
  <c r="G18" i="68"/>
  <c r="G31" i="48"/>
  <c r="H31" i="48" s="1"/>
  <c r="I31" i="48" s="1"/>
  <c r="D25" i="46"/>
  <c r="D30" i="46" s="1"/>
  <c r="G19" i="63"/>
  <c r="D29" i="59"/>
  <c r="G18" i="115"/>
  <c r="H15" i="115"/>
  <c r="I15" i="115" s="1"/>
  <c r="H15" i="116"/>
  <c r="I15" i="116" s="1"/>
  <c r="G18" i="116"/>
  <c r="H21" i="65"/>
  <c r="I21" i="65" s="1"/>
  <c r="H17" i="115"/>
  <c r="I17" i="115" s="1"/>
  <c r="H22" i="117"/>
  <c r="I22" i="117" s="1"/>
  <c r="G25" i="117"/>
  <c r="G18" i="69"/>
  <c r="G26" i="5"/>
  <c r="H26" i="5" s="1"/>
  <c r="I26" i="5" s="1"/>
  <c r="H24" i="5"/>
  <c r="I24" i="5" s="1"/>
  <c r="G26" i="78"/>
  <c r="H26" i="78" s="1"/>
  <c r="I26" i="78" s="1"/>
  <c r="H28" i="112"/>
  <c r="I28" i="112" s="1"/>
  <c r="G30" i="79"/>
  <c r="H26" i="79"/>
  <c r="I26" i="79" s="1"/>
  <c r="H12" i="57"/>
  <c r="I12" i="57" s="1"/>
  <c r="G14" i="57"/>
  <c r="D27" i="72"/>
  <c r="D27" i="5"/>
  <c r="G31" i="70"/>
  <c r="H27" i="70"/>
  <c r="I27" i="70" s="1"/>
  <c r="H27" i="46"/>
  <c r="I27" i="46" s="1"/>
  <c r="D30" i="51"/>
  <c r="H13" i="48"/>
  <c r="I13" i="48" s="1"/>
  <c r="H38" i="60"/>
  <c r="I38" i="60" s="1"/>
  <c r="H13" i="78"/>
  <c r="I13" i="78" s="1"/>
  <c r="G15" i="78"/>
  <c r="H21" i="25"/>
  <c r="I21" i="25" s="1"/>
  <c r="H13" i="49"/>
  <c r="I13" i="49" s="1"/>
  <c r="H37" i="47"/>
  <c r="I37" i="47" s="1"/>
  <c r="H28" i="58"/>
  <c r="I28" i="58" s="1"/>
  <c r="H15" i="76"/>
  <c r="I15" i="76" s="1"/>
  <c r="H27" i="65"/>
  <c r="I27" i="65" s="1"/>
  <c r="G31" i="65"/>
  <c r="H13" i="112"/>
  <c r="I13" i="112" s="1"/>
  <c r="H13" i="117"/>
  <c r="I13" i="117" s="1"/>
  <c r="G40" i="48"/>
  <c r="H36" i="48"/>
  <c r="I36" i="48" s="1"/>
  <c r="H38" i="51"/>
  <c r="I38" i="51" s="1"/>
  <c r="H23" i="58"/>
  <c r="I23" i="58" s="1"/>
  <c r="G14" i="47"/>
  <c r="H12" i="47"/>
  <c r="I12" i="47" s="1"/>
  <c r="H37" i="52"/>
  <c r="I37" i="52" s="1"/>
  <c r="H28" i="56"/>
  <c r="I28" i="56" s="1"/>
  <c r="H15" i="5"/>
  <c r="I15" i="5" s="1"/>
  <c r="H13" i="79"/>
  <c r="I13" i="79" s="1"/>
  <c r="G15" i="79"/>
  <c r="H30" i="76"/>
  <c r="I30" i="76" s="1"/>
  <c r="H27" i="52"/>
  <c r="I27" i="52" s="1"/>
  <c r="H27" i="61"/>
  <c r="I27" i="61" s="1"/>
  <c r="H37" i="58"/>
  <c r="I37" i="58" s="1"/>
  <c r="H38" i="62"/>
  <c r="I38" i="62" s="1"/>
  <c r="H30" i="75"/>
  <c r="I30" i="75" s="1"/>
  <c r="H14" i="25"/>
  <c r="I14" i="25" s="1"/>
  <c r="H17" i="63"/>
  <c r="I17" i="63" s="1"/>
  <c r="H17" i="66"/>
  <c r="I17" i="66" s="1"/>
  <c r="G14" i="49"/>
  <c r="H12" i="49"/>
  <c r="I12" i="49" s="1"/>
  <c r="H28" i="50"/>
  <c r="I28" i="50" s="1"/>
  <c r="D30" i="61"/>
  <c r="H12" i="60"/>
  <c r="I12" i="60" s="1"/>
  <c r="G14" i="60"/>
  <c r="H13" i="63"/>
  <c r="I13" i="63" s="1"/>
  <c r="G14" i="63"/>
  <c r="H27" i="48"/>
  <c r="I27" i="48" s="1"/>
  <c r="D30" i="53"/>
  <c r="D29" i="53"/>
  <c r="H36" i="54"/>
  <c r="I36" i="54" s="1"/>
  <c r="G40" i="54"/>
  <c r="D40" i="60"/>
  <c r="H27" i="58"/>
  <c r="I27" i="58" s="1"/>
  <c r="H21" i="70"/>
  <c r="I21" i="70" s="1"/>
  <c r="H37" i="51"/>
  <c r="I37" i="51" s="1"/>
  <c r="D33" i="60"/>
  <c r="H13" i="56"/>
  <c r="I13" i="56" s="1"/>
  <c r="H38" i="117"/>
  <c r="I38" i="117" s="1"/>
  <c r="G32" i="72"/>
  <c r="H28" i="72"/>
  <c r="I28" i="72" s="1"/>
  <c r="H27" i="62"/>
  <c r="I27" i="62" s="1"/>
  <c r="H27" i="67"/>
  <c r="I27" i="67" s="1"/>
  <c r="G31" i="67"/>
  <c r="H27" i="79"/>
  <c r="I27" i="79" s="1"/>
  <c r="G40" i="51"/>
  <c r="H36" i="51"/>
  <c r="I36" i="51" s="1"/>
  <c r="H23" i="46"/>
  <c r="I23" i="46" s="1"/>
  <c r="H12" i="56"/>
  <c r="I12" i="56" s="1"/>
  <c r="G14" i="56"/>
  <c r="H24" i="114"/>
  <c r="I24" i="114" s="1"/>
  <c r="H28" i="60"/>
  <c r="I28" i="60" s="1"/>
  <c r="D33" i="59"/>
  <c r="D47" i="59" s="1"/>
  <c r="H29" i="68"/>
  <c r="I29" i="68" s="1"/>
  <c r="H28" i="70"/>
  <c r="I28" i="70" s="1"/>
  <c r="D30" i="50"/>
  <c r="D29" i="50"/>
  <c r="H28" i="62"/>
  <c r="I28" i="62" s="1"/>
  <c r="H37" i="4"/>
  <c r="I37" i="4" s="1"/>
  <c r="H36" i="46"/>
  <c r="I36" i="46" s="1"/>
  <c r="G40" i="46"/>
  <c r="D40" i="48"/>
  <c r="H37" i="48"/>
  <c r="I37" i="48" s="1"/>
  <c r="H13" i="116"/>
  <c r="I13" i="116" s="1"/>
  <c r="H14" i="54"/>
  <c r="I14" i="54" s="1"/>
  <c r="G40" i="50"/>
  <c r="H36" i="50"/>
  <c r="I36" i="50" s="1"/>
  <c r="H12" i="115"/>
  <c r="I12" i="115" s="1"/>
  <c r="G14" i="115"/>
  <c r="H37" i="62"/>
  <c r="I37" i="62" s="1"/>
  <c r="H28" i="67"/>
  <c r="I28" i="67" s="1"/>
  <c r="H17" i="68"/>
  <c r="I17" i="68" s="1"/>
  <c r="D31" i="70"/>
  <c r="H29" i="64"/>
  <c r="I29" i="64" s="1"/>
  <c r="D31" i="63"/>
  <c r="H27" i="49"/>
  <c r="I27" i="49" s="1"/>
  <c r="D14" i="49"/>
  <c r="H38" i="50"/>
  <c r="I38" i="50" s="1"/>
  <c r="D33" i="52"/>
  <c r="H13" i="61"/>
  <c r="I13" i="61" s="1"/>
  <c r="H29" i="72"/>
  <c r="I29" i="72" s="1"/>
  <c r="H23" i="25"/>
  <c r="I23" i="25" s="1"/>
  <c r="H38" i="4"/>
  <c r="I38" i="4" s="1"/>
  <c r="H37" i="46"/>
  <c r="I37" i="46" s="1"/>
  <c r="H32" i="60"/>
  <c r="I32" i="60" s="1"/>
  <c r="H12" i="117"/>
  <c r="I12" i="117" s="1"/>
  <c r="G14" i="117"/>
  <c r="D40" i="54"/>
  <c r="D42" i="54" s="1"/>
  <c r="G40" i="60"/>
  <c r="H36" i="60"/>
  <c r="I36" i="60" s="1"/>
  <c r="H26" i="80"/>
  <c r="I26" i="80" s="1"/>
  <c r="H29" i="76"/>
  <c r="I29" i="76" s="1"/>
  <c r="G32" i="76"/>
  <c r="H28" i="68"/>
  <c r="I28" i="68" s="1"/>
  <c r="H27" i="4"/>
  <c r="I27" i="4" s="1"/>
  <c r="G40" i="112"/>
  <c r="H28" i="48"/>
  <c r="I28" i="48" s="1"/>
  <c r="H13" i="47"/>
  <c r="I13" i="47" s="1"/>
  <c r="H13" i="62"/>
  <c r="I13" i="62" s="1"/>
  <c r="D40" i="52"/>
  <c r="H28" i="53"/>
  <c r="I28" i="53" s="1"/>
  <c r="D30" i="54"/>
  <c r="D35" i="54" s="1"/>
  <c r="D29" i="54"/>
  <c r="D34" i="54" s="1"/>
  <c r="H13" i="60"/>
  <c r="I13" i="60" s="1"/>
  <c r="H32" i="62"/>
  <c r="I32" i="62" s="1"/>
  <c r="H28" i="52"/>
  <c r="I28" i="52" s="1"/>
  <c r="H15" i="72"/>
  <c r="I15" i="72" s="1"/>
  <c r="H37" i="50"/>
  <c r="I37" i="50" s="1"/>
  <c r="G32" i="5"/>
  <c r="H28" i="5"/>
  <c r="I28" i="5" s="1"/>
  <c r="G32" i="78"/>
  <c r="H28" i="78"/>
  <c r="I28" i="78" s="1"/>
  <c r="H29" i="25"/>
  <c r="I29" i="25" s="1"/>
  <c r="D14" i="116"/>
  <c r="D40" i="62"/>
  <c r="G40" i="58"/>
  <c r="H36" i="58"/>
  <c r="I36" i="58" s="1"/>
  <c r="H30" i="78"/>
  <c r="I30" i="78" s="1"/>
  <c r="H28" i="46"/>
  <c r="I28" i="46" s="1"/>
  <c r="H13" i="74"/>
  <c r="I13" i="74" s="1"/>
  <c r="G15" i="74"/>
  <c r="H29" i="75"/>
  <c r="I29" i="75" s="1"/>
  <c r="H12" i="69"/>
  <c r="I12" i="69" s="1"/>
  <c r="G14" i="69"/>
  <c r="G14" i="48"/>
  <c r="H12" i="48"/>
  <c r="I12" i="48" s="1"/>
  <c r="H38" i="58"/>
  <c r="I38" i="58" s="1"/>
  <c r="D31" i="64"/>
  <c r="H37" i="112"/>
  <c r="I37" i="112" s="1"/>
  <c r="G14" i="50"/>
  <c r="H12" i="50"/>
  <c r="I12" i="50" s="1"/>
  <c r="H28" i="51"/>
  <c r="I28" i="51" s="1"/>
  <c r="H23" i="4"/>
  <c r="I23" i="4" s="1"/>
  <c r="H14" i="51"/>
  <c r="I14" i="51" s="1"/>
  <c r="H30" i="73"/>
  <c r="I30" i="73" s="1"/>
  <c r="H27" i="81"/>
  <c r="I27" i="81" s="1"/>
  <c r="H27" i="54"/>
  <c r="I27" i="54" s="1"/>
  <c r="H27" i="116"/>
  <c r="I27" i="116" s="1"/>
  <c r="H27" i="56"/>
  <c r="I27" i="56" s="1"/>
  <c r="H22" i="72"/>
  <c r="I22" i="72" s="1"/>
  <c r="H22" i="5"/>
  <c r="I22" i="5" s="1"/>
  <c r="H21" i="67"/>
  <c r="I21" i="67" s="1"/>
  <c r="D25" i="68"/>
  <c r="D20" i="66"/>
  <c r="H37" i="53"/>
  <c r="I37" i="53" s="1"/>
  <c r="H28" i="61"/>
  <c r="I28" i="61" s="1"/>
  <c r="H13" i="75"/>
  <c r="I13" i="75" s="1"/>
  <c r="G15" i="75"/>
  <c r="H13" i="70"/>
  <c r="I13" i="70" s="1"/>
  <c r="H28" i="25"/>
  <c r="I28" i="25" s="1"/>
  <c r="H28" i="4"/>
  <c r="I28" i="4" s="1"/>
  <c r="H24" i="53"/>
  <c r="I24" i="53" s="1"/>
  <c r="H38" i="52"/>
  <c r="I38" i="52" s="1"/>
  <c r="H27" i="50"/>
  <c r="I27" i="50" s="1"/>
  <c r="H36" i="57"/>
  <c r="I36" i="57" s="1"/>
  <c r="G40" i="57"/>
  <c r="H14" i="58"/>
  <c r="I14" i="58" s="1"/>
  <c r="H19" i="67"/>
  <c r="I19" i="67" s="1"/>
  <c r="H21" i="68"/>
  <c r="I21" i="68" s="1"/>
  <c r="G31" i="25"/>
  <c r="H27" i="25"/>
  <c r="I27" i="25" s="1"/>
  <c r="D20" i="67"/>
  <c r="D22" i="67" s="1"/>
  <c r="D40" i="4"/>
  <c r="H23" i="48"/>
  <c r="I23" i="48" s="1"/>
  <c r="G14" i="112"/>
  <c r="H12" i="112"/>
  <c r="I12" i="112" s="1"/>
  <c r="H38" i="53"/>
  <c r="I38" i="53" s="1"/>
  <c r="D40" i="114"/>
  <c r="H38" i="54"/>
  <c r="I38" i="54" s="1"/>
  <c r="H17" i="64"/>
  <c r="I17" i="64" s="1"/>
  <c r="H28" i="63"/>
  <c r="I28" i="63" s="1"/>
  <c r="G30" i="81"/>
  <c r="H26" i="81"/>
  <c r="I26" i="81" s="1"/>
  <c r="H37" i="49"/>
  <c r="I37" i="49" s="1"/>
  <c r="H29" i="73"/>
  <c r="I29" i="73" s="1"/>
  <c r="G32" i="73"/>
  <c r="H36" i="53"/>
  <c r="I36" i="53" s="1"/>
  <c r="G40" i="53"/>
  <c r="H12" i="61"/>
  <c r="I12" i="61" s="1"/>
  <c r="G14" i="61"/>
  <c r="D30" i="57"/>
  <c r="H29" i="67"/>
  <c r="I29" i="67" s="1"/>
  <c r="D14" i="70"/>
  <c r="G14" i="68"/>
  <c r="H12" i="68"/>
  <c r="I12" i="68" s="1"/>
  <c r="H28" i="65"/>
  <c r="I28" i="65" s="1"/>
  <c r="D32" i="76"/>
  <c r="D34" i="76" s="1"/>
  <c r="H17" i="67"/>
  <c r="I17" i="67" s="1"/>
  <c r="H36" i="4"/>
  <c r="I36" i="4" s="1"/>
  <c r="G40" i="4"/>
  <c r="H27" i="51"/>
  <c r="I27" i="51" s="1"/>
  <c r="G40" i="52"/>
  <c r="H36" i="52"/>
  <c r="I36" i="52" s="1"/>
  <c r="H23" i="56"/>
  <c r="I23" i="56" s="1"/>
  <c r="H28" i="54"/>
  <c r="I28" i="54" s="1"/>
  <c r="H38" i="57"/>
  <c r="I38" i="57" s="1"/>
  <c r="G40" i="62"/>
  <c r="H36" i="62"/>
  <c r="I36" i="62" s="1"/>
  <c r="D40" i="58"/>
  <c r="G32" i="75"/>
  <c r="H28" i="75"/>
  <c r="I28" i="75" s="1"/>
  <c r="H13" i="77"/>
  <c r="I13" i="77" s="1"/>
  <c r="G15" i="77"/>
  <c r="D31" i="67"/>
  <c r="H22" i="71"/>
  <c r="I22" i="71" s="1"/>
  <c r="H22" i="76"/>
  <c r="I22" i="76" s="1"/>
  <c r="H13" i="69"/>
  <c r="I13" i="69" s="1"/>
  <c r="D31" i="69"/>
  <c r="D25" i="70"/>
  <c r="D20" i="64"/>
  <c r="D22" i="64" s="1"/>
  <c r="H21" i="64"/>
  <c r="I21" i="64" s="1"/>
  <c r="H38" i="46"/>
  <c r="I38" i="46" s="1"/>
  <c r="D40" i="51"/>
  <c r="H12" i="113"/>
  <c r="I12" i="113" s="1"/>
  <c r="G14" i="113"/>
  <c r="H13" i="73"/>
  <c r="I13" i="73" s="1"/>
  <c r="G15" i="73"/>
  <c r="H12" i="62"/>
  <c r="I12" i="62" s="1"/>
  <c r="G14" i="62"/>
  <c r="D30" i="81"/>
  <c r="D32" i="81" s="1"/>
  <c r="D33" i="53"/>
  <c r="G15" i="71"/>
  <c r="H17" i="69"/>
  <c r="I17" i="69" s="1"/>
  <c r="H23" i="64"/>
  <c r="I23" i="64" s="1"/>
  <c r="H27" i="47"/>
  <c r="I27" i="47" s="1"/>
  <c r="H13" i="50"/>
  <c r="I13" i="50" s="1"/>
  <c r="H27" i="112"/>
  <c r="I27" i="112" s="1"/>
  <c r="H13" i="81"/>
  <c r="I13" i="81" s="1"/>
  <c r="G15" i="81"/>
  <c r="D40" i="53"/>
  <c r="H30" i="72"/>
  <c r="I30" i="72" s="1"/>
  <c r="H13" i="115"/>
  <c r="I13" i="115" s="1"/>
  <c r="H12" i="70"/>
  <c r="I12" i="70" s="1"/>
  <c r="G14" i="70"/>
  <c r="H28" i="64"/>
  <c r="I28" i="64" s="1"/>
  <c r="H13" i="113"/>
  <c r="I13" i="113" s="1"/>
  <c r="H12" i="116"/>
  <c r="I12" i="116" s="1"/>
  <c r="G14" i="116"/>
  <c r="D14" i="112"/>
  <c r="H28" i="57"/>
  <c r="I28" i="57" s="1"/>
  <c r="D32" i="72"/>
  <c r="D34" i="72" s="1"/>
  <c r="H24" i="67"/>
  <c r="I24" i="67" s="1"/>
  <c r="G31" i="68"/>
  <c r="H27" i="68"/>
  <c r="I27" i="68" s="1"/>
  <c r="H27" i="60"/>
  <c r="I27" i="60" s="1"/>
  <c r="H37" i="60"/>
  <c r="I37" i="60" s="1"/>
  <c r="H28" i="81"/>
  <c r="I28" i="81" s="1"/>
  <c r="D14" i="56"/>
  <c r="H37" i="54"/>
  <c r="I37" i="54" s="1"/>
  <c r="H37" i="57"/>
  <c r="I37" i="57" s="1"/>
  <c r="G33" i="58"/>
  <c r="H31" i="58"/>
  <c r="I31" i="58" s="1"/>
  <c r="H31" i="59"/>
  <c r="I31" i="59" s="1"/>
  <c r="D14" i="69"/>
  <c r="H29" i="70"/>
  <c r="I29" i="70" s="1"/>
  <c r="H19" i="65"/>
  <c r="I19" i="65" s="1"/>
  <c r="D14" i="48"/>
  <c r="D14" i="61"/>
  <c r="D40" i="117"/>
  <c r="H27" i="59"/>
  <c r="I27" i="59" s="1"/>
  <c r="D32" i="78"/>
  <c r="D34" i="78" s="1"/>
  <c r="G40" i="113" l="1"/>
  <c r="G47" i="113" s="1"/>
  <c r="D27" i="71"/>
  <c r="D47" i="57"/>
  <c r="D50" i="57" s="1"/>
  <c r="D34" i="57"/>
  <c r="G25" i="68"/>
  <c r="H25" i="68" s="1"/>
  <c r="I25" i="68" s="1"/>
  <c r="H33" i="57"/>
  <c r="I33" i="57" s="1"/>
  <c r="D35" i="57"/>
  <c r="H18" i="116"/>
  <c r="I18" i="116" s="1"/>
  <c r="D34" i="56"/>
  <c r="G30" i="58"/>
  <c r="G35" i="58" s="1"/>
  <c r="H25" i="58"/>
  <c r="I25" i="58" s="1"/>
  <c r="G18" i="7" s="1"/>
  <c r="D29" i="114"/>
  <c r="D34" i="114" s="1"/>
  <c r="D40" i="113"/>
  <c r="D42" i="113" s="1"/>
  <c r="D34" i="48"/>
  <c r="H25" i="51"/>
  <c r="F10" i="7" s="1"/>
  <c r="G30" i="51"/>
  <c r="H30" i="51" s="1"/>
  <c r="I30" i="51" s="1"/>
  <c r="G30" i="50"/>
  <c r="H30" i="50" s="1"/>
  <c r="I30" i="50" s="1"/>
  <c r="G30" i="80"/>
  <c r="G32" i="80" s="1"/>
  <c r="D30" i="112"/>
  <c r="D35" i="112" s="1"/>
  <c r="D31" i="66"/>
  <c r="H31" i="66" s="1"/>
  <c r="I31" i="66" s="1"/>
  <c r="D32" i="74"/>
  <c r="H32" i="74" s="1"/>
  <c r="I32" i="74" s="1"/>
  <c r="G21" i="79"/>
  <c r="G32" i="79" s="1"/>
  <c r="H24" i="68"/>
  <c r="I24" i="68" s="1"/>
  <c r="H24" i="50"/>
  <c r="I24" i="50" s="1"/>
  <c r="D29" i="62"/>
  <c r="D34" i="62" s="1"/>
  <c r="G20" i="64"/>
  <c r="G22" i="64" s="1"/>
  <c r="H22" i="64" s="1"/>
  <c r="I22" i="64" s="1"/>
  <c r="H32" i="57"/>
  <c r="I32" i="57" s="1"/>
  <c r="G25" i="116"/>
  <c r="G30" i="116" s="1"/>
  <c r="D25" i="69"/>
  <c r="D47" i="62"/>
  <c r="D50" i="62" s="1"/>
  <c r="H29" i="74"/>
  <c r="I29" i="74" s="1"/>
  <c r="G20" i="67"/>
  <c r="G22" i="67" s="1"/>
  <c r="H22" i="67" s="1"/>
  <c r="I22" i="67" s="1"/>
  <c r="D30" i="80"/>
  <c r="D32" i="80" s="1"/>
  <c r="D33" i="80" s="1"/>
  <c r="D34" i="80" s="1"/>
  <c r="D22" i="69"/>
  <c r="G25" i="63"/>
  <c r="H25" i="63" s="1"/>
  <c r="I25" i="63" s="1"/>
  <c r="G29" i="113"/>
  <c r="G34" i="113" s="1"/>
  <c r="D42" i="61"/>
  <c r="D43" i="61" s="1"/>
  <c r="D44" i="61" s="1"/>
  <c r="G25" i="70"/>
  <c r="G26" i="70" s="1"/>
  <c r="D35" i="59"/>
  <c r="H19" i="25"/>
  <c r="I19" i="25" s="1"/>
  <c r="G29" i="48"/>
  <c r="H29" i="48" s="1"/>
  <c r="I29" i="48" s="1"/>
  <c r="G29" i="114"/>
  <c r="D34" i="51"/>
  <c r="G25" i="66"/>
  <c r="H25" i="66" s="1"/>
  <c r="I25" i="66" s="1"/>
  <c r="D29" i="115"/>
  <c r="D34" i="115" s="1"/>
  <c r="G31" i="69"/>
  <c r="D34" i="47"/>
  <c r="H36" i="116"/>
  <c r="I36" i="116" s="1"/>
  <c r="G32" i="71"/>
  <c r="H32" i="71" s="1"/>
  <c r="I32" i="71" s="1"/>
  <c r="H36" i="112"/>
  <c r="I36" i="112" s="1"/>
  <c r="H32" i="113"/>
  <c r="I32" i="113" s="1"/>
  <c r="H13" i="80"/>
  <c r="I13" i="80" s="1"/>
  <c r="D33" i="117"/>
  <c r="D47" i="117" s="1"/>
  <c r="H32" i="112"/>
  <c r="I32" i="112" s="1"/>
  <c r="D22" i="63"/>
  <c r="D33" i="63" s="1"/>
  <c r="D30" i="116"/>
  <c r="D35" i="116" s="1"/>
  <c r="D40" i="115"/>
  <c r="D42" i="115" s="1"/>
  <c r="D35" i="4"/>
  <c r="G40" i="115"/>
  <c r="H20" i="80"/>
  <c r="I20" i="80" s="1"/>
  <c r="G31" i="63"/>
  <c r="H31" i="63" s="1"/>
  <c r="I31" i="63" s="1"/>
  <c r="H29" i="71"/>
  <c r="I29" i="71" s="1"/>
  <c r="G33" i="116"/>
  <c r="H33" i="116" s="1"/>
  <c r="I33" i="116" s="1"/>
  <c r="H33" i="113"/>
  <c r="I33" i="113" s="1"/>
  <c r="D47" i="56"/>
  <c r="D50" i="56" s="1"/>
  <c r="G25" i="65"/>
  <c r="H25" i="65" s="1"/>
  <c r="I25" i="65" s="1"/>
  <c r="H25" i="54"/>
  <c r="I25" i="54" s="1"/>
  <c r="G14" i="7" s="1"/>
  <c r="D35" i="113"/>
  <c r="H31" i="56"/>
  <c r="I31" i="56" s="1"/>
  <c r="D34" i="61"/>
  <c r="H32" i="114"/>
  <c r="I32" i="114" s="1"/>
  <c r="H31" i="115"/>
  <c r="I31" i="115" s="1"/>
  <c r="G33" i="60"/>
  <c r="G47" i="60" s="1"/>
  <c r="H25" i="50"/>
  <c r="I25" i="50" s="1"/>
  <c r="G9" i="7" s="1"/>
  <c r="H25" i="61"/>
  <c r="F22" i="7" s="1"/>
  <c r="H24" i="112"/>
  <c r="I24" i="112" s="1"/>
  <c r="H30" i="48"/>
  <c r="I30" i="48" s="1"/>
  <c r="H32" i="54"/>
  <c r="I32" i="54" s="1"/>
  <c r="H29" i="63"/>
  <c r="I29" i="63" s="1"/>
  <c r="D29" i="113"/>
  <c r="D34" i="113" s="1"/>
  <c r="H33" i="114"/>
  <c r="I33" i="114" s="1"/>
  <c r="D35" i="114"/>
  <c r="G33" i="59"/>
  <c r="G42" i="59" s="1"/>
  <c r="G45" i="59" s="1"/>
  <c r="H24" i="46"/>
  <c r="I24" i="46" s="1"/>
  <c r="H25" i="52"/>
  <c r="I25" i="52" s="1"/>
  <c r="G11" i="7" s="1"/>
  <c r="D35" i="50"/>
  <c r="H30" i="49"/>
  <c r="I30" i="49" s="1"/>
  <c r="G33" i="47"/>
  <c r="G47" i="47" s="1"/>
  <c r="H24" i="54"/>
  <c r="I24" i="54" s="1"/>
  <c r="G25" i="67"/>
  <c r="H24" i="63"/>
  <c r="I24" i="63" s="1"/>
  <c r="D35" i="61"/>
  <c r="D35" i="51"/>
  <c r="G33" i="4"/>
  <c r="G42" i="4" s="1"/>
  <c r="G43" i="4" s="1"/>
  <c r="G44" i="4" s="1"/>
  <c r="G30" i="4"/>
  <c r="G33" i="52"/>
  <c r="G35" i="52" s="1"/>
  <c r="D30" i="47"/>
  <c r="D35" i="47" s="1"/>
  <c r="G30" i="59"/>
  <c r="H30" i="59" s="1"/>
  <c r="I30" i="59" s="1"/>
  <c r="G30" i="53"/>
  <c r="H30" i="53" s="1"/>
  <c r="I30" i="53" s="1"/>
  <c r="H25" i="116"/>
  <c r="F23" i="7" s="1"/>
  <c r="H25" i="59"/>
  <c r="I25" i="59" s="1"/>
  <c r="G20" i="7" s="1"/>
  <c r="G33" i="112"/>
  <c r="G47" i="112" s="1"/>
  <c r="D42" i="47"/>
  <c r="D43" i="47" s="1"/>
  <c r="D44" i="47" s="1"/>
  <c r="H25" i="48"/>
  <c r="D30" i="60"/>
  <c r="D35" i="60" s="1"/>
  <c r="G20" i="68"/>
  <c r="G22" i="68" s="1"/>
  <c r="H22" i="68" s="1"/>
  <c r="I22" i="68" s="1"/>
  <c r="D29" i="46"/>
  <c r="D34" i="46" s="1"/>
  <c r="G29" i="53"/>
  <c r="H29" i="53" s="1"/>
  <c r="I29" i="53" s="1"/>
  <c r="H25" i="114"/>
  <c r="F12" i="7" s="1"/>
  <c r="H19" i="70"/>
  <c r="I19" i="70" s="1"/>
  <c r="G30" i="113"/>
  <c r="H30" i="113" s="1"/>
  <c r="I30" i="113" s="1"/>
  <c r="H31" i="64"/>
  <c r="I31" i="64" s="1"/>
  <c r="G33" i="48"/>
  <c r="H33" i="48" s="1"/>
  <c r="I33" i="48" s="1"/>
  <c r="G29" i="57"/>
  <c r="H29" i="57" s="1"/>
  <c r="I29" i="57" s="1"/>
  <c r="G33" i="115"/>
  <c r="H33" i="115" s="1"/>
  <c r="I33" i="115" s="1"/>
  <c r="D47" i="47"/>
  <c r="D50" i="47" s="1"/>
  <c r="G33" i="46"/>
  <c r="G47" i="46" s="1"/>
  <c r="H23" i="69"/>
  <c r="I23" i="69" s="1"/>
  <c r="D26" i="67"/>
  <c r="G25" i="64"/>
  <c r="H25" i="64" s="1"/>
  <c r="I25" i="64" s="1"/>
  <c r="H24" i="4"/>
  <c r="I24" i="4" s="1"/>
  <c r="H19" i="63"/>
  <c r="I19" i="63" s="1"/>
  <c r="F4" i="7"/>
  <c r="I25" i="112"/>
  <c r="G4" i="7" s="1"/>
  <c r="D47" i="50"/>
  <c r="D50" i="50" s="1"/>
  <c r="D47" i="54"/>
  <c r="D48" i="54" s="1"/>
  <c r="D49" i="54" s="1"/>
  <c r="G25" i="69"/>
  <c r="D30" i="56"/>
  <c r="D35" i="56" s="1"/>
  <c r="H28" i="66"/>
  <c r="I28" i="66" s="1"/>
  <c r="H28" i="69"/>
  <c r="I28" i="69" s="1"/>
  <c r="D26" i="64"/>
  <c r="G33" i="49"/>
  <c r="G47" i="49" s="1"/>
  <c r="D42" i="49"/>
  <c r="D45" i="49" s="1"/>
  <c r="D42" i="57"/>
  <c r="D43" i="57" s="1"/>
  <c r="D44" i="57" s="1"/>
  <c r="D48" i="49"/>
  <c r="D49" i="49" s="1"/>
  <c r="D51" i="49" s="1"/>
  <c r="E7" i="7" s="1"/>
  <c r="G32" i="77"/>
  <c r="G30" i="112"/>
  <c r="D30" i="117"/>
  <c r="G29" i="112"/>
  <c r="H29" i="112" s="1"/>
  <c r="I29" i="112" s="1"/>
  <c r="D34" i="49"/>
  <c r="G47" i="58"/>
  <c r="G48" i="58" s="1"/>
  <c r="G49" i="58" s="1"/>
  <c r="D42" i="56"/>
  <c r="D45" i="56" s="1"/>
  <c r="D35" i="49"/>
  <c r="G29" i="61"/>
  <c r="H29" i="61" s="1"/>
  <c r="I29" i="61" s="1"/>
  <c r="D32" i="77"/>
  <c r="D34" i="77" s="1"/>
  <c r="D37" i="77" s="1"/>
  <c r="G47" i="4"/>
  <c r="G50" i="4" s="1"/>
  <c r="G20" i="66"/>
  <c r="G22" i="66" s="1"/>
  <c r="D30" i="115"/>
  <c r="D35" i="115" s="1"/>
  <c r="D47" i="114"/>
  <c r="D48" i="114" s="1"/>
  <c r="D49" i="114" s="1"/>
  <c r="D42" i="114"/>
  <c r="D43" i="114" s="1"/>
  <c r="D44" i="114" s="1"/>
  <c r="H31" i="50"/>
  <c r="I31" i="50" s="1"/>
  <c r="G33" i="50"/>
  <c r="G47" i="50" s="1"/>
  <c r="D34" i="71"/>
  <c r="H24" i="25"/>
  <c r="I24" i="25" s="1"/>
  <c r="G25" i="25"/>
  <c r="H25" i="25" s="1"/>
  <c r="I25" i="25" s="1"/>
  <c r="D27" i="74"/>
  <c r="G47" i="62"/>
  <c r="G48" i="62" s="1"/>
  <c r="G49" i="62" s="1"/>
  <c r="G30" i="62"/>
  <c r="H30" i="62" s="1"/>
  <c r="I30" i="62" s="1"/>
  <c r="H19" i="66"/>
  <c r="I19" i="66" s="1"/>
  <c r="H31" i="52"/>
  <c r="I31" i="52" s="1"/>
  <c r="G30" i="114"/>
  <c r="G35" i="114" s="1"/>
  <c r="D42" i="112"/>
  <c r="D43" i="112" s="1"/>
  <c r="D44" i="112" s="1"/>
  <c r="H31" i="4"/>
  <c r="I31" i="4" s="1"/>
  <c r="D34" i="116"/>
  <c r="H37" i="117"/>
  <c r="I37" i="117" s="1"/>
  <c r="G40" i="117"/>
  <c r="G47" i="117" s="1"/>
  <c r="H31" i="51"/>
  <c r="I31" i="51" s="1"/>
  <c r="G33" i="51"/>
  <c r="G42" i="51" s="1"/>
  <c r="G45" i="51" s="1"/>
  <c r="D22" i="65"/>
  <c r="D26" i="65" s="1"/>
  <c r="H20" i="65"/>
  <c r="F34" i="7" s="1"/>
  <c r="D29" i="4"/>
  <c r="D34" i="4" s="1"/>
  <c r="D42" i="4"/>
  <c r="D45" i="4" s="1"/>
  <c r="H25" i="4"/>
  <c r="I25" i="4" s="1"/>
  <c r="G2" i="7" s="1"/>
  <c r="D47" i="4"/>
  <c r="D48" i="4" s="1"/>
  <c r="D49" i="4" s="1"/>
  <c r="D22" i="66"/>
  <c r="D26" i="66" s="1"/>
  <c r="D47" i="116"/>
  <c r="D50" i="116" s="1"/>
  <c r="D27" i="77"/>
  <c r="G29" i="52"/>
  <c r="H29" i="52" s="1"/>
  <c r="I29" i="52" s="1"/>
  <c r="H13" i="71"/>
  <c r="I13" i="71" s="1"/>
  <c r="D47" i="48"/>
  <c r="D48" i="48" s="1"/>
  <c r="D49" i="48" s="1"/>
  <c r="D26" i="25"/>
  <c r="D33" i="68"/>
  <c r="D36" i="68" s="1"/>
  <c r="D42" i="50"/>
  <c r="D43" i="50" s="1"/>
  <c r="D44" i="50" s="1"/>
  <c r="G29" i="49"/>
  <c r="H29" i="49" s="1"/>
  <c r="I29" i="49" s="1"/>
  <c r="G40" i="116"/>
  <c r="D34" i="52"/>
  <c r="D42" i="59"/>
  <c r="D43" i="59" s="1"/>
  <c r="D44" i="59" s="1"/>
  <c r="G47" i="61"/>
  <c r="G50" i="61" s="1"/>
  <c r="H25" i="49"/>
  <c r="H31" i="116"/>
  <c r="I31" i="116" s="1"/>
  <c r="H31" i="61"/>
  <c r="I31" i="61" s="1"/>
  <c r="H31" i="46"/>
  <c r="I31" i="46" s="1"/>
  <c r="H25" i="62"/>
  <c r="F24" i="7" s="1"/>
  <c r="D34" i="50"/>
  <c r="H31" i="112"/>
  <c r="I31" i="112" s="1"/>
  <c r="D35" i="52"/>
  <c r="D33" i="25"/>
  <c r="D36" i="25" s="1"/>
  <c r="H25" i="113"/>
  <c r="G25" i="56"/>
  <c r="G29" i="62"/>
  <c r="G34" i="62" s="1"/>
  <c r="G42" i="58"/>
  <c r="G43" i="58" s="1"/>
  <c r="H23" i="66"/>
  <c r="I23" i="66" s="1"/>
  <c r="D47" i="46"/>
  <c r="D50" i="46" s="1"/>
  <c r="G47" i="54"/>
  <c r="G48" i="54" s="1"/>
  <c r="G49" i="54" s="1"/>
  <c r="H22" i="77"/>
  <c r="I22" i="77" s="1"/>
  <c r="G20" i="63"/>
  <c r="H20" i="63" s="1"/>
  <c r="I20" i="63" s="1"/>
  <c r="G32" i="7" s="1"/>
  <c r="D42" i="52"/>
  <c r="D45" i="52" s="1"/>
  <c r="D42" i="60"/>
  <c r="D45" i="60" s="1"/>
  <c r="D42" i="46"/>
  <c r="D43" i="46" s="1"/>
  <c r="D35" i="75"/>
  <c r="D36" i="75" s="1"/>
  <c r="D37" i="75"/>
  <c r="G30" i="46"/>
  <c r="H25" i="46"/>
  <c r="G29" i="46"/>
  <c r="H18" i="112"/>
  <c r="I18" i="112" s="1"/>
  <c r="H25" i="47"/>
  <c r="G29" i="47"/>
  <c r="H29" i="47" s="1"/>
  <c r="I29" i="47" s="1"/>
  <c r="G30" i="47"/>
  <c r="H18" i="68"/>
  <c r="I18" i="68" s="1"/>
  <c r="G47" i="57"/>
  <c r="G33" i="53"/>
  <c r="H25" i="115"/>
  <c r="G29" i="115"/>
  <c r="G30" i="115"/>
  <c r="H21" i="77"/>
  <c r="I21" i="77" s="1"/>
  <c r="H18" i="113"/>
  <c r="I18" i="113" s="1"/>
  <c r="G40" i="114"/>
  <c r="H40" i="114" s="1"/>
  <c r="I40" i="114" s="1"/>
  <c r="D47" i="53"/>
  <c r="D48" i="53" s="1"/>
  <c r="H25" i="57"/>
  <c r="I25" i="57" s="1"/>
  <c r="G17" i="7" s="1"/>
  <c r="D33" i="70"/>
  <c r="D34" i="70" s="1"/>
  <c r="H20" i="81"/>
  <c r="I20" i="81" s="1"/>
  <c r="D47" i="112"/>
  <c r="D50" i="112" s="1"/>
  <c r="H20" i="25"/>
  <c r="I20" i="25" s="1"/>
  <c r="G31" i="7" s="1"/>
  <c r="H24" i="69"/>
  <c r="I24" i="69" s="1"/>
  <c r="H20" i="70"/>
  <c r="F39" i="7" s="1"/>
  <c r="H32" i="117"/>
  <c r="I32" i="117" s="1"/>
  <c r="G29" i="54"/>
  <c r="G34" i="54" s="1"/>
  <c r="H18" i="69"/>
  <c r="I18" i="69" s="1"/>
  <c r="G20" i="69"/>
  <c r="H18" i="115"/>
  <c r="I18" i="115" s="1"/>
  <c r="H18" i="114"/>
  <c r="I18" i="114" s="1"/>
  <c r="D35" i="48"/>
  <c r="H18" i="117"/>
  <c r="I18" i="117" s="1"/>
  <c r="G29" i="60"/>
  <c r="H25" i="60"/>
  <c r="G30" i="60"/>
  <c r="D26" i="70"/>
  <c r="D33" i="67"/>
  <c r="D34" i="67" s="1"/>
  <c r="D35" i="67" s="1"/>
  <c r="G42" i="54"/>
  <c r="G45" i="54" s="1"/>
  <c r="D47" i="60"/>
  <c r="D50" i="60" s="1"/>
  <c r="H25" i="117"/>
  <c r="G30" i="117"/>
  <c r="G29" i="117"/>
  <c r="H29" i="117" s="1"/>
  <c r="I29" i="117" s="1"/>
  <c r="G26" i="77"/>
  <c r="H24" i="77"/>
  <c r="I24" i="77" s="1"/>
  <c r="H29" i="77"/>
  <c r="I29" i="77" s="1"/>
  <c r="D35" i="81"/>
  <c r="D33" i="81"/>
  <c r="D34" i="81" s="1"/>
  <c r="H33" i="56"/>
  <c r="I33" i="56" s="1"/>
  <c r="H30" i="58"/>
  <c r="I30" i="58" s="1"/>
  <c r="D35" i="79"/>
  <c r="D33" i="79"/>
  <c r="D34" i="79" s="1"/>
  <c r="D37" i="78"/>
  <c r="D35" i="78"/>
  <c r="D36" i="78" s="1"/>
  <c r="D35" i="46"/>
  <c r="D47" i="51"/>
  <c r="D42" i="51"/>
  <c r="D42" i="58"/>
  <c r="D47" i="58"/>
  <c r="D43" i="54"/>
  <c r="D44" i="54" s="1"/>
  <c r="D45" i="54"/>
  <c r="H14" i="68"/>
  <c r="I14" i="68" s="1"/>
  <c r="H14" i="50"/>
  <c r="I14" i="50" s="1"/>
  <c r="H31" i="68"/>
  <c r="I31" i="68" s="1"/>
  <c r="H33" i="61"/>
  <c r="I33" i="61" s="1"/>
  <c r="H15" i="81"/>
  <c r="I15" i="81" s="1"/>
  <c r="G32" i="81"/>
  <c r="H15" i="71"/>
  <c r="I15" i="71" s="1"/>
  <c r="G35" i="57"/>
  <c r="H30" i="57"/>
  <c r="I30" i="57" s="1"/>
  <c r="H40" i="53"/>
  <c r="I40" i="53" s="1"/>
  <c r="D35" i="76"/>
  <c r="D36" i="76" s="1"/>
  <c r="D37" i="76"/>
  <c r="H14" i="112"/>
  <c r="I14" i="112" s="1"/>
  <c r="H14" i="61"/>
  <c r="I14" i="61" s="1"/>
  <c r="G42" i="61"/>
  <c r="H30" i="52"/>
  <c r="I30" i="52" s="1"/>
  <c r="D35" i="72"/>
  <c r="D36" i="72" s="1"/>
  <c r="D37" i="72"/>
  <c r="D42" i="53"/>
  <c r="H32" i="75"/>
  <c r="I32" i="75" s="1"/>
  <c r="H40" i="62"/>
  <c r="I40" i="62" s="1"/>
  <c r="D33" i="64"/>
  <c r="H30" i="81"/>
  <c r="I30" i="81" s="1"/>
  <c r="H15" i="75"/>
  <c r="I15" i="75" s="1"/>
  <c r="H15" i="80"/>
  <c r="I15" i="80" s="1"/>
  <c r="H14" i="48"/>
  <c r="I14" i="48" s="1"/>
  <c r="H15" i="74"/>
  <c r="I15" i="74" s="1"/>
  <c r="H32" i="78"/>
  <c r="I32" i="78" s="1"/>
  <c r="H32" i="76"/>
  <c r="I32" i="76" s="1"/>
  <c r="H14" i="115"/>
  <c r="I14" i="115" s="1"/>
  <c r="D48" i="59"/>
  <c r="D49" i="59" s="1"/>
  <c r="D50" i="59"/>
  <c r="H40" i="51"/>
  <c r="I40" i="51" s="1"/>
  <c r="H14" i="63"/>
  <c r="I14" i="63" s="1"/>
  <c r="H31" i="70"/>
  <c r="I31" i="70" s="1"/>
  <c r="D42" i="48"/>
  <c r="G42" i="62"/>
  <c r="H14" i="62"/>
  <c r="I14" i="62" s="1"/>
  <c r="H15" i="73"/>
  <c r="I15" i="73" s="1"/>
  <c r="H40" i="4"/>
  <c r="I40" i="4" s="1"/>
  <c r="D34" i="60"/>
  <c r="G34" i="58"/>
  <c r="H29" i="58"/>
  <c r="I29" i="58" s="1"/>
  <c r="H21" i="81"/>
  <c r="G25" i="81"/>
  <c r="H40" i="57"/>
  <c r="I40" i="57" s="1"/>
  <c r="H40" i="58"/>
  <c r="I40" i="58" s="1"/>
  <c r="D48" i="57"/>
  <c r="D49" i="57" s="1"/>
  <c r="D47" i="52"/>
  <c r="D34" i="112"/>
  <c r="D42" i="62"/>
  <c r="H22" i="70"/>
  <c r="I22" i="70" s="1"/>
  <c r="D35" i="53"/>
  <c r="D34" i="59"/>
  <c r="G35" i="54"/>
  <c r="H30" i="54"/>
  <c r="I30" i="54" s="1"/>
  <c r="G42" i="57"/>
  <c r="H14" i="57"/>
  <c r="I14" i="57" s="1"/>
  <c r="H30" i="79"/>
  <c r="I30" i="79" s="1"/>
  <c r="H29" i="51"/>
  <c r="I29" i="51" s="1"/>
  <c r="H14" i="117"/>
  <c r="I14" i="117" s="1"/>
  <c r="H22" i="25"/>
  <c r="I22" i="25" s="1"/>
  <c r="H40" i="46"/>
  <c r="I40" i="46" s="1"/>
  <c r="H14" i="56"/>
  <c r="I14" i="56" s="1"/>
  <c r="D35" i="73"/>
  <c r="D36" i="73" s="1"/>
  <c r="D37" i="73"/>
  <c r="H40" i="54"/>
  <c r="I40" i="54" s="1"/>
  <c r="H14" i="49"/>
  <c r="I14" i="49" s="1"/>
  <c r="G25" i="80"/>
  <c r="H21" i="80"/>
  <c r="H14" i="47"/>
  <c r="I14" i="47" s="1"/>
  <c r="H40" i="48"/>
  <c r="I40" i="48" s="1"/>
  <c r="H31" i="65"/>
  <c r="I31" i="65" s="1"/>
  <c r="D37" i="5"/>
  <c r="D35" i="5"/>
  <c r="D36" i="5" s="1"/>
  <c r="H33" i="58"/>
  <c r="I33" i="58" s="1"/>
  <c r="H14" i="116"/>
  <c r="I14" i="116" s="1"/>
  <c r="H14" i="70"/>
  <c r="I14" i="70" s="1"/>
  <c r="H14" i="113"/>
  <c r="I14" i="113" s="1"/>
  <c r="H15" i="77"/>
  <c r="I15" i="77" s="1"/>
  <c r="H40" i="52"/>
  <c r="I40" i="52" s="1"/>
  <c r="H32" i="73"/>
  <c r="I32" i="73" s="1"/>
  <c r="H31" i="69"/>
  <c r="I31" i="69" s="1"/>
  <c r="H31" i="25"/>
  <c r="I31" i="25" s="1"/>
  <c r="I25" i="53"/>
  <c r="G13" i="7" s="1"/>
  <c r="F13" i="7"/>
  <c r="H29" i="50"/>
  <c r="I29" i="50" s="1"/>
  <c r="H14" i="69"/>
  <c r="I14" i="69" s="1"/>
  <c r="D42" i="116"/>
  <c r="H32" i="5"/>
  <c r="I32" i="5" s="1"/>
  <c r="H40" i="112"/>
  <c r="I40" i="112" s="1"/>
  <c r="H40" i="60"/>
  <c r="I40" i="60" s="1"/>
  <c r="H40" i="50"/>
  <c r="I40" i="50" s="1"/>
  <c r="H29" i="59"/>
  <c r="I29" i="59" s="1"/>
  <c r="H31" i="67"/>
  <c r="I31" i="67" s="1"/>
  <c r="H32" i="72"/>
  <c r="I32" i="72" s="1"/>
  <c r="D34" i="53"/>
  <c r="H14" i="60"/>
  <c r="I14" i="60" s="1"/>
  <c r="D50" i="61"/>
  <c r="D48" i="61"/>
  <c r="D49" i="61" s="1"/>
  <c r="H15" i="79"/>
  <c r="I15" i="79" s="1"/>
  <c r="D26" i="68"/>
  <c r="H15" i="78"/>
  <c r="I15" i="78" s="1"/>
  <c r="H30" i="61"/>
  <c r="I30" i="61" s="1"/>
  <c r="G35" i="61"/>
  <c r="G42" i="113" l="1"/>
  <c r="G43" i="113" s="1"/>
  <c r="G44" i="113" s="1"/>
  <c r="G29" i="116"/>
  <c r="H29" i="116" s="1"/>
  <c r="I29" i="116" s="1"/>
  <c r="F18" i="7"/>
  <c r="I25" i="51"/>
  <c r="G10" i="7" s="1"/>
  <c r="H47" i="57"/>
  <c r="I47" i="57" s="1"/>
  <c r="D34" i="74"/>
  <c r="D37" i="74" s="1"/>
  <c r="H25" i="69"/>
  <c r="I25" i="69" s="1"/>
  <c r="D35" i="117"/>
  <c r="D34" i="117"/>
  <c r="H40" i="113"/>
  <c r="I40" i="113" s="1"/>
  <c r="D47" i="113"/>
  <c r="D50" i="113" s="1"/>
  <c r="H29" i="114"/>
  <c r="I29" i="114" s="1"/>
  <c r="G25" i="79"/>
  <c r="D48" i="62"/>
  <c r="D49" i="62" s="1"/>
  <c r="H49" i="62" s="1"/>
  <c r="I49" i="62" s="1"/>
  <c r="G33" i="65"/>
  <c r="G34" i="65" s="1"/>
  <c r="G35" i="65" s="1"/>
  <c r="H40" i="115"/>
  <c r="I40" i="115" s="1"/>
  <c r="G42" i="48"/>
  <c r="G43" i="48" s="1"/>
  <c r="G44" i="48" s="1"/>
  <c r="H21" i="79"/>
  <c r="I21" i="79" s="1"/>
  <c r="G43" i="7" s="1"/>
  <c r="H30" i="80"/>
  <c r="I30" i="80" s="1"/>
  <c r="G42" i="47"/>
  <c r="G43" i="47" s="1"/>
  <c r="G44" i="47" s="1"/>
  <c r="H30" i="112"/>
  <c r="I30" i="112" s="1"/>
  <c r="G35" i="4"/>
  <c r="H35" i="4" s="1"/>
  <c r="I35" i="4" s="1"/>
  <c r="G34" i="4"/>
  <c r="H34" i="4" s="1"/>
  <c r="I34" i="4" s="1"/>
  <c r="D50" i="4"/>
  <c r="D51" i="4" s="1"/>
  <c r="E2" i="7" s="1"/>
  <c r="D33" i="69"/>
  <c r="D34" i="69" s="1"/>
  <c r="D35" i="69" s="1"/>
  <c r="G26" i="65"/>
  <c r="H26" i="65" s="1"/>
  <c r="I26" i="65" s="1"/>
  <c r="H33" i="4"/>
  <c r="I33" i="4" s="1"/>
  <c r="H30" i="116"/>
  <c r="I30" i="116" s="1"/>
  <c r="D26" i="69"/>
  <c r="H20" i="64"/>
  <c r="I20" i="64" s="1"/>
  <c r="G33" i="7" s="1"/>
  <c r="G33" i="67"/>
  <c r="G34" i="67" s="1"/>
  <c r="G35" i="67" s="1"/>
  <c r="H35" i="67" s="1"/>
  <c r="I35" i="67" s="1"/>
  <c r="H33" i="47"/>
  <c r="I33" i="47" s="1"/>
  <c r="H30" i="4"/>
  <c r="I30" i="4" s="1"/>
  <c r="H33" i="60"/>
  <c r="I33" i="60" s="1"/>
  <c r="G42" i="60"/>
  <c r="H42" i="60" s="1"/>
  <c r="I42" i="60" s="1"/>
  <c r="G47" i="52"/>
  <c r="G48" i="52" s="1"/>
  <c r="G49" i="52" s="1"/>
  <c r="D47" i="115"/>
  <c r="D50" i="115" s="1"/>
  <c r="D48" i="56"/>
  <c r="D49" i="56" s="1"/>
  <c r="D51" i="56" s="1"/>
  <c r="E16" i="7" s="1"/>
  <c r="H20" i="67"/>
  <c r="F36" i="7" s="1"/>
  <c r="H29" i="4"/>
  <c r="I29" i="4" s="1"/>
  <c r="H20" i="66"/>
  <c r="I20" i="66" s="1"/>
  <c r="G35" i="7" s="1"/>
  <c r="H33" i="117"/>
  <c r="I33" i="117" s="1"/>
  <c r="H25" i="70"/>
  <c r="I25" i="70" s="1"/>
  <c r="D42" i="117"/>
  <c r="D45" i="117" s="1"/>
  <c r="G33" i="70"/>
  <c r="G34" i="70" s="1"/>
  <c r="G35" i="70" s="1"/>
  <c r="D45" i="61"/>
  <c r="D46" i="61" s="1"/>
  <c r="G26" i="66"/>
  <c r="H26" i="66" s="1"/>
  <c r="I26" i="66" s="1"/>
  <c r="H33" i="52"/>
  <c r="I33" i="52" s="1"/>
  <c r="I20" i="65"/>
  <c r="G34" i="7" s="1"/>
  <c r="G34" i="114"/>
  <c r="H34" i="114" s="1"/>
  <c r="I34" i="114" s="1"/>
  <c r="H47" i="4"/>
  <c r="I47" i="4" s="1"/>
  <c r="H34" i="113"/>
  <c r="I34" i="113" s="1"/>
  <c r="D45" i="112"/>
  <c r="D46" i="112" s="1"/>
  <c r="G42" i="116"/>
  <c r="G45" i="116" s="1"/>
  <c r="G50" i="54"/>
  <c r="G51" i="54" s="1"/>
  <c r="K48" i="54" s="1"/>
  <c r="F14" i="7"/>
  <c r="G43" i="54"/>
  <c r="G44" i="54" s="1"/>
  <c r="H44" i="54" s="1"/>
  <c r="I44" i="54" s="1"/>
  <c r="G42" i="52"/>
  <c r="G45" i="52" s="1"/>
  <c r="H45" i="52" s="1"/>
  <c r="I45" i="52" s="1"/>
  <c r="G42" i="115"/>
  <c r="G45" i="115" s="1"/>
  <c r="D36" i="63"/>
  <c r="D34" i="63"/>
  <c r="D35" i="63" s="1"/>
  <c r="G34" i="116"/>
  <c r="H34" i="116" s="1"/>
  <c r="I34" i="116" s="1"/>
  <c r="D35" i="74"/>
  <c r="D36" i="74" s="1"/>
  <c r="D38" i="74" s="1"/>
  <c r="E29" i="7" s="1"/>
  <c r="D26" i="63"/>
  <c r="G35" i="116"/>
  <c r="H35" i="116" s="1"/>
  <c r="I35" i="116" s="1"/>
  <c r="G34" i="112"/>
  <c r="H34" i="112" s="1"/>
  <c r="I34" i="112" s="1"/>
  <c r="H30" i="114"/>
  <c r="I30" i="114" s="1"/>
  <c r="H42" i="58"/>
  <c r="I42" i="58" s="1"/>
  <c r="G33" i="25"/>
  <c r="G34" i="25" s="1"/>
  <c r="G35" i="25" s="1"/>
  <c r="D48" i="50"/>
  <c r="D49" i="50" s="1"/>
  <c r="D51" i="50" s="1"/>
  <c r="E9" i="7" s="1"/>
  <c r="G43" i="59"/>
  <c r="G44" i="59" s="1"/>
  <c r="G46" i="59" s="1"/>
  <c r="J44" i="59" s="1"/>
  <c r="G47" i="116"/>
  <c r="G50" i="116" s="1"/>
  <c r="H50" i="116" s="1"/>
  <c r="I50" i="116" s="1"/>
  <c r="I25" i="114"/>
  <c r="G12" i="7" s="1"/>
  <c r="I25" i="61"/>
  <c r="G22" i="7" s="1"/>
  <c r="F11" i="7"/>
  <c r="G42" i="46"/>
  <c r="H42" i="46" s="1"/>
  <c r="I42" i="46" s="1"/>
  <c r="H47" i="61"/>
  <c r="I47" i="61" s="1"/>
  <c r="H33" i="49"/>
  <c r="I33" i="49" s="1"/>
  <c r="H33" i="46"/>
  <c r="I33" i="46" s="1"/>
  <c r="H47" i="60"/>
  <c r="I47" i="60" s="1"/>
  <c r="H29" i="113"/>
  <c r="I29" i="113" s="1"/>
  <c r="G47" i="115"/>
  <c r="G48" i="61"/>
  <c r="G49" i="61" s="1"/>
  <c r="G51" i="61" s="1"/>
  <c r="G42" i="117"/>
  <c r="G35" i="59"/>
  <c r="H35" i="59" s="1"/>
  <c r="I35" i="59" s="1"/>
  <c r="D43" i="56"/>
  <c r="D44" i="56" s="1"/>
  <c r="D46" i="56" s="1"/>
  <c r="D45" i="57"/>
  <c r="D46" i="57" s="1"/>
  <c r="H33" i="59"/>
  <c r="I33" i="59" s="1"/>
  <c r="G26" i="64"/>
  <c r="H26" i="64" s="1"/>
  <c r="I26" i="64" s="1"/>
  <c r="G47" i="48"/>
  <c r="G50" i="48" s="1"/>
  <c r="G34" i="57"/>
  <c r="H34" i="57" s="1"/>
  <c r="I34" i="57" s="1"/>
  <c r="G35" i="48"/>
  <c r="H35" i="48" s="1"/>
  <c r="I35" i="48" s="1"/>
  <c r="G50" i="58"/>
  <c r="G45" i="58"/>
  <c r="D35" i="80"/>
  <c r="D36" i="80" s="1"/>
  <c r="E44" i="7" s="1"/>
  <c r="H30" i="47"/>
  <c r="I30" i="47" s="1"/>
  <c r="D43" i="49"/>
  <c r="D44" i="49" s="1"/>
  <c r="D46" i="49" s="1"/>
  <c r="G34" i="48"/>
  <c r="H34" i="48" s="1"/>
  <c r="I34" i="48" s="1"/>
  <c r="G33" i="66"/>
  <c r="G36" i="66" s="1"/>
  <c r="G34" i="52"/>
  <c r="H34" i="52" s="1"/>
  <c r="I34" i="52" s="1"/>
  <c r="G33" i="64"/>
  <c r="H33" i="64" s="1"/>
  <c r="I33" i="64" s="1"/>
  <c r="G26" i="67"/>
  <c r="H26" i="67" s="1"/>
  <c r="I26" i="67" s="1"/>
  <c r="D45" i="47"/>
  <c r="D46" i="47" s="1"/>
  <c r="D50" i="54"/>
  <c r="F20" i="7"/>
  <c r="G48" i="4"/>
  <c r="G49" i="4" s="1"/>
  <c r="H49" i="4" s="1"/>
  <c r="I49" i="4" s="1"/>
  <c r="F9" i="7"/>
  <c r="G35" i="112"/>
  <c r="H35" i="112" s="1"/>
  <c r="I35" i="112" s="1"/>
  <c r="H33" i="112"/>
  <c r="I33" i="112" s="1"/>
  <c r="G42" i="112"/>
  <c r="G45" i="112" s="1"/>
  <c r="H40" i="117"/>
  <c r="I40" i="117" s="1"/>
  <c r="H47" i="62"/>
  <c r="I47" i="62" s="1"/>
  <c r="G34" i="59"/>
  <c r="H34" i="59" s="1"/>
  <c r="I34" i="59" s="1"/>
  <c r="H25" i="67"/>
  <c r="I25" i="67" s="1"/>
  <c r="I25" i="62"/>
  <c r="G24" i="7" s="1"/>
  <c r="D48" i="46"/>
  <c r="D49" i="46" s="1"/>
  <c r="G47" i="59"/>
  <c r="G48" i="59" s="1"/>
  <c r="H48" i="59" s="1"/>
  <c r="I48" i="59" s="1"/>
  <c r="H20" i="68"/>
  <c r="I20" i="68" s="1"/>
  <c r="G37" i="7" s="1"/>
  <c r="G35" i="113"/>
  <c r="H35" i="113" s="1"/>
  <c r="I35" i="113" s="1"/>
  <c r="I25" i="48"/>
  <c r="G6" i="7" s="1"/>
  <c r="F6" i="7"/>
  <c r="I25" i="116"/>
  <c r="G23" i="7" s="1"/>
  <c r="H47" i="54"/>
  <c r="I47" i="54" s="1"/>
  <c r="D50" i="53"/>
  <c r="G34" i="46"/>
  <c r="H34" i="46" s="1"/>
  <c r="I34" i="46" s="1"/>
  <c r="D36" i="70"/>
  <c r="D48" i="47"/>
  <c r="D49" i="47" s="1"/>
  <c r="D51" i="47" s="1"/>
  <c r="E5" i="7" s="1"/>
  <c r="D51" i="57"/>
  <c r="E17" i="7" s="1"/>
  <c r="D45" i="114"/>
  <c r="D46" i="114" s="1"/>
  <c r="H42" i="59"/>
  <c r="I42" i="59" s="1"/>
  <c r="D34" i="68"/>
  <c r="D35" i="68" s="1"/>
  <c r="D37" i="68" s="1"/>
  <c r="E37" i="7" s="1"/>
  <c r="D33" i="66"/>
  <c r="D36" i="66" s="1"/>
  <c r="H33" i="50"/>
  <c r="I33" i="50" s="1"/>
  <c r="G34" i="61"/>
  <c r="H34" i="61" s="1"/>
  <c r="I34" i="61" s="1"/>
  <c r="G26" i="25"/>
  <c r="H26" i="25" s="1"/>
  <c r="I26" i="25" s="1"/>
  <c r="D34" i="25"/>
  <c r="D35" i="25" s="1"/>
  <c r="G35" i="46"/>
  <c r="H35" i="46" s="1"/>
  <c r="I35" i="46" s="1"/>
  <c r="H32" i="77"/>
  <c r="I32" i="77" s="1"/>
  <c r="G50" i="49"/>
  <c r="H50" i="49" s="1"/>
  <c r="I50" i="49" s="1"/>
  <c r="G48" i="49"/>
  <c r="H48" i="49" s="1"/>
  <c r="I48" i="49" s="1"/>
  <c r="H47" i="49"/>
  <c r="I47" i="49" s="1"/>
  <c r="H29" i="46"/>
  <c r="I29" i="46" s="1"/>
  <c r="H40" i="116"/>
  <c r="I40" i="116" s="1"/>
  <c r="D38" i="73"/>
  <c r="E28" i="7" s="1"/>
  <c r="D50" i="114"/>
  <c r="D51" i="114" s="1"/>
  <c r="E12" i="7" s="1"/>
  <c r="H47" i="50"/>
  <c r="I47" i="50" s="1"/>
  <c r="H29" i="54"/>
  <c r="I29" i="54" s="1"/>
  <c r="G35" i="49"/>
  <c r="H35" i="49" s="1"/>
  <c r="I35" i="49" s="1"/>
  <c r="G35" i="62"/>
  <c r="H35" i="62" s="1"/>
  <c r="I35" i="62" s="1"/>
  <c r="G45" i="4"/>
  <c r="H45" i="4" s="1"/>
  <c r="I45" i="4" s="1"/>
  <c r="D35" i="77"/>
  <c r="D36" i="77" s="1"/>
  <c r="D38" i="77" s="1"/>
  <c r="E41" i="7" s="1"/>
  <c r="F2" i="7"/>
  <c r="D45" i="59"/>
  <c r="D46" i="59" s="1"/>
  <c r="D50" i="48"/>
  <c r="D51" i="48" s="1"/>
  <c r="E6" i="7" s="1"/>
  <c r="H29" i="62"/>
  <c r="I29" i="62" s="1"/>
  <c r="G33" i="68"/>
  <c r="G36" i="68" s="1"/>
  <c r="D33" i="65"/>
  <c r="H22" i="65"/>
  <c r="I22" i="65" s="1"/>
  <c r="G42" i="49"/>
  <c r="G43" i="49" s="1"/>
  <c r="G44" i="49" s="1"/>
  <c r="D36" i="67"/>
  <c r="D43" i="52"/>
  <c r="D44" i="52" s="1"/>
  <c r="D46" i="52" s="1"/>
  <c r="F32" i="7"/>
  <c r="H47" i="58"/>
  <c r="I47" i="58" s="1"/>
  <c r="F17" i="7"/>
  <c r="H30" i="117"/>
  <c r="I30" i="117" s="1"/>
  <c r="G50" i="50"/>
  <c r="H50" i="50" s="1"/>
  <c r="I50" i="50" s="1"/>
  <c r="G44" i="58"/>
  <c r="F7" i="7"/>
  <c r="I25" i="49"/>
  <c r="G7" i="7" s="1"/>
  <c r="G50" i="62"/>
  <c r="H50" i="62" s="1"/>
  <c r="I50" i="62" s="1"/>
  <c r="D43" i="4"/>
  <c r="D44" i="4" s="1"/>
  <c r="D48" i="116"/>
  <c r="D49" i="116" s="1"/>
  <c r="G42" i="50"/>
  <c r="G43" i="50" s="1"/>
  <c r="G44" i="50" s="1"/>
  <c r="G22" i="63"/>
  <c r="D45" i="50"/>
  <c r="D46" i="50" s="1"/>
  <c r="G34" i="49"/>
  <c r="H34" i="49" s="1"/>
  <c r="I34" i="49" s="1"/>
  <c r="G34" i="51"/>
  <c r="H34" i="51" s="1"/>
  <c r="I34" i="51" s="1"/>
  <c r="H33" i="51"/>
  <c r="I33" i="51" s="1"/>
  <c r="D51" i="59"/>
  <c r="E20" i="7" s="1"/>
  <c r="G34" i="50"/>
  <c r="D43" i="60"/>
  <c r="D44" i="60" s="1"/>
  <c r="D46" i="60" s="1"/>
  <c r="G43" i="51"/>
  <c r="G44" i="51" s="1"/>
  <c r="G46" i="51" s="1"/>
  <c r="H47" i="112"/>
  <c r="I47" i="112" s="1"/>
  <c r="G48" i="50"/>
  <c r="G49" i="50" s="1"/>
  <c r="D45" i="46"/>
  <c r="D48" i="112"/>
  <c r="D49" i="112" s="1"/>
  <c r="H42" i="4"/>
  <c r="I42" i="4" s="1"/>
  <c r="G35" i="51"/>
  <c r="H35" i="51" s="1"/>
  <c r="I35" i="51" s="1"/>
  <c r="D48" i="60"/>
  <c r="D49" i="60" s="1"/>
  <c r="D51" i="60" s="1"/>
  <c r="E21" i="7" s="1"/>
  <c r="G35" i="50"/>
  <c r="H35" i="50" s="1"/>
  <c r="I35" i="50" s="1"/>
  <c r="H22" i="66"/>
  <c r="I22" i="66" s="1"/>
  <c r="D46" i="54"/>
  <c r="H42" i="51"/>
  <c r="I42" i="51" s="1"/>
  <c r="D38" i="78"/>
  <c r="E42" i="7" s="1"/>
  <c r="G47" i="51"/>
  <c r="D35" i="71"/>
  <c r="D36" i="71" s="1"/>
  <c r="D37" i="71"/>
  <c r="I20" i="70"/>
  <c r="G39" i="7" s="1"/>
  <c r="G50" i="57"/>
  <c r="H50" i="57" s="1"/>
  <c r="I50" i="57" s="1"/>
  <c r="D49" i="53"/>
  <c r="D36" i="81"/>
  <c r="E45" i="7" s="1"/>
  <c r="D44" i="46"/>
  <c r="G29" i="56"/>
  <c r="G30" i="56"/>
  <c r="H25" i="56"/>
  <c r="G48" i="57"/>
  <c r="G49" i="57" s="1"/>
  <c r="D38" i="76"/>
  <c r="E40" i="7" s="1"/>
  <c r="G47" i="56"/>
  <c r="I25" i="113"/>
  <c r="G8" i="7" s="1"/>
  <c r="F8" i="7"/>
  <c r="D51" i="61"/>
  <c r="E22" i="7" s="1"/>
  <c r="G42" i="56"/>
  <c r="H42" i="56" s="1"/>
  <c r="I42" i="56" s="1"/>
  <c r="H30" i="46"/>
  <c r="I30" i="46" s="1"/>
  <c r="G35" i="47"/>
  <c r="H35" i="47" s="1"/>
  <c r="I35" i="47" s="1"/>
  <c r="D35" i="70"/>
  <c r="H30" i="115"/>
  <c r="I30" i="115" s="1"/>
  <c r="G35" i="115"/>
  <c r="H35" i="115" s="1"/>
  <c r="I35" i="115" s="1"/>
  <c r="G34" i="47"/>
  <c r="H34" i="47" s="1"/>
  <c r="I34" i="47" s="1"/>
  <c r="G26" i="68"/>
  <c r="H26" i="68" s="1"/>
  <c r="I26" i="68" s="1"/>
  <c r="G35" i="117"/>
  <c r="I25" i="117"/>
  <c r="G19" i="7" s="1"/>
  <c r="F19" i="7"/>
  <c r="H30" i="60"/>
  <c r="I30" i="60" s="1"/>
  <c r="G35" i="60"/>
  <c r="H35" i="60" s="1"/>
  <c r="I35" i="60" s="1"/>
  <c r="G50" i="117"/>
  <c r="G48" i="117"/>
  <c r="G49" i="117" s="1"/>
  <c r="G48" i="113"/>
  <c r="G49" i="113" s="1"/>
  <c r="G50" i="113"/>
  <c r="H29" i="115"/>
  <c r="I29" i="115" s="1"/>
  <c r="G34" i="115"/>
  <c r="G47" i="53"/>
  <c r="G42" i="53"/>
  <c r="I25" i="47"/>
  <c r="G5" i="7" s="1"/>
  <c r="F5" i="7"/>
  <c r="G50" i="46"/>
  <c r="H50" i="46" s="1"/>
  <c r="I50" i="46" s="1"/>
  <c r="G48" i="46"/>
  <c r="D38" i="5"/>
  <c r="E25" i="7" s="1"/>
  <c r="F31" i="7"/>
  <c r="H42" i="54"/>
  <c r="I42" i="54" s="1"/>
  <c r="H33" i="53"/>
  <c r="I33" i="53" s="1"/>
  <c r="G34" i="53"/>
  <c r="H34" i="53" s="1"/>
  <c r="I34" i="53" s="1"/>
  <c r="G34" i="117"/>
  <c r="H26" i="77"/>
  <c r="I26" i="77" s="1"/>
  <c r="I25" i="60"/>
  <c r="G21" i="7" s="1"/>
  <c r="F21" i="7"/>
  <c r="I25" i="115"/>
  <c r="G15" i="7" s="1"/>
  <c r="F15" i="7"/>
  <c r="G48" i="112"/>
  <c r="G50" i="112"/>
  <c r="H50" i="112" s="1"/>
  <c r="I50" i="112" s="1"/>
  <c r="I25" i="46"/>
  <c r="G3" i="7" s="1"/>
  <c r="F3" i="7"/>
  <c r="D38" i="75"/>
  <c r="E30" i="7" s="1"/>
  <c r="H29" i="60"/>
  <c r="I29" i="60" s="1"/>
  <c r="G34" i="60"/>
  <c r="H34" i="60" s="1"/>
  <c r="I34" i="60" s="1"/>
  <c r="G47" i="114"/>
  <c r="G42" i="114"/>
  <c r="G35" i="53"/>
  <c r="H35" i="53" s="1"/>
  <c r="I35" i="53" s="1"/>
  <c r="H47" i="46"/>
  <c r="I47" i="46" s="1"/>
  <c r="D36" i="79"/>
  <c r="E43" i="7" s="1"/>
  <c r="G48" i="60"/>
  <c r="G50" i="60"/>
  <c r="H50" i="60" s="1"/>
  <c r="I50" i="60" s="1"/>
  <c r="H20" i="69"/>
  <c r="G22" i="69"/>
  <c r="G48" i="47"/>
  <c r="G49" i="47" s="1"/>
  <c r="H47" i="47"/>
  <c r="I47" i="47" s="1"/>
  <c r="G50" i="47"/>
  <c r="H50" i="47" s="1"/>
  <c r="I50" i="47" s="1"/>
  <c r="H35" i="114"/>
  <c r="I35" i="114" s="1"/>
  <c r="I21" i="80"/>
  <c r="G44" i="7" s="1"/>
  <c r="F44" i="7"/>
  <c r="H50" i="61"/>
  <c r="I50" i="61" s="1"/>
  <c r="G45" i="57"/>
  <c r="G43" i="57"/>
  <c r="G44" i="57" s="1"/>
  <c r="H42" i="57"/>
  <c r="I42" i="57" s="1"/>
  <c r="H26" i="70"/>
  <c r="I26" i="70" s="1"/>
  <c r="H25" i="81"/>
  <c r="I25" i="81" s="1"/>
  <c r="H49" i="54"/>
  <c r="I49" i="54" s="1"/>
  <c r="D51" i="62"/>
  <c r="E24" i="7" s="1"/>
  <c r="D48" i="117"/>
  <c r="D50" i="117"/>
  <c r="H47" i="117"/>
  <c r="I47" i="117" s="1"/>
  <c r="H34" i="62"/>
  <c r="I34" i="62" s="1"/>
  <c r="D48" i="51"/>
  <c r="D50" i="51"/>
  <c r="G33" i="79"/>
  <c r="H32" i="79"/>
  <c r="I32" i="79" s="1"/>
  <c r="G35" i="79"/>
  <c r="I21" i="81"/>
  <c r="G45" i="7" s="1"/>
  <c r="F45" i="7"/>
  <c r="D45" i="48"/>
  <c r="D43" i="48"/>
  <c r="D44" i="48" s="1"/>
  <c r="D34" i="64"/>
  <c r="D35" i="64" s="1"/>
  <c r="D36" i="64"/>
  <c r="G43" i="61"/>
  <c r="G44" i="61" s="1"/>
  <c r="G45" i="61"/>
  <c r="H42" i="61"/>
  <c r="I42" i="61" s="1"/>
  <c r="G33" i="81"/>
  <c r="H32" i="81"/>
  <c r="I32" i="81" s="1"/>
  <c r="G35" i="81"/>
  <c r="D48" i="58"/>
  <c r="D49" i="58" s="1"/>
  <c r="D50" i="58"/>
  <c r="H35" i="61"/>
  <c r="I35" i="61" s="1"/>
  <c r="D43" i="116"/>
  <c r="D44" i="116" s="1"/>
  <c r="D45" i="116"/>
  <c r="H25" i="80"/>
  <c r="I25" i="80" s="1"/>
  <c r="D43" i="62"/>
  <c r="D44" i="62" s="1"/>
  <c r="D45" i="62"/>
  <c r="D48" i="52"/>
  <c r="D49" i="52" s="1"/>
  <c r="D50" i="52"/>
  <c r="G45" i="62"/>
  <c r="H42" i="62"/>
  <c r="I42" i="62" s="1"/>
  <c r="G43" i="62"/>
  <c r="G44" i="62" s="1"/>
  <c r="H48" i="54"/>
  <c r="I48" i="54" s="1"/>
  <c r="H45" i="54"/>
  <c r="I45" i="54" s="1"/>
  <c r="D43" i="53"/>
  <c r="D44" i="53" s="1"/>
  <c r="D45" i="53"/>
  <c r="D45" i="58"/>
  <c r="D43" i="58"/>
  <c r="H43" i="58" s="1"/>
  <c r="I43" i="58" s="1"/>
  <c r="H34" i="54"/>
  <c r="I34" i="54" s="1"/>
  <c r="H25" i="79"/>
  <c r="I25" i="79" s="1"/>
  <c r="H35" i="54"/>
  <c r="I35" i="54" s="1"/>
  <c r="D43" i="113"/>
  <c r="D44" i="113" s="1"/>
  <c r="D45" i="113"/>
  <c r="H34" i="58"/>
  <c r="I34" i="58" s="1"/>
  <c r="G33" i="80"/>
  <c r="G34" i="80" s="1"/>
  <c r="H32" i="80"/>
  <c r="I32" i="80" s="1"/>
  <c r="G35" i="80"/>
  <c r="D45" i="115"/>
  <c r="D43" i="115"/>
  <c r="D44" i="115" s="1"/>
  <c r="D38" i="72"/>
  <c r="E27" i="7" s="1"/>
  <c r="H35" i="52"/>
  <c r="I35" i="52" s="1"/>
  <c r="H35" i="57"/>
  <c r="I35" i="57" s="1"/>
  <c r="D43" i="51"/>
  <c r="D45" i="51"/>
  <c r="H45" i="51" s="1"/>
  <c r="I45" i="51" s="1"/>
  <c r="H35" i="58"/>
  <c r="I35" i="58" s="1"/>
  <c r="H33" i="65" l="1"/>
  <c r="I33" i="65" s="1"/>
  <c r="H42" i="113"/>
  <c r="I42" i="113" s="1"/>
  <c r="G45" i="113"/>
  <c r="H34" i="117"/>
  <c r="I34" i="117" s="1"/>
  <c r="H42" i="48"/>
  <c r="I42" i="48" s="1"/>
  <c r="D36" i="69"/>
  <c r="D37" i="69" s="1"/>
  <c r="E38" i="7" s="1"/>
  <c r="H48" i="62"/>
  <c r="I48" i="62" s="1"/>
  <c r="D48" i="113"/>
  <c r="D49" i="113" s="1"/>
  <c r="D51" i="113" s="1"/>
  <c r="E8" i="7" s="1"/>
  <c r="H47" i="113"/>
  <c r="I47" i="113" s="1"/>
  <c r="F43" i="7"/>
  <c r="G36" i="67"/>
  <c r="G37" i="67" s="1"/>
  <c r="J13" i="67" s="1"/>
  <c r="G45" i="48"/>
  <c r="G46" i="48" s="1"/>
  <c r="J44" i="48" s="1"/>
  <c r="H35" i="117"/>
  <c r="I35" i="117" s="1"/>
  <c r="D48" i="115"/>
  <c r="D49" i="115" s="1"/>
  <c r="H42" i="47"/>
  <c r="I42" i="47" s="1"/>
  <c r="H47" i="115"/>
  <c r="I47" i="115" s="1"/>
  <c r="G36" i="65"/>
  <c r="G37" i="65" s="1"/>
  <c r="J26" i="65" s="1"/>
  <c r="H50" i="4"/>
  <c r="I50" i="4" s="1"/>
  <c r="H45" i="58"/>
  <c r="I45" i="58" s="1"/>
  <c r="H44" i="59"/>
  <c r="I44" i="59" s="1"/>
  <c r="H49" i="61"/>
  <c r="I49" i="61" s="1"/>
  <c r="D43" i="117"/>
  <c r="D44" i="117" s="1"/>
  <c r="D46" i="117" s="1"/>
  <c r="H43" i="54"/>
  <c r="I43" i="54" s="1"/>
  <c r="G50" i="52"/>
  <c r="G51" i="52" s="1"/>
  <c r="K31" i="52" s="1"/>
  <c r="G45" i="47"/>
  <c r="G46" i="47" s="1"/>
  <c r="J43" i="47" s="1"/>
  <c r="G45" i="60"/>
  <c r="H50" i="54"/>
  <c r="I50" i="54" s="1"/>
  <c r="F35" i="7"/>
  <c r="G43" i="60"/>
  <c r="G44" i="60" s="1"/>
  <c r="H44" i="60" s="1"/>
  <c r="I44" i="60" s="1"/>
  <c r="H43" i="59"/>
  <c r="I43" i="59" s="1"/>
  <c r="G43" i="52"/>
  <c r="G44" i="52" s="1"/>
  <c r="G46" i="52" s="1"/>
  <c r="J45" i="52" s="1"/>
  <c r="H48" i="46"/>
  <c r="I48" i="46" s="1"/>
  <c r="G46" i="4"/>
  <c r="J46" i="4" s="1"/>
  <c r="H33" i="67"/>
  <c r="I33" i="67" s="1"/>
  <c r="G34" i="64"/>
  <c r="G35" i="64" s="1"/>
  <c r="H35" i="64" s="1"/>
  <c r="I35" i="64" s="1"/>
  <c r="H42" i="115"/>
  <c r="I42" i="115" s="1"/>
  <c r="H42" i="50"/>
  <c r="I42" i="50" s="1"/>
  <c r="I20" i="67"/>
  <c r="G36" i="7" s="1"/>
  <c r="H47" i="52"/>
  <c r="I47" i="52" s="1"/>
  <c r="G45" i="50"/>
  <c r="G46" i="50" s="1"/>
  <c r="J45" i="50" s="1"/>
  <c r="F33" i="7"/>
  <c r="G36" i="70"/>
  <c r="G37" i="70" s="1"/>
  <c r="J36" i="70" s="1"/>
  <c r="G43" i="116"/>
  <c r="G44" i="116" s="1"/>
  <c r="G46" i="116" s="1"/>
  <c r="J43" i="116" s="1"/>
  <c r="G43" i="115"/>
  <c r="G44" i="115" s="1"/>
  <c r="G46" i="115" s="1"/>
  <c r="J44" i="115" s="1"/>
  <c r="G43" i="46"/>
  <c r="G44" i="46" s="1"/>
  <c r="H44" i="46" s="1"/>
  <c r="I44" i="46" s="1"/>
  <c r="G50" i="115"/>
  <c r="H50" i="115" s="1"/>
  <c r="I50" i="115" s="1"/>
  <c r="H47" i="59"/>
  <c r="I47" i="59" s="1"/>
  <c r="H33" i="70"/>
  <c r="I33" i="70" s="1"/>
  <c r="H42" i="117"/>
  <c r="I42" i="117" s="1"/>
  <c r="G36" i="64"/>
  <c r="H36" i="64" s="1"/>
  <c r="I36" i="64" s="1"/>
  <c r="H48" i="61"/>
  <c r="I48" i="61" s="1"/>
  <c r="H42" i="52"/>
  <c r="I42" i="52" s="1"/>
  <c r="D37" i="63"/>
  <c r="E32" i="7" s="1"/>
  <c r="H42" i="116"/>
  <c r="I42" i="116" s="1"/>
  <c r="H42" i="112"/>
  <c r="I42" i="112" s="1"/>
  <c r="G48" i="48"/>
  <c r="G49" i="48" s="1"/>
  <c r="G51" i="48" s="1"/>
  <c r="K19" i="48" s="1"/>
  <c r="F37" i="7"/>
  <c r="G43" i="112"/>
  <c r="G44" i="112" s="1"/>
  <c r="H44" i="112" s="1"/>
  <c r="I44" i="112" s="1"/>
  <c r="G45" i="46"/>
  <c r="H33" i="25"/>
  <c r="I33" i="25" s="1"/>
  <c r="D51" i="53"/>
  <c r="E13" i="7" s="1"/>
  <c r="H35" i="25"/>
  <c r="I35" i="25" s="1"/>
  <c r="D46" i="53"/>
  <c r="H50" i="58"/>
  <c r="I50" i="58" s="1"/>
  <c r="H45" i="59"/>
  <c r="I45" i="59" s="1"/>
  <c r="D51" i="54"/>
  <c r="E14" i="7" s="1"/>
  <c r="G36" i="25"/>
  <c r="H36" i="25" s="1"/>
  <c r="I36" i="25" s="1"/>
  <c r="G51" i="62"/>
  <c r="K16" i="62" s="1"/>
  <c r="G48" i="115"/>
  <c r="G49" i="115" s="1"/>
  <c r="G34" i="66"/>
  <c r="G35" i="66" s="1"/>
  <c r="G37" i="66" s="1"/>
  <c r="J35" i="66" s="1"/>
  <c r="H47" i="116"/>
  <c r="I47" i="116" s="1"/>
  <c r="H33" i="66"/>
  <c r="I33" i="66" s="1"/>
  <c r="G51" i="4"/>
  <c r="K35" i="4" s="1"/>
  <c r="D34" i="66"/>
  <c r="D35" i="66" s="1"/>
  <c r="G45" i="117"/>
  <c r="H48" i="117"/>
  <c r="I48" i="117" s="1"/>
  <c r="G43" i="117"/>
  <c r="G44" i="117" s="1"/>
  <c r="H34" i="67"/>
  <c r="I34" i="67" s="1"/>
  <c r="J35" i="59"/>
  <c r="G48" i="116"/>
  <c r="G49" i="116" s="1"/>
  <c r="G51" i="116" s="1"/>
  <c r="K49" i="116" s="1"/>
  <c r="H48" i="4"/>
  <c r="I48" i="4" s="1"/>
  <c r="G49" i="59"/>
  <c r="H49" i="59" s="1"/>
  <c r="I49" i="59" s="1"/>
  <c r="G51" i="58"/>
  <c r="K34" i="58" s="1"/>
  <c r="H50" i="48"/>
  <c r="I50" i="48" s="1"/>
  <c r="H47" i="48"/>
  <c r="I47" i="48" s="1"/>
  <c r="D37" i="70"/>
  <c r="E39" i="7" s="1"/>
  <c r="G50" i="59"/>
  <c r="H50" i="59" s="1"/>
  <c r="I50" i="59" s="1"/>
  <c r="H42" i="49"/>
  <c r="I42" i="49" s="1"/>
  <c r="G46" i="58"/>
  <c r="J44" i="58" s="1"/>
  <c r="G45" i="56"/>
  <c r="H45" i="56" s="1"/>
  <c r="I45" i="56" s="1"/>
  <c r="D37" i="67"/>
  <c r="E36" i="7" s="1"/>
  <c r="G45" i="49"/>
  <c r="H45" i="49" s="1"/>
  <c r="I45" i="49" s="1"/>
  <c r="G43" i="56"/>
  <c r="G44" i="56" s="1"/>
  <c r="H34" i="25"/>
  <c r="I34" i="25" s="1"/>
  <c r="D37" i="25"/>
  <c r="E31" i="7" s="1"/>
  <c r="K34" i="61"/>
  <c r="H43" i="51"/>
  <c r="I43" i="51" s="1"/>
  <c r="H49" i="50"/>
  <c r="I49" i="50" s="1"/>
  <c r="D51" i="58"/>
  <c r="E18" i="7" s="1"/>
  <c r="G49" i="49"/>
  <c r="G34" i="68"/>
  <c r="G35" i="68" s="1"/>
  <c r="H48" i="60"/>
  <c r="I48" i="60" s="1"/>
  <c r="G51" i="57"/>
  <c r="K34" i="57" s="1"/>
  <c r="D46" i="46"/>
  <c r="D38" i="71"/>
  <c r="E26" i="7" s="1"/>
  <c r="D36" i="65"/>
  <c r="D34" i="65"/>
  <c r="H33" i="68"/>
  <c r="I33" i="68" s="1"/>
  <c r="D46" i="4"/>
  <c r="H44" i="4"/>
  <c r="I44" i="4" s="1"/>
  <c r="D51" i="116"/>
  <c r="E23" i="7" s="1"/>
  <c r="G26" i="63"/>
  <c r="H26" i="63" s="1"/>
  <c r="I26" i="63" s="1"/>
  <c r="G33" i="63"/>
  <c r="H22" i="63"/>
  <c r="I22" i="63" s="1"/>
  <c r="K34" i="54"/>
  <c r="G51" i="50"/>
  <c r="K34" i="50" s="1"/>
  <c r="G48" i="51"/>
  <c r="G49" i="51" s="1"/>
  <c r="G50" i="51"/>
  <c r="H50" i="51" s="1"/>
  <c r="I50" i="51" s="1"/>
  <c r="H43" i="4"/>
  <c r="I43" i="4" s="1"/>
  <c r="K50" i="54"/>
  <c r="H34" i="50"/>
  <c r="I34" i="50" s="1"/>
  <c r="H48" i="50"/>
  <c r="I48" i="50" s="1"/>
  <c r="H49" i="57"/>
  <c r="I49" i="57" s="1"/>
  <c r="H47" i="51"/>
  <c r="I47" i="51" s="1"/>
  <c r="D44" i="51"/>
  <c r="H44" i="51" s="1"/>
  <c r="I44" i="51" s="1"/>
  <c r="D46" i="113"/>
  <c r="K48" i="61"/>
  <c r="K35" i="61"/>
  <c r="D46" i="48"/>
  <c r="K49" i="61"/>
  <c r="G34" i="56"/>
  <c r="H34" i="56" s="1"/>
  <c r="I34" i="56" s="1"/>
  <c r="H29" i="56"/>
  <c r="I29" i="56" s="1"/>
  <c r="G50" i="56"/>
  <c r="H50" i="56" s="1"/>
  <c r="I50" i="56" s="1"/>
  <c r="H47" i="56"/>
  <c r="I47" i="56" s="1"/>
  <c r="G48" i="56"/>
  <c r="H48" i="56" s="1"/>
  <c r="I48" i="56" s="1"/>
  <c r="H48" i="57"/>
  <c r="I48" i="57" s="1"/>
  <c r="J45" i="59"/>
  <c r="D37" i="64"/>
  <c r="E33" i="7" s="1"/>
  <c r="G49" i="60"/>
  <c r="F16" i="7"/>
  <c r="I25" i="56"/>
  <c r="G16" i="7" s="1"/>
  <c r="G35" i="56"/>
  <c r="H30" i="56"/>
  <c r="I30" i="56" s="1"/>
  <c r="G51" i="47"/>
  <c r="K48" i="47" s="1"/>
  <c r="H49" i="47"/>
  <c r="I49" i="47" s="1"/>
  <c r="G51" i="117"/>
  <c r="K49" i="117" s="1"/>
  <c r="J43" i="59"/>
  <c r="G33" i="69"/>
  <c r="H22" i="69"/>
  <c r="I22" i="69" s="1"/>
  <c r="G26" i="69"/>
  <c r="H26" i="69" s="1"/>
  <c r="I26" i="69" s="1"/>
  <c r="G43" i="53"/>
  <c r="H43" i="53" s="1"/>
  <c r="I43" i="53" s="1"/>
  <c r="G45" i="53"/>
  <c r="H45" i="53" s="1"/>
  <c r="I45" i="53" s="1"/>
  <c r="G51" i="113"/>
  <c r="K49" i="113" s="1"/>
  <c r="D46" i="115"/>
  <c r="H42" i="53"/>
  <c r="I42" i="53" s="1"/>
  <c r="G46" i="54"/>
  <c r="J45" i="54" s="1"/>
  <c r="D49" i="51"/>
  <c r="D51" i="51" s="1"/>
  <c r="E10" i="7" s="1"/>
  <c r="H48" i="58"/>
  <c r="I48" i="58" s="1"/>
  <c r="H50" i="117"/>
  <c r="I50" i="117" s="1"/>
  <c r="K49" i="54"/>
  <c r="F38" i="7"/>
  <c r="I20" i="69"/>
  <c r="G38" i="7" s="1"/>
  <c r="H48" i="112"/>
  <c r="I48" i="112" s="1"/>
  <c r="G49" i="46"/>
  <c r="H49" i="46" s="1"/>
  <c r="I49" i="46" s="1"/>
  <c r="H47" i="53"/>
  <c r="I47" i="53" s="1"/>
  <c r="G50" i="53"/>
  <c r="H50" i="53" s="1"/>
  <c r="I50" i="53" s="1"/>
  <c r="G48" i="53"/>
  <c r="H50" i="113"/>
  <c r="I50" i="113" s="1"/>
  <c r="J34" i="59"/>
  <c r="G48" i="114"/>
  <c r="G50" i="114"/>
  <c r="H50" i="114" s="1"/>
  <c r="I50" i="114" s="1"/>
  <c r="H47" i="114"/>
  <c r="I47" i="114" s="1"/>
  <c r="H48" i="52"/>
  <c r="I48" i="52" s="1"/>
  <c r="H48" i="47"/>
  <c r="I48" i="47" s="1"/>
  <c r="G45" i="114"/>
  <c r="G43" i="114"/>
  <c r="H42" i="114"/>
  <c r="I42" i="114" s="1"/>
  <c r="G49" i="112"/>
  <c r="H49" i="112" s="1"/>
  <c r="I49" i="112" s="1"/>
  <c r="H34" i="115"/>
  <c r="I34" i="115" s="1"/>
  <c r="D51" i="52"/>
  <c r="E11" i="7" s="1"/>
  <c r="H49" i="52"/>
  <c r="I49" i="52" s="1"/>
  <c r="H35" i="80"/>
  <c r="I35" i="80" s="1"/>
  <c r="H36" i="68"/>
  <c r="I36" i="68" s="1"/>
  <c r="J33" i="4"/>
  <c r="J46" i="51"/>
  <c r="J41" i="51"/>
  <c r="J20" i="51"/>
  <c r="J39" i="51"/>
  <c r="J18" i="51"/>
  <c r="J22" i="51"/>
  <c r="J12" i="51"/>
  <c r="J21" i="51"/>
  <c r="J26" i="51"/>
  <c r="J23" i="51"/>
  <c r="J24" i="51"/>
  <c r="J19" i="51"/>
  <c r="J13" i="51"/>
  <c r="J28" i="51"/>
  <c r="J27" i="51"/>
  <c r="J37" i="51"/>
  <c r="J38" i="51"/>
  <c r="J36" i="51"/>
  <c r="J32" i="51"/>
  <c r="J25" i="51"/>
  <c r="J14" i="51"/>
  <c r="J31" i="51"/>
  <c r="J42" i="51"/>
  <c r="J29" i="51"/>
  <c r="J40" i="51"/>
  <c r="J33" i="51"/>
  <c r="J30" i="51"/>
  <c r="H45" i="61"/>
  <c r="I45" i="61" s="1"/>
  <c r="H43" i="48"/>
  <c r="I43" i="48" s="1"/>
  <c r="H43" i="47"/>
  <c r="I43" i="47" s="1"/>
  <c r="G36" i="80"/>
  <c r="J35" i="80" s="1"/>
  <c r="H34" i="80"/>
  <c r="I34" i="80" s="1"/>
  <c r="H43" i="113"/>
  <c r="I43" i="113" s="1"/>
  <c r="D46" i="116"/>
  <c r="H33" i="81"/>
  <c r="I33" i="81" s="1"/>
  <c r="J34" i="51"/>
  <c r="H45" i="116"/>
  <c r="I45" i="116" s="1"/>
  <c r="H33" i="79"/>
  <c r="I33" i="79" s="1"/>
  <c r="H49" i="58"/>
  <c r="I49" i="58" s="1"/>
  <c r="K35" i="54"/>
  <c r="G46" i="113"/>
  <c r="J43" i="113" s="1"/>
  <c r="H44" i="113"/>
  <c r="I44" i="113" s="1"/>
  <c r="D44" i="58"/>
  <c r="J43" i="51"/>
  <c r="H44" i="62"/>
  <c r="I44" i="62" s="1"/>
  <c r="G46" i="62"/>
  <c r="J44" i="62" s="1"/>
  <c r="H45" i="62"/>
  <c r="I45" i="62" s="1"/>
  <c r="H43" i="49"/>
  <c r="I43" i="49" s="1"/>
  <c r="H34" i="70"/>
  <c r="I34" i="70" s="1"/>
  <c r="G46" i="61"/>
  <c r="J45" i="61" s="1"/>
  <c r="H44" i="61"/>
  <c r="I44" i="61" s="1"/>
  <c r="H44" i="48"/>
  <c r="I44" i="48" s="1"/>
  <c r="H46" i="59"/>
  <c r="I46" i="59" s="1"/>
  <c r="J39" i="59"/>
  <c r="J20" i="59"/>
  <c r="J18" i="59"/>
  <c r="J41" i="59"/>
  <c r="J21" i="59"/>
  <c r="J46" i="59"/>
  <c r="J26" i="59"/>
  <c r="J24" i="59"/>
  <c r="J22" i="59"/>
  <c r="J12" i="59"/>
  <c r="J13" i="59"/>
  <c r="J23" i="59"/>
  <c r="J37" i="59"/>
  <c r="J19" i="59"/>
  <c r="J28" i="59"/>
  <c r="J38" i="59"/>
  <c r="J36" i="59"/>
  <c r="J25" i="59"/>
  <c r="J31" i="59"/>
  <c r="J40" i="59"/>
  <c r="J32" i="59"/>
  <c r="J14" i="59"/>
  <c r="J27" i="59"/>
  <c r="J33" i="59"/>
  <c r="J29" i="59"/>
  <c r="J30" i="59"/>
  <c r="J42" i="59"/>
  <c r="H44" i="47"/>
  <c r="I44" i="47" s="1"/>
  <c r="H45" i="57"/>
  <c r="I45" i="57" s="1"/>
  <c r="H51" i="61"/>
  <c r="K41" i="61"/>
  <c r="K17" i="61"/>
  <c r="K16" i="61"/>
  <c r="K15" i="61"/>
  <c r="K20" i="61"/>
  <c r="K18" i="61"/>
  <c r="K22" i="61"/>
  <c r="K51" i="61"/>
  <c r="K39" i="61"/>
  <c r="K21" i="61"/>
  <c r="K24" i="61"/>
  <c r="K26" i="61"/>
  <c r="K37" i="61"/>
  <c r="K32" i="61"/>
  <c r="K38" i="61"/>
  <c r="K36" i="61"/>
  <c r="K23" i="61"/>
  <c r="K19" i="61"/>
  <c r="K31" i="61"/>
  <c r="K25" i="61"/>
  <c r="K27" i="61"/>
  <c r="K40" i="61"/>
  <c r="K28" i="61"/>
  <c r="K33" i="61"/>
  <c r="K47" i="61"/>
  <c r="K29" i="61"/>
  <c r="K30" i="61"/>
  <c r="H45" i="113"/>
  <c r="I45" i="113" s="1"/>
  <c r="H44" i="49"/>
  <c r="I44" i="49" s="1"/>
  <c r="D51" i="46"/>
  <c r="H43" i="50"/>
  <c r="I43" i="50" s="1"/>
  <c r="H45" i="115"/>
  <c r="I45" i="115" s="1"/>
  <c r="H44" i="57"/>
  <c r="I44" i="57" s="1"/>
  <c r="G46" i="57"/>
  <c r="J43" i="57" s="1"/>
  <c r="D46" i="62"/>
  <c r="J44" i="51"/>
  <c r="H43" i="61"/>
  <c r="I43" i="61" s="1"/>
  <c r="H36" i="66"/>
  <c r="I36" i="66" s="1"/>
  <c r="K51" i="54"/>
  <c r="K18" i="54"/>
  <c r="K39" i="54"/>
  <c r="K41" i="54"/>
  <c r="K20" i="54"/>
  <c r="K17" i="54"/>
  <c r="K15" i="54"/>
  <c r="K21" i="54"/>
  <c r="K16" i="54"/>
  <c r="K22" i="54"/>
  <c r="K26" i="54"/>
  <c r="K31" i="54"/>
  <c r="K23" i="54"/>
  <c r="K19" i="54"/>
  <c r="K36" i="54"/>
  <c r="K24" i="54"/>
  <c r="K28" i="54"/>
  <c r="K25" i="54"/>
  <c r="K32" i="54"/>
  <c r="K27" i="54"/>
  <c r="K33" i="54"/>
  <c r="K38" i="54"/>
  <c r="K37" i="54"/>
  <c r="K47" i="54"/>
  <c r="K40" i="54"/>
  <c r="K30" i="54"/>
  <c r="K29" i="54"/>
  <c r="H43" i="57"/>
  <c r="I43" i="57" s="1"/>
  <c r="H33" i="80"/>
  <c r="I33" i="80" s="1"/>
  <c r="H43" i="62"/>
  <c r="I43" i="62" s="1"/>
  <c r="J35" i="51"/>
  <c r="J32" i="65"/>
  <c r="J18" i="65"/>
  <c r="J16" i="65"/>
  <c r="J15" i="65"/>
  <c r="J29" i="65"/>
  <c r="J12" i="65"/>
  <c r="J27" i="65"/>
  <c r="J23" i="65"/>
  <c r="J28" i="65"/>
  <c r="J33" i="65"/>
  <c r="J31" i="65"/>
  <c r="H35" i="70"/>
  <c r="I35" i="70" s="1"/>
  <c r="J45" i="51"/>
  <c r="H35" i="81"/>
  <c r="I35" i="81" s="1"/>
  <c r="G34" i="81"/>
  <c r="H45" i="112"/>
  <c r="I45" i="112" s="1"/>
  <c r="D51" i="112"/>
  <c r="H35" i="79"/>
  <c r="I35" i="79" s="1"/>
  <c r="G34" i="79"/>
  <c r="H44" i="50"/>
  <c r="I44" i="50" s="1"/>
  <c r="D49" i="117"/>
  <c r="K50" i="61"/>
  <c r="H45" i="48" l="1"/>
  <c r="I45" i="48" s="1"/>
  <c r="K26" i="62"/>
  <c r="H36" i="65"/>
  <c r="I36" i="65" s="1"/>
  <c r="G46" i="60"/>
  <c r="J46" i="60" s="1"/>
  <c r="K40" i="62"/>
  <c r="K18" i="62"/>
  <c r="H48" i="113"/>
  <c r="I48" i="113" s="1"/>
  <c r="H49" i="113"/>
  <c r="I49" i="113" s="1"/>
  <c r="J36" i="65"/>
  <c r="J22" i="65"/>
  <c r="J14" i="65"/>
  <c r="J24" i="65"/>
  <c r="J13" i="65"/>
  <c r="J30" i="65"/>
  <c r="H44" i="117"/>
  <c r="I44" i="117" s="1"/>
  <c r="J25" i="65"/>
  <c r="J19" i="65"/>
  <c r="J20" i="65"/>
  <c r="J17" i="65"/>
  <c r="J21" i="65"/>
  <c r="J37" i="65"/>
  <c r="J43" i="4"/>
  <c r="J34" i="65"/>
  <c r="J35" i="65"/>
  <c r="J33" i="52"/>
  <c r="H36" i="67"/>
  <c r="I36" i="67" s="1"/>
  <c r="K29" i="62"/>
  <c r="K51" i="62"/>
  <c r="K50" i="52"/>
  <c r="K49" i="62"/>
  <c r="K39" i="62"/>
  <c r="K24" i="52"/>
  <c r="J14" i="52"/>
  <c r="K19" i="52"/>
  <c r="K48" i="52"/>
  <c r="J31" i="54"/>
  <c r="J28" i="52"/>
  <c r="K23" i="52"/>
  <c r="K30" i="52"/>
  <c r="J32" i="4"/>
  <c r="J43" i="52"/>
  <c r="K31" i="62"/>
  <c r="K27" i="52"/>
  <c r="J34" i="4"/>
  <c r="K15" i="52"/>
  <c r="K16" i="52"/>
  <c r="H46" i="4"/>
  <c r="I46" i="4" s="1"/>
  <c r="K34" i="52"/>
  <c r="J40" i="4"/>
  <c r="K39" i="52"/>
  <c r="J22" i="52"/>
  <c r="K28" i="52"/>
  <c r="J24" i="4"/>
  <c r="J18" i="52"/>
  <c r="K25" i="52"/>
  <c r="J31" i="4"/>
  <c r="K36" i="62"/>
  <c r="K36" i="52"/>
  <c r="K17" i="52"/>
  <c r="J20" i="4"/>
  <c r="G46" i="112"/>
  <c r="J45" i="112" s="1"/>
  <c r="J29" i="4"/>
  <c r="J35" i="4"/>
  <c r="H45" i="47"/>
  <c r="I45" i="47" s="1"/>
  <c r="J44" i="4"/>
  <c r="H45" i="60"/>
  <c r="I45" i="60" s="1"/>
  <c r="K47" i="52"/>
  <c r="K22" i="52"/>
  <c r="K20" i="52"/>
  <c r="J13" i="4"/>
  <c r="H50" i="52"/>
  <c r="I50" i="52" s="1"/>
  <c r="G37" i="64"/>
  <c r="J35" i="64" s="1"/>
  <c r="H34" i="64"/>
  <c r="I34" i="64" s="1"/>
  <c r="K18" i="4"/>
  <c r="J34" i="52"/>
  <c r="K24" i="62"/>
  <c r="J42" i="52"/>
  <c r="H43" i="116"/>
  <c r="I43" i="116" s="1"/>
  <c r="K33" i="52"/>
  <c r="K32" i="52"/>
  <c r="K41" i="52"/>
  <c r="J28" i="4"/>
  <c r="J41" i="4"/>
  <c r="K49" i="52"/>
  <c r="K35" i="52"/>
  <c r="K40" i="52"/>
  <c r="K38" i="52"/>
  <c r="K26" i="52"/>
  <c r="K18" i="52"/>
  <c r="J36" i="4"/>
  <c r="J22" i="4"/>
  <c r="J31" i="58"/>
  <c r="J45" i="4"/>
  <c r="H44" i="116"/>
  <c r="I44" i="116" s="1"/>
  <c r="K37" i="52"/>
  <c r="K21" i="52"/>
  <c r="K51" i="52"/>
  <c r="J23" i="4"/>
  <c r="J26" i="4"/>
  <c r="J13" i="58"/>
  <c r="J12" i="4"/>
  <c r="K29" i="52"/>
  <c r="J25" i="4"/>
  <c r="H46" i="52"/>
  <c r="I46" i="52" s="1"/>
  <c r="K20" i="62"/>
  <c r="H43" i="60"/>
  <c r="I43" i="60" s="1"/>
  <c r="H51" i="62"/>
  <c r="H24" i="7" s="1"/>
  <c r="J12" i="67"/>
  <c r="J40" i="52"/>
  <c r="J31" i="52"/>
  <c r="J26" i="52"/>
  <c r="H45" i="50"/>
  <c r="I45" i="50" s="1"/>
  <c r="K30" i="62"/>
  <c r="K37" i="62"/>
  <c r="K15" i="62"/>
  <c r="J16" i="67"/>
  <c r="J29" i="52"/>
  <c r="J32" i="52"/>
  <c r="J13" i="52"/>
  <c r="H43" i="52"/>
  <c r="I43" i="52" s="1"/>
  <c r="K47" i="62"/>
  <c r="K27" i="62"/>
  <c r="K17" i="62"/>
  <c r="J44" i="52"/>
  <c r="J30" i="52"/>
  <c r="J37" i="52"/>
  <c r="J21" i="52"/>
  <c r="H44" i="52"/>
  <c r="I44" i="52" s="1"/>
  <c r="G51" i="115"/>
  <c r="K49" i="115" s="1"/>
  <c r="K38" i="62"/>
  <c r="J23" i="52"/>
  <c r="K48" i="62"/>
  <c r="J28" i="67"/>
  <c r="J27" i="52"/>
  <c r="J19" i="52"/>
  <c r="J41" i="52"/>
  <c r="J22" i="67"/>
  <c r="J12" i="52"/>
  <c r="K22" i="62"/>
  <c r="J38" i="52"/>
  <c r="K33" i="62"/>
  <c r="K34" i="62"/>
  <c r="K32" i="62"/>
  <c r="J46" i="52"/>
  <c r="K50" i="62"/>
  <c r="J25" i="52"/>
  <c r="J23" i="67"/>
  <c r="J20" i="52"/>
  <c r="K21" i="62"/>
  <c r="J46" i="58"/>
  <c r="H43" i="46"/>
  <c r="I43" i="46" s="1"/>
  <c r="H51" i="54"/>
  <c r="I51" i="54" s="1"/>
  <c r="I14" i="7" s="1"/>
  <c r="H36" i="70"/>
  <c r="I36" i="70" s="1"/>
  <c r="J27" i="4"/>
  <c r="K25" i="4"/>
  <c r="H44" i="115"/>
  <c r="I44" i="115" s="1"/>
  <c r="J42" i="4"/>
  <c r="J38" i="4"/>
  <c r="J19" i="4"/>
  <c r="J18" i="4"/>
  <c r="K22" i="48"/>
  <c r="K21" i="4"/>
  <c r="H43" i="117"/>
  <c r="I43" i="117" s="1"/>
  <c r="K22" i="57"/>
  <c r="J31" i="67"/>
  <c r="H43" i="112"/>
  <c r="I43" i="112" s="1"/>
  <c r="J36" i="52"/>
  <c r="J24" i="52"/>
  <c r="J39" i="52"/>
  <c r="J30" i="4"/>
  <c r="J37" i="4"/>
  <c r="J21" i="4"/>
  <c r="J39" i="4"/>
  <c r="J35" i="52"/>
  <c r="K24" i="48"/>
  <c r="H35" i="66"/>
  <c r="I35" i="66" s="1"/>
  <c r="J18" i="58"/>
  <c r="J14" i="4"/>
  <c r="K47" i="4"/>
  <c r="J20" i="54"/>
  <c r="H43" i="115"/>
  <c r="I43" i="115" s="1"/>
  <c r="K28" i="57"/>
  <c r="J36" i="67"/>
  <c r="G46" i="117"/>
  <c r="J44" i="117" s="1"/>
  <c r="H45" i="117"/>
  <c r="I45" i="117" s="1"/>
  <c r="K48" i="50"/>
  <c r="K49" i="48"/>
  <c r="K15" i="48"/>
  <c r="J35" i="67"/>
  <c r="J33" i="67"/>
  <c r="J14" i="67"/>
  <c r="J30" i="67"/>
  <c r="K40" i="48"/>
  <c r="K31" i="48"/>
  <c r="K24" i="4"/>
  <c r="J24" i="67"/>
  <c r="J18" i="67"/>
  <c r="J32" i="67"/>
  <c r="K48" i="48"/>
  <c r="K25" i="48"/>
  <c r="K26" i="4"/>
  <c r="K32" i="58"/>
  <c r="J29" i="67"/>
  <c r="J21" i="67"/>
  <c r="J37" i="67"/>
  <c r="H51" i="48"/>
  <c r="I51" i="48" s="1"/>
  <c r="I6" i="7" s="1"/>
  <c r="K38" i="48"/>
  <c r="J34" i="67"/>
  <c r="G46" i="46"/>
  <c r="J44" i="46" s="1"/>
  <c r="J17" i="67"/>
  <c r="H37" i="67"/>
  <c r="I37" i="67" s="1"/>
  <c r="I36" i="7" s="1"/>
  <c r="K17" i="48"/>
  <c r="K21" i="48"/>
  <c r="J26" i="67"/>
  <c r="K33" i="48"/>
  <c r="J19" i="67"/>
  <c r="J20" i="67"/>
  <c r="J15" i="67"/>
  <c r="J25" i="67"/>
  <c r="J27" i="67"/>
  <c r="K30" i="48"/>
  <c r="K47" i="48"/>
  <c r="K22" i="58"/>
  <c r="K26" i="58"/>
  <c r="K48" i="4"/>
  <c r="K18" i="48"/>
  <c r="K26" i="48"/>
  <c r="K20" i="48"/>
  <c r="K39" i="48"/>
  <c r="H51" i="4"/>
  <c r="I51" i="4" s="1"/>
  <c r="I2" i="7" s="1"/>
  <c r="J35" i="70"/>
  <c r="J26" i="54"/>
  <c r="K25" i="62"/>
  <c r="K19" i="62"/>
  <c r="K41" i="62"/>
  <c r="K51" i="58"/>
  <c r="J42" i="58"/>
  <c r="K16" i="48"/>
  <c r="K51" i="48"/>
  <c r="K41" i="48"/>
  <c r="K35" i="62"/>
  <c r="K18" i="58"/>
  <c r="K40" i="4"/>
  <c r="K28" i="62"/>
  <c r="K23" i="62"/>
  <c r="K31" i="58"/>
  <c r="J32" i="58"/>
  <c r="H45" i="46"/>
  <c r="I45" i="46" s="1"/>
  <c r="K48" i="58"/>
  <c r="H48" i="48"/>
  <c r="I48" i="48" s="1"/>
  <c r="K34" i="48"/>
  <c r="K50" i="48"/>
  <c r="K37" i="48"/>
  <c r="K40" i="58"/>
  <c r="J43" i="62"/>
  <c r="K25" i="58"/>
  <c r="K27" i="48"/>
  <c r="K35" i="48"/>
  <c r="K29" i="48"/>
  <c r="K36" i="48"/>
  <c r="H49" i="48"/>
  <c r="I49" i="48" s="1"/>
  <c r="K38" i="58"/>
  <c r="H48" i="115"/>
  <c r="I48" i="115" s="1"/>
  <c r="K32" i="48"/>
  <c r="K28" i="48"/>
  <c r="K23" i="48"/>
  <c r="G37" i="25"/>
  <c r="K32" i="116"/>
  <c r="H48" i="116"/>
  <c r="I48" i="116" s="1"/>
  <c r="K24" i="116"/>
  <c r="K17" i="116"/>
  <c r="K48" i="116"/>
  <c r="K50" i="116"/>
  <c r="K41" i="116"/>
  <c r="K36" i="4"/>
  <c r="K33" i="116"/>
  <c r="K26" i="116"/>
  <c r="K18" i="116"/>
  <c r="J12" i="58"/>
  <c r="K50" i="4"/>
  <c r="J28" i="58"/>
  <c r="K31" i="4"/>
  <c r="K28" i="4"/>
  <c r="K37" i="4"/>
  <c r="K47" i="116"/>
  <c r="K38" i="116"/>
  <c r="J29" i="58"/>
  <c r="J37" i="58"/>
  <c r="K35" i="116"/>
  <c r="K32" i="4"/>
  <c r="K19" i="4"/>
  <c r="K15" i="4"/>
  <c r="K37" i="116"/>
  <c r="K31" i="116"/>
  <c r="K15" i="116"/>
  <c r="J30" i="58"/>
  <c r="J23" i="58"/>
  <c r="J21" i="58"/>
  <c r="D37" i="66"/>
  <c r="E35" i="7" s="1"/>
  <c r="H51" i="52"/>
  <c r="H11" i="7" s="1"/>
  <c r="K34" i="116"/>
  <c r="K29" i="4"/>
  <c r="K27" i="4"/>
  <c r="K22" i="4"/>
  <c r="K41" i="4"/>
  <c r="K33" i="58"/>
  <c r="H51" i="58"/>
  <c r="I51" i="58" s="1"/>
  <c r="I18" i="7" s="1"/>
  <c r="K17" i="57"/>
  <c r="K27" i="116"/>
  <c r="K23" i="116"/>
  <c r="K16" i="116"/>
  <c r="J40" i="58"/>
  <c r="J25" i="58"/>
  <c r="J41" i="58"/>
  <c r="K20" i="4"/>
  <c r="J20" i="58"/>
  <c r="K30" i="116"/>
  <c r="K25" i="116"/>
  <c r="K22" i="116"/>
  <c r="J24" i="58"/>
  <c r="J39" i="58"/>
  <c r="K49" i="4"/>
  <c r="H34" i="66"/>
  <c r="I34" i="66" s="1"/>
  <c r="K19" i="116"/>
  <c r="K33" i="4"/>
  <c r="K30" i="4"/>
  <c r="K16" i="4"/>
  <c r="K51" i="116"/>
  <c r="K38" i="4"/>
  <c r="K17" i="4"/>
  <c r="K40" i="116"/>
  <c r="K36" i="116"/>
  <c r="K39" i="116"/>
  <c r="K20" i="116"/>
  <c r="J33" i="58"/>
  <c r="J36" i="58"/>
  <c r="J19" i="58"/>
  <c r="K34" i="4"/>
  <c r="H49" i="116"/>
  <c r="I49" i="116" s="1"/>
  <c r="K28" i="116"/>
  <c r="K51" i="4"/>
  <c r="K29" i="116"/>
  <c r="J14" i="58"/>
  <c r="K23" i="4"/>
  <c r="K39" i="4"/>
  <c r="K21" i="116"/>
  <c r="J22" i="58"/>
  <c r="J35" i="58"/>
  <c r="H44" i="56"/>
  <c r="I44" i="56" s="1"/>
  <c r="G46" i="56"/>
  <c r="J20" i="56" s="1"/>
  <c r="K38" i="57"/>
  <c r="K27" i="57"/>
  <c r="K21" i="57"/>
  <c r="K27" i="58"/>
  <c r="K19" i="58"/>
  <c r="K21" i="58"/>
  <c r="K36" i="57"/>
  <c r="K31" i="57"/>
  <c r="K15" i="57"/>
  <c r="K48" i="57"/>
  <c r="K49" i="58"/>
  <c r="J44" i="116"/>
  <c r="K49" i="57"/>
  <c r="K28" i="58"/>
  <c r="K24" i="58"/>
  <c r="K41" i="58"/>
  <c r="K33" i="57"/>
  <c r="K19" i="57"/>
  <c r="K16" i="57"/>
  <c r="H43" i="56"/>
  <c r="I43" i="56" s="1"/>
  <c r="J38" i="58"/>
  <c r="J27" i="58"/>
  <c r="J26" i="58"/>
  <c r="K50" i="57"/>
  <c r="K35" i="58"/>
  <c r="K32" i="57"/>
  <c r="K29" i="58"/>
  <c r="K36" i="58"/>
  <c r="K15" i="58"/>
  <c r="K20" i="58"/>
  <c r="K47" i="57"/>
  <c r="K37" i="57"/>
  <c r="K26" i="57"/>
  <c r="K20" i="57"/>
  <c r="K29" i="57"/>
  <c r="K18" i="57"/>
  <c r="K30" i="58"/>
  <c r="K37" i="58"/>
  <c r="K16" i="58"/>
  <c r="K39" i="58"/>
  <c r="K30" i="57"/>
  <c r="K25" i="57"/>
  <c r="K41" i="57"/>
  <c r="K39" i="57"/>
  <c r="G51" i="59"/>
  <c r="K24" i="57"/>
  <c r="K47" i="58"/>
  <c r="K23" i="58"/>
  <c r="K17" i="58"/>
  <c r="K40" i="57"/>
  <c r="K23" i="57"/>
  <c r="H51" i="57"/>
  <c r="I51" i="57" s="1"/>
  <c r="I17" i="7" s="1"/>
  <c r="K51" i="57"/>
  <c r="K35" i="57"/>
  <c r="K50" i="58"/>
  <c r="J45" i="58"/>
  <c r="J34" i="58"/>
  <c r="J43" i="58"/>
  <c r="G46" i="49"/>
  <c r="J43" i="49" s="1"/>
  <c r="G44" i="53"/>
  <c r="H44" i="53" s="1"/>
  <c r="I44" i="53" s="1"/>
  <c r="J29" i="54"/>
  <c r="J38" i="54"/>
  <c r="H35" i="68"/>
  <c r="I35" i="68" s="1"/>
  <c r="G37" i="68"/>
  <c r="J13" i="68" s="1"/>
  <c r="D46" i="51"/>
  <c r="H46" i="51" s="1"/>
  <c r="I46" i="51" s="1"/>
  <c r="K50" i="117"/>
  <c r="H51" i="116"/>
  <c r="H23" i="7" s="1"/>
  <c r="H34" i="68"/>
  <c r="I34" i="68" s="1"/>
  <c r="K48" i="117"/>
  <c r="D35" i="65"/>
  <c r="H34" i="65"/>
  <c r="I34" i="65" s="1"/>
  <c r="H49" i="49"/>
  <c r="I49" i="49" s="1"/>
  <c r="G51" i="49"/>
  <c r="G51" i="51"/>
  <c r="K49" i="51" s="1"/>
  <c r="H48" i="51"/>
  <c r="I48" i="51" s="1"/>
  <c r="J45" i="115"/>
  <c r="K40" i="50"/>
  <c r="K20" i="50"/>
  <c r="K15" i="50"/>
  <c r="K41" i="50"/>
  <c r="K22" i="50"/>
  <c r="K32" i="50"/>
  <c r="K28" i="50"/>
  <c r="K29" i="50"/>
  <c r="K33" i="50"/>
  <c r="K51" i="50"/>
  <c r="H51" i="50"/>
  <c r="K19" i="50"/>
  <c r="K23" i="50"/>
  <c r="K27" i="50"/>
  <c r="K36" i="50"/>
  <c r="K47" i="50"/>
  <c r="K17" i="50"/>
  <c r="K18" i="50"/>
  <c r="K21" i="50"/>
  <c r="K25" i="50"/>
  <c r="K24" i="50"/>
  <c r="K30" i="50"/>
  <c r="K16" i="50"/>
  <c r="K39" i="50"/>
  <c r="K26" i="50"/>
  <c r="K38" i="50"/>
  <c r="K31" i="50"/>
  <c r="K37" i="50"/>
  <c r="K50" i="50"/>
  <c r="K49" i="50"/>
  <c r="J37" i="54"/>
  <c r="J41" i="54"/>
  <c r="J43" i="61"/>
  <c r="J44" i="61"/>
  <c r="K35" i="50"/>
  <c r="H33" i="63"/>
  <c r="I33" i="63" s="1"/>
  <c r="G34" i="63"/>
  <c r="G36" i="63"/>
  <c r="H36" i="63" s="1"/>
  <c r="I36" i="63" s="1"/>
  <c r="J44" i="47"/>
  <c r="J44" i="113"/>
  <c r="J43" i="115"/>
  <c r="K50" i="113"/>
  <c r="H35" i="56"/>
  <c r="I35" i="56" s="1"/>
  <c r="G51" i="60"/>
  <c r="H49" i="60"/>
  <c r="I49" i="60" s="1"/>
  <c r="K48" i="113"/>
  <c r="G49" i="56"/>
  <c r="H48" i="114"/>
  <c r="I48" i="114" s="1"/>
  <c r="J44" i="50"/>
  <c r="J28" i="54"/>
  <c r="J32" i="54"/>
  <c r="J39" i="54"/>
  <c r="H43" i="114"/>
  <c r="I43" i="114" s="1"/>
  <c r="G49" i="114"/>
  <c r="H48" i="53"/>
  <c r="I48" i="53" s="1"/>
  <c r="G51" i="46"/>
  <c r="H51" i="46" s="1"/>
  <c r="G34" i="69"/>
  <c r="G35" i="69" s="1"/>
  <c r="H33" i="69"/>
  <c r="I33" i="69" s="1"/>
  <c r="G36" i="69"/>
  <c r="H36" i="69" s="1"/>
  <c r="I36" i="69" s="1"/>
  <c r="J30" i="54"/>
  <c r="J24" i="54"/>
  <c r="J25" i="54"/>
  <c r="J33" i="54"/>
  <c r="J12" i="54"/>
  <c r="J21" i="54"/>
  <c r="J18" i="54"/>
  <c r="H49" i="51"/>
  <c r="I49" i="51" s="1"/>
  <c r="J45" i="62"/>
  <c r="G51" i="112"/>
  <c r="H51" i="112" s="1"/>
  <c r="H45" i="114"/>
  <c r="I45" i="114" s="1"/>
  <c r="K33" i="47"/>
  <c r="K39" i="47"/>
  <c r="K17" i="47"/>
  <c r="K18" i="47"/>
  <c r="K21" i="47"/>
  <c r="K32" i="47"/>
  <c r="K29" i="47"/>
  <c r="K47" i="47"/>
  <c r="H51" i="47"/>
  <c r="K26" i="47"/>
  <c r="K23" i="47"/>
  <c r="K27" i="47"/>
  <c r="K50" i="47"/>
  <c r="K34" i="47"/>
  <c r="K41" i="47"/>
  <c r="K51" i="47"/>
  <c r="K22" i="47"/>
  <c r="K36" i="47"/>
  <c r="K30" i="47"/>
  <c r="K20" i="47"/>
  <c r="K16" i="47"/>
  <c r="K24" i="47"/>
  <c r="K19" i="47"/>
  <c r="K28" i="47"/>
  <c r="K40" i="47"/>
  <c r="K31" i="47"/>
  <c r="K35" i="47"/>
  <c r="K15" i="47"/>
  <c r="K25" i="47"/>
  <c r="K37" i="47"/>
  <c r="K38" i="47"/>
  <c r="K49" i="47"/>
  <c r="J43" i="50"/>
  <c r="J44" i="54"/>
  <c r="J34" i="54"/>
  <c r="J35" i="54"/>
  <c r="J43" i="54"/>
  <c r="J40" i="54"/>
  <c r="J36" i="54"/>
  <c r="J23" i="54"/>
  <c r="J22" i="54"/>
  <c r="J44" i="57"/>
  <c r="J42" i="54"/>
  <c r="J27" i="54"/>
  <c r="J14" i="54"/>
  <c r="J13" i="54"/>
  <c r="J19" i="54"/>
  <c r="J46" i="54"/>
  <c r="H46" i="54"/>
  <c r="I46" i="54" s="1"/>
  <c r="G44" i="114"/>
  <c r="G49" i="53"/>
  <c r="K40" i="113"/>
  <c r="K34" i="113"/>
  <c r="K35" i="113"/>
  <c r="K16" i="113"/>
  <c r="K20" i="113"/>
  <c r="K19" i="113"/>
  <c r="K31" i="113"/>
  <c r="K33" i="113"/>
  <c r="K27" i="113"/>
  <c r="K51" i="113"/>
  <c r="K29" i="113"/>
  <c r="K18" i="113"/>
  <c r="K30" i="113"/>
  <c r="K38" i="113"/>
  <c r="H51" i="113"/>
  <c r="K15" i="113"/>
  <c r="K22" i="113"/>
  <c r="K26" i="113"/>
  <c r="K23" i="113"/>
  <c r="K37" i="113"/>
  <c r="K28" i="113"/>
  <c r="K41" i="113"/>
  <c r="K39" i="113"/>
  <c r="K21" i="113"/>
  <c r="K32" i="113"/>
  <c r="K36" i="113"/>
  <c r="K17" i="113"/>
  <c r="K24" i="113"/>
  <c r="K25" i="113"/>
  <c r="K47" i="113"/>
  <c r="K40" i="117"/>
  <c r="K35" i="117"/>
  <c r="K34" i="117"/>
  <c r="K17" i="117"/>
  <c r="K20" i="117"/>
  <c r="K19" i="117"/>
  <c r="K23" i="117"/>
  <c r="K38" i="117"/>
  <c r="K31" i="117"/>
  <c r="K33" i="117"/>
  <c r="K15" i="117"/>
  <c r="K21" i="117"/>
  <c r="K22" i="117"/>
  <c r="K28" i="117"/>
  <c r="K36" i="117"/>
  <c r="K47" i="117"/>
  <c r="K16" i="117"/>
  <c r="K39" i="117"/>
  <c r="K26" i="117"/>
  <c r="K24" i="117"/>
  <c r="K30" i="117"/>
  <c r="K29" i="117"/>
  <c r="K32" i="117"/>
  <c r="K51" i="117"/>
  <c r="K41" i="117"/>
  <c r="K18" i="117"/>
  <c r="K25" i="117"/>
  <c r="K37" i="117"/>
  <c r="K27" i="117"/>
  <c r="J39" i="60"/>
  <c r="J18" i="60"/>
  <c r="J26" i="60"/>
  <c r="J24" i="60"/>
  <c r="J29" i="60"/>
  <c r="J32" i="60"/>
  <c r="J14" i="60"/>
  <c r="J34" i="60"/>
  <c r="J37" i="66"/>
  <c r="J30" i="66"/>
  <c r="J32" i="66"/>
  <c r="J16" i="66"/>
  <c r="J27" i="66"/>
  <c r="J13" i="66"/>
  <c r="J12" i="66"/>
  <c r="J15" i="66"/>
  <c r="J18" i="66"/>
  <c r="J24" i="66"/>
  <c r="J21" i="66"/>
  <c r="J23" i="66"/>
  <c r="J20" i="66"/>
  <c r="J19" i="66"/>
  <c r="J28" i="66"/>
  <c r="J17" i="66"/>
  <c r="J31" i="66"/>
  <c r="J29" i="66"/>
  <c r="J14" i="66"/>
  <c r="J22" i="66"/>
  <c r="J25" i="66"/>
  <c r="J33" i="66"/>
  <c r="J26" i="66"/>
  <c r="J36" i="66"/>
  <c r="I51" i="61"/>
  <c r="I22" i="7" s="1"/>
  <c r="H22" i="7"/>
  <c r="H46" i="48"/>
  <c r="I46" i="48" s="1"/>
  <c r="J18" i="48"/>
  <c r="J41" i="48"/>
  <c r="J39" i="48"/>
  <c r="J46" i="48"/>
  <c r="J20" i="48"/>
  <c r="J26" i="48"/>
  <c r="J21" i="48"/>
  <c r="J24" i="48"/>
  <c r="J22" i="48"/>
  <c r="J19" i="48"/>
  <c r="J25" i="48"/>
  <c r="J38" i="48"/>
  <c r="J27" i="48"/>
  <c r="J28" i="48"/>
  <c r="J30" i="48"/>
  <c r="J13" i="48"/>
  <c r="J36" i="48"/>
  <c r="J32" i="48"/>
  <c r="J37" i="48"/>
  <c r="J29" i="48"/>
  <c r="J12" i="48"/>
  <c r="J23" i="48"/>
  <c r="J31" i="48"/>
  <c r="J14" i="48"/>
  <c r="J33" i="48"/>
  <c r="J40" i="48"/>
  <c r="J34" i="48"/>
  <c r="J35" i="48"/>
  <c r="J42" i="48"/>
  <c r="H36" i="80"/>
  <c r="J31" i="80"/>
  <c r="J29" i="80"/>
  <c r="J14" i="80"/>
  <c r="J23" i="80"/>
  <c r="J36" i="80"/>
  <c r="J18" i="80"/>
  <c r="J19" i="80"/>
  <c r="J16" i="80"/>
  <c r="J22" i="80"/>
  <c r="J17" i="80"/>
  <c r="J24" i="80"/>
  <c r="J20" i="80"/>
  <c r="J13" i="80"/>
  <c r="J28" i="80"/>
  <c r="J26" i="80"/>
  <c r="J27" i="80"/>
  <c r="J30" i="80"/>
  <c r="J15" i="80"/>
  <c r="J21" i="80"/>
  <c r="J32" i="80"/>
  <c r="J25" i="80"/>
  <c r="H34" i="79"/>
  <c r="I34" i="79" s="1"/>
  <c r="G36" i="79"/>
  <c r="J46" i="116"/>
  <c r="J41" i="116"/>
  <c r="J20" i="116"/>
  <c r="J18" i="116"/>
  <c r="H46" i="116"/>
  <c r="I46" i="116" s="1"/>
  <c r="J39" i="116"/>
  <c r="J22" i="116"/>
  <c r="J21" i="116"/>
  <c r="J26" i="116"/>
  <c r="J24" i="116"/>
  <c r="J19" i="116"/>
  <c r="J31" i="116"/>
  <c r="J23" i="116"/>
  <c r="J13" i="116"/>
  <c r="J25" i="116"/>
  <c r="J33" i="116"/>
  <c r="J38" i="116"/>
  <c r="J28" i="116"/>
  <c r="J27" i="116"/>
  <c r="J37" i="116"/>
  <c r="J12" i="116"/>
  <c r="J32" i="116"/>
  <c r="J36" i="116"/>
  <c r="J14" i="116"/>
  <c r="J40" i="116"/>
  <c r="J30" i="116"/>
  <c r="J29" i="116"/>
  <c r="J34" i="116"/>
  <c r="J35" i="116"/>
  <c r="J42" i="116"/>
  <c r="J32" i="70"/>
  <c r="J37" i="70"/>
  <c r="J30" i="70"/>
  <c r="H37" i="70"/>
  <c r="J16" i="70"/>
  <c r="J18" i="70"/>
  <c r="J15" i="70"/>
  <c r="J17" i="70"/>
  <c r="J19" i="70"/>
  <c r="J24" i="70"/>
  <c r="J20" i="70"/>
  <c r="J27" i="70"/>
  <c r="J12" i="70"/>
  <c r="J21" i="70"/>
  <c r="J28" i="70"/>
  <c r="J23" i="70"/>
  <c r="J13" i="70"/>
  <c r="J29" i="70"/>
  <c r="J22" i="70"/>
  <c r="J31" i="70"/>
  <c r="J14" i="70"/>
  <c r="J25" i="70"/>
  <c r="J33" i="70"/>
  <c r="J26" i="70"/>
  <c r="E3" i="7"/>
  <c r="J39" i="115"/>
  <c r="J46" i="115"/>
  <c r="J41" i="115"/>
  <c r="H46" i="115"/>
  <c r="I46" i="115" s="1"/>
  <c r="J18" i="115"/>
  <c r="J20" i="115"/>
  <c r="J26" i="115"/>
  <c r="J21" i="115"/>
  <c r="J22" i="115"/>
  <c r="J19" i="115"/>
  <c r="J25" i="115"/>
  <c r="J24" i="115"/>
  <c r="J23" i="115"/>
  <c r="J37" i="115"/>
  <c r="J36" i="115"/>
  <c r="J30" i="115"/>
  <c r="J32" i="115"/>
  <c r="J12" i="115"/>
  <c r="J31" i="115"/>
  <c r="J27" i="115"/>
  <c r="J29" i="115"/>
  <c r="J28" i="115"/>
  <c r="J13" i="115"/>
  <c r="J38" i="115"/>
  <c r="J35" i="115"/>
  <c r="J34" i="115"/>
  <c r="J14" i="115"/>
  <c r="J40" i="115"/>
  <c r="J33" i="115"/>
  <c r="J42" i="115"/>
  <c r="J39" i="61"/>
  <c r="J46" i="61"/>
  <c r="J41" i="61"/>
  <c r="J20" i="61"/>
  <c r="H46" i="61"/>
  <c r="I46" i="61" s="1"/>
  <c r="J18" i="61"/>
  <c r="J26" i="61"/>
  <c r="J22" i="61"/>
  <c r="J21" i="61"/>
  <c r="J24" i="61"/>
  <c r="J36" i="61"/>
  <c r="J38" i="61"/>
  <c r="J32" i="61"/>
  <c r="J37" i="61"/>
  <c r="J19" i="61"/>
  <c r="J23" i="61"/>
  <c r="J40" i="61"/>
  <c r="J28" i="61"/>
  <c r="J27" i="61"/>
  <c r="J25" i="61"/>
  <c r="J13" i="61"/>
  <c r="J12" i="61"/>
  <c r="J31" i="61"/>
  <c r="J14" i="61"/>
  <c r="J30" i="61"/>
  <c r="J33" i="61"/>
  <c r="J29" i="61"/>
  <c r="J34" i="61"/>
  <c r="J42" i="61"/>
  <c r="J35" i="61"/>
  <c r="J46" i="62"/>
  <c r="J41" i="62"/>
  <c r="J20" i="62"/>
  <c r="H46" i="62"/>
  <c r="I46" i="62" s="1"/>
  <c r="J18" i="62"/>
  <c r="J39" i="62"/>
  <c r="J21" i="62"/>
  <c r="J26" i="62"/>
  <c r="J22" i="62"/>
  <c r="J19" i="62"/>
  <c r="J24" i="62"/>
  <c r="J23" i="62"/>
  <c r="J31" i="62"/>
  <c r="J38" i="62"/>
  <c r="J28" i="62"/>
  <c r="J36" i="62"/>
  <c r="J12" i="62"/>
  <c r="J33" i="62"/>
  <c r="J37" i="62"/>
  <c r="J25" i="62"/>
  <c r="J27" i="62"/>
  <c r="J13" i="62"/>
  <c r="J32" i="62"/>
  <c r="J30" i="62"/>
  <c r="J29" i="62"/>
  <c r="J40" i="62"/>
  <c r="J14" i="62"/>
  <c r="J34" i="62"/>
  <c r="J35" i="62"/>
  <c r="J42" i="62"/>
  <c r="D46" i="58"/>
  <c r="H46" i="58" s="1"/>
  <c r="I46" i="58" s="1"/>
  <c r="H44" i="58"/>
  <c r="I44" i="58" s="1"/>
  <c r="J45" i="116"/>
  <c r="D51" i="115"/>
  <c r="H49" i="115"/>
  <c r="I49" i="115" s="1"/>
  <c r="J34" i="80"/>
  <c r="J43" i="48"/>
  <c r="H46" i="47"/>
  <c r="I46" i="47" s="1"/>
  <c r="J18" i="47"/>
  <c r="J41" i="47"/>
  <c r="J39" i="47"/>
  <c r="J46" i="47"/>
  <c r="J19" i="47"/>
  <c r="J20" i="47"/>
  <c r="J26" i="47"/>
  <c r="J21" i="47"/>
  <c r="J24" i="47"/>
  <c r="J22" i="47"/>
  <c r="J32" i="47"/>
  <c r="J38" i="47"/>
  <c r="J25" i="47"/>
  <c r="J36" i="47"/>
  <c r="J28" i="47"/>
  <c r="J23" i="47"/>
  <c r="J30" i="47"/>
  <c r="J29" i="47"/>
  <c r="J40" i="47"/>
  <c r="J37" i="47"/>
  <c r="J13" i="47"/>
  <c r="J31" i="47"/>
  <c r="J27" i="47"/>
  <c r="J12" i="47"/>
  <c r="J33" i="47"/>
  <c r="J14" i="47"/>
  <c r="J35" i="47"/>
  <c r="J34" i="47"/>
  <c r="J42" i="47"/>
  <c r="J39" i="113"/>
  <c r="J46" i="113"/>
  <c r="J41" i="113"/>
  <c r="J20" i="113"/>
  <c r="H46" i="113"/>
  <c r="I46" i="113" s="1"/>
  <c r="J18" i="113"/>
  <c r="J22" i="113"/>
  <c r="J21" i="113"/>
  <c r="J19" i="113"/>
  <c r="J26" i="113"/>
  <c r="J24" i="113"/>
  <c r="J25" i="113"/>
  <c r="J23" i="113"/>
  <c r="J31" i="113"/>
  <c r="J28" i="113"/>
  <c r="J27" i="113"/>
  <c r="J29" i="113"/>
  <c r="J12" i="113"/>
  <c r="J36" i="113"/>
  <c r="J13" i="113"/>
  <c r="J33" i="113"/>
  <c r="J37" i="113"/>
  <c r="J38" i="113"/>
  <c r="J32" i="113"/>
  <c r="J30" i="113"/>
  <c r="J40" i="113"/>
  <c r="J35" i="113"/>
  <c r="J34" i="113"/>
  <c r="J14" i="113"/>
  <c r="J42" i="113"/>
  <c r="J45" i="48"/>
  <c r="D51" i="117"/>
  <c r="H49" i="117"/>
  <c r="I49" i="117" s="1"/>
  <c r="J46" i="50"/>
  <c r="J41" i="50"/>
  <c r="H46" i="50"/>
  <c r="I46" i="50" s="1"/>
  <c r="J20" i="50"/>
  <c r="J39" i="50"/>
  <c r="J18" i="50"/>
  <c r="J19" i="50"/>
  <c r="J22" i="50"/>
  <c r="J21" i="50"/>
  <c r="J26" i="50"/>
  <c r="J23" i="50"/>
  <c r="J25" i="50"/>
  <c r="J30" i="50"/>
  <c r="J12" i="50"/>
  <c r="J13" i="50"/>
  <c r="J38" i="50"/>
  <c r="J32" i="50"/>
  <c r="J37" i="50"/>
  <c r="J29" i="50"/>
  <c r="J28" i="50"/>
  <c r="J36" i="50"/>
  <c r="J27" i="50"/>
  <c r="J24" i="50"/>
  <c r="J31" i="50"/>
  <c r="J14" i="50"/>
  <c r="J40" i="50"/>
  <c r="J33" i="50"/>
  <c r="J34" i="50"/>
  <c r="J35" i="50"/>
  <c r="J42" i="50"/>
  <c r="E4" i="7"/>
  <c r="J45" i="47"/>
  <c r="G36" i="81"/>
  <c r="J34" i="81" s="1"/>
  <c r="H34" i="81"/>
  <c r="I34" i="81" s="1"/>
  <c r="J33" i="80"/>
  <c r="J34" i="66"/>
  <c r="H46" i="57"/>
  <c r="I46" i="57" s="1"/>
  <c r="J41" i="57"/>
  <c r="J20" i="57"/>
  <c r="J46" i="57"/>
  <c r="J39" i="57"/>
  <c r="J22" i="57"/>
  <c r="J21" i="57"/>
  <c r="J18" i="57"/>
  <c r="J26" i="57"/>
  <c r="J24" i="57"/>
  <c r="J23" i="57"/>
  <c r="J13" i="57"/>
  <c r="J31" i="57"/>
  <c r="J19" i="57"/>
  <c r="J27" i="57"/>
  <c r="J12" i="57"/>
  <c r="J33" i="57"/>
  <c r="J38" i="57"/>
  <c r="J25" i="57"/>
  <c r="J32" i="57"/>
  <c r="J36" i="57"/>
  <c r="J37" i="57"/>
  <c r="J28" i="57"/>
  <c r="J29" i="57"/>
  <c r="J40" i="57"/>
  <c r="J14" i="57"/>
  <c r="J30" i="57"/>
  <c r="J42" i="57"/>
  <c r="J34" i="57"/>
  <c r="J35" i="57"/>
  <c r="J45" i="113"/>
  <c r="J45" i="57"/>
  <c r="J34" i="70"/>
  <c r="J45" i="60" l="1"/>
  <c r="J40" i="60"/>
  <c r="J12" i="60"/>
  <c r="H46" i="60"/>
  <c r="I46" i="60" s="1"/>
  <c r="J33" i="60"/>
  <c r="J31" i="60"/>
  <c r="J38" i="60"/>
  <c r="J30" i="60"/>
  <c r="J25" i="60"/>
  <c r="J22" i="60"/>
  <c r="J41" i="60"/>
  <c r="J37" i="60"/>
  <c r="J28" i="60"/>
  <c r="J23" i="60"/>
  <c r="J21" i="60"/>
  <c r="J44" i="60"/>
  <c r="J43" i="60"/>
  <c r="J42" i="60"/>
  <c r="J35" i="60"/>
  <c r="J36" i="60"/>
  <c r="J27" i="60"/>
  <c r="J13" i="60"/>
  <c r="J19" i="60"/>
  <c r="J20" i="60"/>
  <c r="J13" i="64"/>
  <c r="J12" i="112"/>
  <c r="J29" i="64"/>
  <c r="J19" i="64"/>
  <c r="J37" i="64"/>
  <c r="J31" i="64"/>
  <c r="J27" i="64"/>
  <c r="K22" i="115"/>
  <c r="J13" i="117"/>
  <c r="K48" i="115"/>
  <c r="K37" i="115"/>
  <c r="J36" i="64"/>
  <c r="H37" i="64"/>
  <c r="I37" i="64" s="1"/>
  <c r="I33" i="7" s="1"/>
  <c r="J25" i="64"/>
  <c r="K19" i="115"/>
  <c r="J23" i="64"/>
  <c r="J24" i="64"/>
  <c r="J23" i="112"/>
  <c r="K36" i="115"/>
  <c r="J41" i="112"/>
  <c r="K20" i="115"/>
  <c r="J23" i="68"/>
  <c r="J24" i="68"/>
  <c r="J31" i="112"/>
  <c r="J34" i="112"/>
  <c r="J21" i="112"/>
  <c r="J35" i="112"/>
  <c r="J14" i="112"/>
  <c r="J36" i="112"/>
  <c r="J28" i="112"/>
  <c r="J27" i="112"/>
  <c r="J29" i="112"/>
  <c r="J20" i="112"/>
  <c r="K47" i="115"/>
  <c r="J45" i="56"/>
  <c r="H14" i="7"/>
  <c r="J37" i="112"/>
  <c r="J25" i="112"/>
  <c r="J39" i="112"/>
  <c r="K25" i="115"/>
  <c r="J44" i="112"/>
  <c r="J33" i="64"/>
  <c r="J43" i="112"/>
  <c r="J42" i="112"/>
  <c r="J18" i="112"/>
  <c r="J19" i="112"/>
  <c r="J24" i="112"/>
  <c r="J40" i="112"/>
  <c r="J26" i="112"/>
  <c r="K41" i="115"/>
  <c r="J22" i="112"/>
  <c r="J13" i="112"/>
  <c r="H46" i="112"/>
  <c r="I46" i="112" s="1"/>
  <c r="J30" i="112"/>
  <c r="J20" i="64"/>
  <c r="K31" i="115"/>
  <c r="J43" i="56"/>
  <c r="J12" i="117"/>
  <c r="K51" i="115"/>
  <c r="K15" i="115"/>
  <c r="J28" i="64"/>
  <c r="J33" i="112"/>
  <c r="J32" i="112"/>
  <c r="J38" i="112"/>
  <c r="J46" i="112"/>
  <c r="J32" i="117"/>
  <c r="K30" i="115"/>
  <c r="K38" i="115"/>
  <c r="K34" i="115"/>
  <c r="J32" i="64"/>
  <c r="J22" i="64"/>
  <c r="J12" i="64"/>
  <c r="J42" i="56"/>
  <c r="J12" i="56"/>
  <c r="K23" i="115"/>
  <c r="K28" i="115"/>
  <c r="K33" i="115"/>
  <c r="J30" i="64"/>
  <c r="J16" i="64"/>
  <c r="J21" i="64"/>
  <c r="J17" i="64"/>
  <c r="J27" i="56"/>
  <c r="K17" i="115"/>
  <c r="K50" i="115"/>
  <c r="J35" i="117"/>
  <c r="J25" i="56"/>
  <c r="K21" i="115"/>
  <c r="K18" i="115"/>
  <c r="H6" i="7"/>
  <c r="J15" i="64"/>
  <c r="J18" i="64"/>
  <c r="J26" i="64"/>
  <c r="J14" i="64"/>
  <c r="J34" i="64"/>
  <c r="J44" i="56"/>
  <c r="K29" i="115"/>
  <c r="H36" i="7"/>
  <c r="J26" i="46"/>
  <c r="J46" i="46"/>
  <c r="I51" i="62"/>
  <c r="I24" i="7" s="1"/>
  <c r="J42" i="117"/>
  <c r="J28" i="68"/>
  <c r="K27" i="115"/>
  <c r="K24" i="115"/>
  <c r="K35" i="115"/>
  <c r="K40" i="115"/>
  <c r="J24" i="117"/>
  <c r="J38" i="46"/>
  <c r="K32" i="115"/>
  <c r="K16" i="115"/>
  <c r="K26" i="115"/>
  <c r="K39" i="115"/>
  <c r="J39" i="117"/>
  <c r="J22" i="46"/>
  <c r="J22" i="117"/>
  <c r="J28" i="46"/>
  <c r="J34" i="117"/>
  <c r="J46" i="117"/>
  <c r="J27" i="46"/>
  <c r="J21" i="117"/>
  <c r="J24" i="46"/>
  <c r="J45" i="117"/>
  <c r="J37" i="117"/>
  <c r="J19" i="117"/>
  <c r="H46" i="117"/>
  <c r="I46" i="117" s="1"/>
  <c r="H18" i="7"/>
  <c r="J43" i="117"/>
  <c r="J28" i="117"/>
  <c r="J27" i="117"/>
  <c r="J20" i="117"/>
  <c r="J25" i="68"/>
  <c r="J13" i="46"/>
  <c r="H46" i="46"/>
  <c r="I46" i="46" s="1"/>
  <c r="J14" i="46"/>
  <c r="J42" i="49"/>
  <c r="J29" i="117"/>
  <c r="J31" i="117"/>
  <c r="J18" i="117"/>
  <c r="J21" i="68"/>
  <c r="J37" i="46"/>
  <c r="J18" i="46"/>
  <c r="J35" i="46"/>
  <c r="J12" i="46"/>
  <c r="J45" i="46"/>
  <c r="J39" i="46"/>
  <c r="J36" i="117"/>
  <c r="J34" i="46"/>
  <c r="J40" i="46"/>
  <c r="J43" i="46"/>
  <c r="J30" i="117"/>
  <c r="J33" i="117"/>
  <c r="J38" i="117"/>
  <c r="J26" i="117"/>
  <c r="J41" i="117"/>
  <c r="J36" i="46"/>
  <c r="J21" i="46"/>
  <c r="J30" i="46"/>
  <c r="J33" i="46"/>
  <c r="J25" i="117"/>
  <c r="J14" i="117"/>
  <c r="J29" i="46"/>
  <c r="J40" i="117"/>
  <c r="J22" i="68"/>
  <c r="J32" i="46"/>
  <c r="J19" i="46"/>
  <c r="J41" i="46"/>
  <c r="J42" i="46"/>
  <c r="J20" i="46"/>
  <c r="J31" i="46"/>
  <c r="J23" i="117"/>
  <c r="J25" i="46"/>
  <c r="H17" i="7"/>
  <c r="J34" i="68"/>
  <c r="J23" i="46"/>
  <c r="I51" i="52"/>
  <c r="I11" i="7" s="1"/>
  <c r="H2" i="7"/>
  <c r="J12" i="68"/>
  <c r="J18" i="68"/>
  <c r="J16" i="68"/>
  <c r="J38" i="56"/>
  <c r="J36" i="49"/>
  <c r="J15" i="68"/>
  <c r="J27" i="68"/>
  <c r="J30" i="68"/>
  <c r="J24" i="56"/>
  <c r="J36" i="68"/>
  <c r="J26" i="68"/>
  <c r="J17" i="68"/>
  <c r="J32" i="68"/>
  <c r="I51" i="116"/>
  <c r="I23" i="7" s="1"/>
  <c r="H37" i="66"/>
  <c r="H35" i="7" s="1"/>
  <c r="J33" i="68"/>
  <c r="J29" i="68"/>
  <c r="H37" i="68"/>
  <c r="H37" i="7" s="1"/>
  <c r="J36" i="25"/>
  <c r="J26" i="25"/>
  <c r="J34" i="25"/>
  <c r="J32" i="25"/>
  <c r="J20" i="25"/>
  <c r="J33" i="25"/>
  <c r="J35" i="25"/>
  <c r="J16" i="25"/>
  <c r="J23" i="25"/>
  <c r="J22" i="25"/>
  <c r="J14" i="25"/>
  <c r="J24" i="25"/>
  <c r="H37" i="25"/>
  <c r="J13" i="25"/>
  <c r="J28" i="25"/>
  <c r="J25" i="25"/>
  <c r="J15" i="25"/>
  <c r="J31" i="25"/>
  <c r="J37" i="25"/>
  <c r="J19" i="25"/>
  <c r="J17" i="25"/>
  <c r="J21" i="25"/>
  <c r="J30" i="25"/>
  <c r="J12" i="25"/>
  <c r="J29" i="25"/>
  <c r="J18" i="25"/>
  <c r="J27" i="25"/>
  <c r="J29" i="49"/>
  <c r="J27" i="49"/>
  <c r="J21" i="56"/>
  <c r="J26" i="49"/>
  <c r="J39" i="49"/>
  <c r="J45" i="49"/>
  <c r="H46" i="49"/>
  <c r="I46" i="49" s="1"/>
  <c r="J29" i="56"/>
  <c r="J32" i="56"/>
  <c r="J41" i="56"/>
  <c r="J32" i="49"/>
  <c r="J35" i="68"/>
  <c r="J14" i="68"/>
  <c r="J19" i="68"/>
  <c r="J37" i="68"/>
  <c r="J31" i="56"/>
  <c r="J36" i="56"/>
  <c r="J46" i="56"/>
  <c r="J35" i="56"/>
  <c r="J13" i="56"/>
  <c r="J26" i="56"/>
  <c r="J30" i="56"/>
  <c r="J40" i="56"/>
  <c r="J18" i="56"/>
  <c r="J33" i="56"/>
  <c r="J19" i="56"/>
  <c r="H46" i="56"/>
  <c r="I46" i="56" s="1"/>
  <c r="J14" i="49"/>
  <c r="J31" i="49"/>
  <c r="J24" i="49"/>
  <c r="J41" i="49"/>
  <c r="J33" i="49"/>
  <c r="J13" i="49"/>
  <c r="J21" i="49"/>
  <c r="J18" i="49"/>
  <c r="J14" i="56"/>
  <c r="J28" i="56"/>
  <c r="J22" i="56"/>
  <c r="J39" i="56"/>
  <c r="J44" i="49"/>
  <c r="J23" i="49"/>
  <c r="J30" i="49"/>
  <c r="J28" i="49"/>
  <c r="J19" i="49"/>
  <c r="J22" i="49"/>
  <c r="J38" i="49"/>
  <c r="J37" i="49"/>
  <c r="J34" i="49"/>
  <c r="J12" i="49"/>
  <c r="J20" i="49"/>
  <c r="J35" i="49"/>
  <c r="J40" i="49"/>
  <c r="J25" i="49"/>
  <c r="J46" i="49"/>
  <c r="J34" i="56"/>
  <c r="J23" i="56"/>
  <c r="J37" i="56"/>
  <c r="K48" i="59"/>
  <c r="K18" i="59"/>
  <c r="K26" i="59"/>
  <c r="K28" i="59"/>
  <c r="K33" i="59"/>
  <c r="K50" i="59"/>
  <c r="K37" i="59"/>
  <c r="K36" i="59"/>
  <c r="H51" i="59"/>
  <c r="K24" i="59"/>
  <c r="K32" i="59"/>
  <c r="K29" i="59"/>
  <c r="K21" i="59"/>
  <c r="K35" i="59"/>
  <c r="K41" i="59"/>
  <c r="K22" i="59"/>
  <c r="K27" i="59"/>
  <c r="K40" i="59"/>
  <c r="K25" i="59"/>
  <c r="K17" i="59"/>
  <c r="K38" i="59"/>
  <c r="K31" i="59"/>
  <c r="K49" i="59"/>
  <c r="K39" i="59"/>
  <c r="K16" i="59"/>
  <c r="K23" i="59"/>
  <c r="K30" i="59"/>
  <c r="K34" i="59"/>
  <c r="K20" i="59"/>
  <c r="K15" i="59"/>
  <c r="K19" i="59"/>
  <c r="K47" i="59"/>
  <c r="K51" i="59"/>
  <c r="J31" i="68"/>
  <c r="J20" i="68"/>
  <c r="G46" i="53"/>
  <c r="J21" i="53" s="1"/>
  <c r="H35" i="65"/>
  <c r="I35" i="65" s="1"/>
  <c r="D37" i="65"/>
  <c r="K49" i="49"/>
  <c r="K15" i="49"/>
  <c r="K38" i="49"/>
  <c r="K30" i="49"/>
  <c r="H51" i="49"/>
  <c r="K19" i="49"/>
  <c r="K40" i="49"/>
  <c r="K41" i="49"/>
  <c r="K23" i="49"/>
  <c r="K33" i="49"/>
  <c r="K35" i="49"/>
  <c r="K18" i="49"/>
  <c r="K28" i="49"/>
  <c r="K47" i="49"/>
  <c r="K36" i="49"/>
  <c r="K22" i="49"/>
  <c r="K25" i="49"/>
  <c r="K20" i="49"/>
  <c r="K50" i="49"/>
  <c r="K37" i="49"/>
  <c r="K51" i="49"/>
  <c r="K39" i="49"/>
  <c r="K27" i="49"/>
  <c r="K16" i="49"/>
  <c r="K24" i="49"/>
  <c r="K26" i="49"/>
  <c r="K48" i="49"/>
  <c r="K31" i="49"/>
  <c r="K17" i="49"/>
  <c r="K29" i="49"/>
  <c r="K21" i="49"/>
  <c r="K34" i="49"/>
  <c r="K32" i="49"/>
  <c r="I51" i="50"/>
  <c r="I9" i="7" s="1"/>
  <c r="H9" i="7"/>
  <c r="K49" i="112"/>
  <c r="K34" i="51"/>
  <c r="K51" i="51"/>
  <c r="K15" i="51"/>
  <c r="K26" i="51"/>
  <c r="K24" i="51"/>
  <c r="K37" i="51"/>
  <c r="K27" i="51"/>
  <c r="K33" i="51"/>
  <c r="K18" i="51"/>
  <c r="K41" i="51"/>
  <c r="K21" i="51"/>
  <c r="K23" i="51"/>
  <c r="K25" i="51"/>
  <c r="K32" i="51"/>
  <c r="K30" i="51"/>
  <c r="K35" i="51"/>
  <c r="K17" i="51"/>
  <c r="K39" i="51"/>
  <c r="K22" i="51"/>
  <c r="K38" i="51"/>
  <c r="K28" i="51"/>
  <c r="K40" i="51"/>
  <c r="K47" i="51"/>
  <c r="K20" i="51"/>
  <c r="K16" i="51"/>
  <c r="H51" i="51"/>
  <c r="K19" i="51"/>
  <c r="K36" i="51"/>
  <c r="K31" i="51"/>
  <c r="K29" i="51"/>
  <c r="K50" i="51"/>
  <c r="K48" i="51"/>
  <c r="G35" i="63"/>
  <c r="H34" i="63"/>
  <c r="I34" i="63" s="1"/>
  <c r="K34" i="60"/>
  <c r="K24" i="60"/>
  <c r="K47" i="60"/>
  <c r="K41" i="60"/>
  <c r="K28" i="60"/>
  <c r="K26" i="60"/>
  <c r="K37" i="60"/>
  <c r="K20" i="60"/>
  <c r="K22" i="60"/>
  <c r="K18" i="60"/>
  <c r="K30" i="60"/>
  <c r="K39" i="60"/>
  <c r="K48" i="60"/>
  <c r="H51" i="60"/>
  <c r="K16" i="60"/>
  <c r="K31" i="60"/>
  <c r="K23" i="60"/>
  <c r="K33" i="60"/>
  <c r="K27" i="60"/>
  <c r="K51" i="60"/>
  <c r="K49" i="60"/>
  <c r="K29" i="60"/>
  <c r="K15" i="60"/>
  <c r="K32" i="60"/>
  <c r="K17" i="60"/>
  <c r="K35" i="60"/>
  <c r="K50" i="60"/>
  <c r="K40" i="60"/>
  <c r="K36" i="60"/>
  <c r="K38" i="60"/>
  <c r="K25" i="60"/>
  <c r="K21" i="60"/>
  <c r="K19" i="60"/>
  <c r="G51" i="56"/>
  <c r="K49" i="56" s="1"/>
  <c r="H49" i="56"/>
  <c r="I49" i="56" s="1"/>
  <c r="H35" i="69"/>
  <c r="I35" i="69" s="1"/>
  <c r="G37" i="69"/>
  <c r="J35" i="69" s="1"/>
  <c r="H49" i="53"/>
  <c r="I49" i="53" s="1"/>
  <c r="G51" i="53"/>
  <c r="H5" i="7"/>
  <c r="I51" i="47"/>
  <c r="I5" i="7" s="1"/>
  <c r="K34" i="112"/>
  <c r="K35" i="112"/>
  <c r="K33" i="112"/>
  <c r="K40" i="112"/>
  <c r="K41" i="112"/>
  <c r="K51" i="112"/>
  <c r="K19" i="112"/>
  <c r="K25" i="112"/>
  <c r="K29" i="112"/>
  <c r="K36" i="112"/>
  <c r="K26" i="112"/>
  <c r="K30" i="112"/>
  <c r="K23" i="112"/>
  <c r="K50" i="112"/>
  <c r="K17" i="112"/>
  <c r="K18" i="112"/>
  <c r="K21" i="112"/>
  <c r="K38" i="112"/>
  <c r="K28" i="112"/>
  <c r="K32" i="112"/>
  <c r="K39" i="112"/>
  <c r="K16" i="112"/>
  <c r="K22" i="112"/>
  <c r="K37" i="112"/>
  <c r="K31" i="112"/>
  <c r="K20" i="112"/>
  <c r="K15" i="112"/>
  <c r="K24" i="112"/>
  <c r="K47" i="112"/>
  <c r="K27" i="112"/>
  <c r="K48" i="112"/>
  <c r="H34" i="69"/>
  <c r="I34" i="69" s="1"/>
  <c r="K16" i="46"/>
  <c r="K15" i="46"/>
  <c r="K19" i="46"/>
  <c r="K31" i="46"/>
  <c r="K27" i="46"/>
  <c r="K36" i="46"/>
  <c r="K33" i="46"/>
  <c r="K34" i="46"/>
  <c r="K26" i="46"/>
  <c r="K23" i="46"/>
  <c r="K32" i="46"/>
  <c r="K35" i="46"/>
  <c r="K18" i="46"/>
  <c r="K17" i="46"/>
  <c r="K21" i="46"/>
  <c r="K38" i="46"/>
  <c r="K24" i="46"/>
  <c r="K48" i="46"/>
  <c r="K39" i="46"/>
  <c r="K20" i="46"/>
  <c r="K22" i="46"/>
  <c r="K47" i="46"/>
  <c r="K30" i="46"/>
  <c r="K37" i="46"/>
  <c r="K51" i="46"/>
  <c r="K41" i="46"/>
  <c r="K25" i="46"/>
  <c r="K29" i="46"/>
  <c r="K50" i="46"/>
  <c r="K28" i="46"/>
  <c r="K40" i="46"/>
  <c r="I51" i="113"/>
  <c r="I8" i="7" s="1"/>
  <c r="H8" i="7"/>
  <c r="G46" i="114"/>
  <c r="J44" i="114" s="1"/>
  <c r="H44" i="114"/>
  <c r="I44" i="114" s="1"/>
  <c r="K49" i="46"/>
  <c r="G51" i="114"/>
  <c r="H49" i="114"/>
  <c r="I49" i="114" s="1"/>
  <c r="E19" i="7"/>
  <c r="H51" i="117"/>
  <c r="H36" i="79"/>
  <c r="J31" i="79"/>
  <c r="J29" i="79"/>
  <c r="J14" i="79"/>
  <c r="J16" i="79"/>
  <c r="J36" i="79"/>
  <c r="J17" i="79"/>
  <c r="J23" i="79"/>
  <c r="J19" i="79"/>
  <c r="J24" i="79"/>
  <c r="J18" i="79"/>
  <c r="J22" i="79"/>
  <c r="J28" i="79"/>
  <c r="J26" i="79"/>
  <c r="J13" i="79"/>
  <c r="J27" i="79"/>
  <c r="J20" i="79"/>
  <c r="J30" i="79"/>
  <c r="J21" i="79"/>
  <c r="J15" i="79"/>
  <c r="J32" i="79"/>
  <c r="J25" i="79"/>
  <c r="J35" i="79"/>
  <c r="J33" i="79"/>
  <c r="H36" i="81"/>
  <c r="J31" i="81"/>
  <c r="J36" i="81"/>
  <c r="J14" i="81"/>
  <c r="J29" i="81"/>
  <c r="J16" i="81"/>
  <c r="J18" i="81"/>
  <c r="J22" i="81"/>
  <c r="J17" i="81"/>
  <c r="J19" i="81"/>
  <c r="J23" i="81"/>
  <c r="J24" i="81"/>
  <c r="J13" i="81"/>
  <c r="J28" i="81"/>
  <c r="J27" i="81"/>
  <c r="J20" i="81"/>
  <c r="J26" i="81"/>
  <c r="J30" i="81"/>
  <c r="J21" i="81"/>
  <c r="J15" i="81"/>
  <c r="J25" i="81"/>
  <c r="J32" i="81"/>
  <c r="J35" i="81"/>
  <c r="J33" i="81"/>
  <c r="I51" i="46"/>
  <c r="I3" i="7" s="1"/>
  <c r="H3" i="7"/>
  <c r="E15" i="7"/>
  <c r="H51" i="115"/>
  <c r="I51" i="112"/>
  <c r="I4" i="7" s="1"/>
  <c r="H4" i="7"/>
  <c r="I37" i="70"/>
  <c r="I39" i="7" s="1"/>
  <c r="H39" i="7"/>
  <c r="J34" i="79"/>
  <c r="I36" i="80"/>
  <c r="I44" i="7" s="1"/>
  <c r="H44" i="7"/>
  <c r="H33" i="7" l="1"/>
  <c r="I37" i="66"/>
  <c r="I35" i="7" s="1"/>
  <c r="I37" i="68"/>
  <c r="I37" i="7" s="1"/>
  <c r="J20" i="53"/>
  <c r="I37" i="25"/>
  <c r="I31" i="7" s="1"/>
  <c r="H31" i="7"/>
  <c r="J18" i="53"/>
  <c r="H46" i="53"/>
  <c r="I46" i="53" s="1"/>
  <c r="J43" i="53"/>
  <c r="J44" i="53"/>
  <c r="J12" i="53"/>
  <c r="J35" i="53"/>
  <c r="J27" i="53"/>
  <c r="J14" i="53"/>
  <c r="J46" i="53"/>
  <c r="J41" i="53"/>
  <c r="I51" i="59"/>
  <c r="I20" i="7" s="1"/>
  <c r="H20" i="7"/>
  <c r="J19" i="53"/>
  <c r="J34" i="53"/>
  <c r="J29" i="53"/>
  <c r="J38" i="53"/>
  <c r="J30" i="53"/>
  <c r="J42" i="53"/>
  <c r="J37" i="53"/>
  <c r="J36" i="53"/>
  <c r="J40" i="53"/>
  <c r="J45" i="53"/>
  <c r="J25" i="53"/>
  <c r="J31" i="53"/>
  <c r="J22" i="53"/>
  <c r="J32" i="53"/>
  <c r="J24" i="53"/>
  <c r="J26" i="53"/>
  <c r="J33" i="53"/>
  <c r="J13" i="53"/>
  <c r="J23" i="53"/>
  <c r="J39" i="53"/>
  <c r="J28" i="53"/>
  <c r="I51" i="49"/>
  <c r="I7" i="7" s="1"/>
  <c r="H7" i="7"/>
  <c r="E34" i="7"/>
  <c r="H37" i="65"/>
  <c r="H35" i="63"/>
  <c r="I35" i="63" s="1"/>
  <c r="G37" i="63"/>
  <c r="J35" i="63" s="1"/>
  <c r="I51" i="51"/>
  <c r="I10" i="7" s="1"/>
  <c r="H10" i="7"/>
  <c r="J34" i="69"/>
  <c r="K50" i="56"/>
  <c r="K34" i="56"/>
  <c r="K16" i="56"/>
  <c r="K22" i="56"/>
  <c r="K21" i="56"/>
  <c r="K38" i="56"/>
  <c r="K27" i="56"/>
  <c r="K23" i="56"/>
  <c r="K29" i="56"/>
  <c r="K30" i="56"/>
  <c r="H51" i="56"/>
  <c r="K15" i="56"/>
  <c r="K51" i="56"/>
  <c r="K26" i="56"/>
  <c r="K36" i="56"/>
  <c r="K31" i="56"/>
  <c r="K33" i="56"/>
  <c r="K20" i="56"/>
  <c r="K32" i="56"/>
  <c r="K40" i="56"/>
  <c r="K17" i="56"/>
  <c r="K18" i="56"/>
  <c r="K24" i="56"/>
  <c r="K19" i="56"/>
  <c r="K28" i="56"/>
  <c r="K25" i="56"/>
  <c r="K47" i="56"/>
  <c r="K41" i="56"/>
  <c r="K39" i="56"/>
  <c r="K37" i="56"/>
  <c r="K35" i="56"/>
  <c r="K48" i="56"/>
  <c r="H21" i="7"/>
  <c r="I51" i="60"/>
  <c r="I21" i="7" s="1"/>
  <c r="J34" i="114"/>
  <c r="J35" i="114"/>
  <c r="J18" i="114"/>
  <c r="J39" i="114"/>
  <c r="J23" i="114"/>
  <c r="J24" i="114"/>
  <c r="J27" i="114"/>
  <c r="J33" i="114"/>
  <c r="J30" i="114"/>
  <c r="J20" i="114"/>
  <c r="J22" i="114"/>
  <c r="J26" i="114"/>
  <c r="J12" i="114"/>
  <c r="J14" i="114"/>
  <c r="J29" i="114"/>
  <c r="H46" i="114"/>
  <c r="I46" i="114" s="1"/>
  <c r="J19" i="114"/>
  <c r="J25" i="114"/>
  <c r="J28" i="114"/>
  <c r="J46" i="114"/>
  <c r="J21" i="114"/>
  <c r="J13" i="114"/>
  <c r="J37" i="114"/>
  <c r="J38" i="114"/>
  <c r="J36" i="114"/>
  <c r="J40" i="114"/>
  <c r="J32" i="114"/>
  <c r="J41" i="114"/>
  <c r="J31" i="114"/>
  <c r="J42" i="114"/>
  <c r="J43" i="114"/>
  <c r="J45" i="114"/>
  <c r="K49" i="53"/>
  <c r="K18" i="53"/>
  <c r="K17" i="53"/>
  <c r="K26" i="53"/>
  <c r="K23" i="53"/>
  <c r="K38" i="53"/>
  <c r="K36" i="53"/>
  <c r="K47" i="53"/>
  <c r="K15" i="53"/>
  <c r="K41" i="53"/>
  <c r="K31" i="53"/>
  <c r="K29" i="53"/>
  <c r="K51" i="53"/>
  <c r="H51" i="53"/>
  <c r="K27" i="53"/>
  <c r="K24" i="53"/>
  <c r="K33" i="53"/>
  <c r="K35" i="53"/>
  <c r="K39" i="53"/>
  <c r="K16" i="53"/>
  <c r="K22" i="53"/>
  <c r="K19" i="53"/>
  <c r="K37" i="53"/>
  <c r="K32" i="53"/>
  <c r="K40" i="53"/>
  <c r="K34" i="53"/>
  <c r="K21" i="53"/>
  <c r="K28" i="53"/>
  <c r="K30" i="53"/>
  <c r="K50" i="53"/>
  <c r="K20" i="53"/>
  <c r="K25" i="53"/>
  <c r="K48" i="53"/>
  <c r="K50" i="114"/>
  <c r="K18" i="114"/>
  <c r="H51" i="114"/>
  <c r="K41" i="114"/>
  <c r="K31" i="114"/>
  <c r="K38" i="114"/>
  <c r="K37" i="114"/>
  <c r="K30" i="114"/>
  <c r="K16" i="114"/>
  <c r="K27" i="114"/>
  <c r="K36" i="114"/>
  <c r="K51" i="114"/>
  <c r="K15" i="114"/>
  <c r="K19" i="114"/>
  <c r="K24" i="114"/>
  <c r="K34" i="114"/>
  <c r="K35" i="114"/>
  <c r="K39" i="114"/>
  <c r="K17" i="114"/>
  <c r="K22" i="114"/>
  <c r="K23" i="114"/>
  <c r="K33" i="114"/>
  <c r="K28" i="114"/>
  <c r="K40" i="114"/>
  <c r="K20" i="114"/>
  <c r="K21" i="114"/>
  <c r="K32" i="114"/>
  <c r="K47" i="114"/>
  <c r="K26" i="114"/>
  <c r="K25" i="114"/>
  <c r="K29" i="114"/>
  <c r="K48" i="114"/>
  <c r="K49" i="114"/>
  <c r="J37" i="69"/>
  <c r="J15" i="69"/>
  <c r="J19" i="69"/>
  <c r="J17" i="69"/>
  <c r="J25" i="69"/>
  <c r="J33" i="69"/>
  <c r="J36" i="69"/>
  <c r="J32" i="69"/>
  <c r="J21" i="69"/>
  <c r="J14" i="69"/>
  <c r="J30" i="69"/>
  <c r="J20" i="69"/>
  <c r="J31" i="69"/>
  <c r="H37" i="69"/>
  <c r="J16" i="69"/>
  <c r="J24" i="69"/>
  <c r="J12" i="69"/>
  <c r="J28" i="69"/>
  <c r="J22" i="69"/>
  <c r="J18" i="69"/>
  <c r="J27" i="69"/>
  <c r="J13" i="69"/>
  <c r="J29" i="69"/>
  <c r="J23" i="69"/>
  <c r="J26" i="69"/>
  <c r="I36" i="81"/>
  <c r="I45" i="7" s="1"/>
  <c r="H45" i="7"/>
  <c r="I51" i="117"/>
  <c r="I19" i="7" s="1"/>
  <c r="H19" i="7"/>
  <c r="I51" i="115"/>
  <c r="I15" i="7" s="1"/>
  <c r="H15" i="7"/>
  <c r="I36" i="79"/>
  <c r="I43" i="7" s="1"/>
  <c r="H43" i="7"/>
  <c r="H34" i="7" l="1"/>
  <c r="I37" i="65"/>
  <c r="I34" i="7" s="1"/>
  <c r="J30" i="63"/>
  <c r="J16" i="63"/>
  <c r="J19" i="63"/>
  <c r="J17" i="63"/>
  <c r="J20" i="63"/>
  <c r="J14" i="63"/>
  <c r="J32" i="63"/>
  <c r="J15" i="63"/>
  <c r="J18" i="63"/>
  <c r="J29" i="63"/>
  <c r="J31" i="63"/>
  <c r="J26" i="63"/>
  <c r="J34" i="63"/>
  <c r="H37" i="63"/>
  <c r="J23" i="63"/>
  <c r="J27" i="63"/>
  <c r="J21" i="63"/>
  <c r="J25" i="63"/>
  <c r="J33" i="63"/>
  <c r="J37" i="63"/>
  <c r="J12" i="63"/>
  <c r="J24" i="63"/>
  <c r="J13" i="63"/>
  <c r="J28" i="63"/>
  <c r="J22" i="63"/>
  <c r="J36" i="63"/>
  <c r="I51" i="56"/>
  <c r="I16" i="7" s="1"/>
  <c r="H16" i="7"/>
  <c r="H12" i="7"/>
  <c r="I51" i="114"/>
  <c r="I12" i="7" s="1"/>
  <c r="I51" i="53"/>
  <c r="I13" i="7" s="1"/>
  <c r="H13" i="7"/>
  <c r="I37" i="69"/>
  <c r="I38" i="7" s="1"/>
  <c r="H38" i="7"/>
  <c r="I37" i="63" l="1"/>
  <c r="I32" i="7" s="1"/>
  <c r="H32" i="7"/>
  <c r="F20" i="5" l="1"/>
  <c r="G20" i="5" s="1"/>
  <c r="F20" i="72"/>
  <c r="G20" i="72" s="1"/>
  <c r="F20" i="71"/>
  <c r="G20" i="71" s="1"/>
  <c r="F20" i="75"/>
  <c r="G20" i="75" s="1"/>
  <c r="F20" i="73"/>
  <c r="G20" i="73" s="1"/>
  <c r="F20" i="74"/>
  <c r="G20" i="74" s="1"/>
  <c r="H20" i="72" l="1"/>
  <c r="I20" i="72" s="1"/>
  <c r="G23" i="72"/>
  <c r="H20" i="73"/>
  <c r="I20" i="73" s="1"/>
  <c r="G23" i="73"/>
  <c r="H20" i="5"/>
  <c r="I20" i="5" s="1"/>
  <c r="G23" i="5"/>
  <c r="H20" i="75"/>
  <c r="I20" i="75" s="1"/>
  <c r="G23" i="75"/>
  <c r="H20" i="74"/>
  <c r="I20" i="74" s="1"/>
  <c r="G23" i="74"/>
  <c r="H20" i="71"/>
  <c r="I20" i="71" s="1"/>
  <c r="G23" i="71"/>
  <c r="G27" i="75" l="1"/>
  <c r="H23" i="75"/>
  <c r="G34" i="75"/>
  <c r="G27" i="73"/>
  <c r="H23" i="73"/>
  <c r="G34" i="73"/>
  <c r="H23" i="5"/>
  <c r="G27" i="5"/>
  <c r="G34" i="5"/>
  <c r="H23" i="74"/>
  <c r="G27" i="74"/>
  <c r="G34" i="74"/>
  <c r="H23" i="72"/>
  <c r="G27" i="72"/>
  <c r="G34" i="72"/>
  <c r="H23" i="71"/>
  <c r="G27" i="71"/>
  <c r="G34" i="71"/>
  <c r="G37" i="72" l="1"/>
  <c r="G35" i="72"/>
  <c r="H34" i="72"/>
  <c r="I34" i="72" s="1"/>
  <c r="F26" i="7"/>
  <c r="I23" i="71"/>
  <c r="G26" i="7" s="1"/>
  <c r="F27" i="7"/>
  <c r="I23" i="72"/>
  <c r="G27" i="7" s="1"/>
  <c r="I23" i="74"/>
  <c r="G29" i="7" s="1"/>
  <c r="F29" i="7"/>
  <c r="F25" i="7"/>
  <c r="I23" i="5"/>
  <c r="G25" i="7" s="1"/>
  <c r="H27" i="73"/>
  <c r="I27" i="73" s="1"/>
  <c r="H27" i="75"/>
  <c r="I27" i="75" s="1"/>
  <c r="G37" i="71"/>
  <c r="G35" i="71"/>
  <c r="H34" i="71"/>
  <c r="I34" i="71" s="1"/>
  <c r="G37" i="74"/>
  <c r="G35" i="74"/>
  <c r="H34" i="74"/>
  <c r="I34" i="74" s="1"/>
  <c r="G37" i="5"/>
  <c r="H34" i="5"/>
  <c r="I34" i="5" s="1"/>
  <c r="G35" i="5"/>
  <c r="H34" i="73"/>
  <c r="I34" i="73" s="1"/>
  <c r="G35" i="73"/>
  <c r="G36" i="73" s="1"/>
  <c r="G37" i="73"/>
  <c r="G37" i="75"/>
  <c r="H34" i="75"/>
  <c r="I34" i="75" s="1"/>
  <c r="G35" i="75"/>
  <c r="H27" i="71"/>
  <c r="I27" i="71" s="1"/>
  <c r="H27" i="72"/>
  <c r="I27" i="72" s="1"/>
  <c r="H27" i="74"/>
  <c r="I27" i="74" s="1"/>
  <c r="H27" i="5"/>
  <c r="I27" i="5" s="1"/>
  <c r="I23" i="73"/>
  <c r="G28" i="7" s="1"/>
  <c r="F28" i="7"/>
  <c r="I23" i="75"/>
  <c r="G30" i="7" s="1"/>
  <c r="F30" i="7"/>
  <c r="G38" i="73" l="1"/>
  <c r="J35" i="73" s="1"/>
  <c r="H36" i="73"/>
  <c r="I36" i="73" s="1"/>
  <c r="H35" i="75"/>
  <c r="I35" i="75" s="1"/>
  <c r="H37" i="74"/>
  <c r="I37" i="74" s="1"/>
  <c r="G36" i="75"/>
  <c r="H37" i="73"/>
  <c r="I37" i="73" s="1"/>
  <c r="H35" i="73"/>
  <c r="I35" i="73" s="1"/>
  <c r="G36" i="5"/>
  <c r="H35" i="5"/>
  <c r="I35" i="5" s="1"/>
  <c r="H37" i="75"/>
  <c r="I37" i="75" s="1"/>
  <c r="G36" i="74"/>
  <c r="H35" i="74"/>
  <c r="I35" i="74" s="1"/>
  <c r="G36" i="71"/>
  <c r="H35" i="71"/>
  <c r="I35" i="71" s="1"/>
  <c r="G36" i="72"/>
  <c r="H35" i="72"/>
  <c r="I35" i="72" s="1"/>
  <c r="H37" i="5"/>
  <c r="I37" i="5" s="1"/>
  <c r="H37" i="71"/>
  <c r="I37" i="71" s="1"/>
  <c r="H37" i="72"/>
  <c r="I37" i="72" s="1"/>
  <c r="J36" i="73" l="1"/>
  <c r="J37" i="73"/>
  <c r="H36" i="71"/>
  <c r="I36" i="71" s="1"/>
  <c r="G38" i="71"/>
  <c r="H36" i="75"/>
  <c r="I36" i="75" s="1"/>
  <c r="G38" i="75"/>
  <c r="J36" i="75" s="1"/>
  <c r="H36" i="72"/>
  <c r="I36" i="72" s="1"/>
  <c r="G38" i="72"/>
  <c r="G38" i="74"/>
  <c r="J36" i="74" s="1"/>
  <c r="H36" i="74"/>
  <c r="I36" i="74" s="1"/>
  <c r="G38" i="5"/>
  <c r="H36" i="5"/>
  <c r="I36" i="5" s="1"/>
  <c r="J31" i="73"/>
  <c r="J33" i="73"/>
  <c r="J18" i="73"/>
  <c r="J16" i="73"/>
  <c r="J29" i="73"/>
  <c r="J32" i="73"/>
  <c r="J25" i="73"/>
  <c r="J17" i="73"/>
  <c r="J21" i="73"/>
  <c r="J19" i="73"/>
  <c r="J28" i="73"/>
  <c r="J13" i="73"/>
  <c r="J15" i="73"/>
  <c r="J38" i="73"/>
  <c r="H38" i="73"/>
  <c r="J24" i="73"/>
  <c r="J26" i="73"/>
  <c r="J22" i="73"/>
  <c r="J14" i="73"/>
  <c r="J30" i="73"/>
  <c r="J20" i="73"/>
  <c r="J23" i="73"/>
  <c r="J34" i="73"/>
  <c r="J27" i="73"/>
  <c r="H28" i="7" l="1"/>
  <c r="I38" i="73"/>
  <c r="I28" i="7" s="1"/>
  <c r="J36" i="5"/>
  <c r="J31" i="5"/>
  <c r="J17" i="5"/>
  <c r="J24" i="5"/>
  <c r="J16" i="5"/>
  <c r="J22" i="5"/>
  <c r="J32" i="5"/>
  <c r="J38" i="5"/>
  <c r="J26" i="5"/>
  <c r="J15" i="5"/>
  <c r="H38" i="5"/>
  <c r="J14" i="5"/>
  <c r="J25" i="5"/>
  <c r="J30" i="5"/>
  <c r="J13" i="5"/>
  <c r="J33" i="5"/>
  <c r="J21" i="5"/>
  <c r="J18" i="5"/>
  <c r="J19" i="5"/>
  <c r="J29" i="5"/>
  <c r="J28" i="5"/>
  <c r="J20" i="5"/>
  <c r="J23" i="5"/>
  <c r="J27" i="5"/>
  <c r="J34" i="5"/>
  <c r="J37" i="5"/>
  <c r="J35" i="5"/>
  <c r="J36" i="72"/>
  <c r="J18" i="72"/>
  <c r="J24" i="72"/>
  <c r="J21" i="72"/>
  <c r="J16" i="72"/>
  <c r="J22" i="72"/>
  <c r="J17" i="72"/>
  <c r="J28" i="72"/>
  <c r="J14" i="72"/>
  <c r="J25" i="72"/>
  <c r="J30" i="72"/>
  <c r="J32" i="72"/>
  <c r="H38" i="72"/>
  <c r="J29" i="72"/>
  <c r="J31" i="72"/>
  <c r="J33" i="72"/>
  <c r="J19" i="72"/>
  <c r="J26" i="72"/>
  <c r="J15" i="72"/>
  <c r="J38" i="72"/>
  <c r="J13" i="72"/>
  <c r="J20" i="72"/>
  <c r="J23" i="72"/>
  <c r="J27" i="72"/>
  <c r="J34" i="72"/>
  <c r="J35" i="72"/>
  <c r="J37" i="72"/>
  <c r="F20" i="77"/>
  <c r="G20" i="77" s="1"/>
  <c r="F20" i="76"/>
  <c r="G20" i="76" s="1"/>
  <c r="F20" i="78"/>
  <c r="G20" i="78" s="1"/>
  <c r="J14" i="71"/>
  <c r="H38" i="71"/>
  <c r="J24" i="71"/>
  <c r="J28" i="71"/>
  <c r="J22" i="71"/>
  <c r="J21" i="71"/>
  <c r="J16" i="71"/>
  <c r="J32" i="71"/>
  <c r="J38" i="71"/>
  <c r="J17" i="71"/>
  <c r="J33" i="71"/>
  <c r="J26" i="71"/>
  <c r="J15" i="71"/>
  <c r="J18" i="71"/>
  <c r="J25" i="71"/>
  <c r="J19" i="71"/>
  <c r="J30" i="71"/>
  <c r="J29" i="71"/>
  <c r="J31" i="71"/>
  <c r="J13" i="71"/>
  <c r="J20" i="71"/>
  <c r="J23" i="71"/>
  <c r="J34" i="71"/>
  <c r="J27" i="71"/>
  <c r="J37" i="71"/>
  <c r="J35" i="71"/>
  <c r="J36" i="71"/>
  <c r="J35" i="74"/>
  <c r="H38" i="74"/>
  <c r="J33" i="74"/>
  <c r="J26" i="74"/>
  <c r="J13" i="74"/>
  <c r="J15" i="74"/>
  <c r="J28" i="74"/>
  <c r="J38" i="74"/>
  <c r="J19" i="74"/>
  <c r="J18" i="74"/>
  <c r="J16" i="74"/>
  <c r="J32" i="74"/>
  <c r="J17" i="74"/>
  <c r="J21" i="74"/>
  <c r="J14" i="74"/>
  <c r="J25" i="74"/>
  <c r="J24" i="74"/>
  <c r="J29" i="74"/>
  <c r="J22" i="74"/>
  <c r="J31" i="74"/>
  <c r="J30" i="74"/>
  <c r="J20" i="74"/>
  <c r="J23" i="74"/>
  <c r="J34" i="74"/>
  <c r="J27" i="74"/>
  <c r="J37" i="74"/>
  <c r="J14" i="75"/>
  <c r="J25" i="75"/>
  <c r="J18" i="75"/>
  <c r="J22" i="75"/>
  <c r="J28" i="75"/>
  <c r="J19" i="75"/>
  <c r="J16" i="75"/>
  <c r="J38" i="75"/>
  <c r="J33" i="75"/>
  <c r="J24" i="75"/>
  <c r="J26" i="75"/>
  <c r="J32" i="75"/>
  <c r="J31" i="75"/>
  <c r="J30" i="75"/>
  <c r="J17" i="75"/>
  <c r="H38" i="75"/>
  <c r="J13" i="75"/>
  <c r="J29" i="75"/>
  <c r="J21" i="75"/>
  <c r="J15" i="75"/>
  <c r="J20" i="75"/>
  <c r="J23" i="75"/>
  <c r="J34" i="75"/>
  <c r="J27" i="75"/>
  <c r="J35" i="75"/>
  <c r="J37" i="75"/>
  <c r="H30" i="7" l="1"/>
  <c r="I38" i="75"/>
  <c r="I30" i="7" s="1"/>
  <c r="H29" i="7"/>
  <c r="I38" i="74"/>
  <c r="I29" i="7" s="1"/>
  <c r="H27" i="7"/>
  <c r="I38" i="72"/>
  <c r="I27" i="7" s="1"/>
  <c r="H20" i="78"/>
  <c r="I20" i="78" s="1"/>
  <c r="G23" i="78"/>
  <c r="H20" i="76"/>
  <c r="I20" i="76" s="1"/>
  <c r="G23" i="76"/>
  <c r="H26" i="7"/>
  <c r="I38" i="71"/>
  <c r="I26" i="7" s="1"/>
  <c r="H20" i="77"/>
  <c r="I20" i="77" s="1"/>
  <c r="G23" i="77"/>
  <c r="I38" i="5"/>
  <c r="I25" i="7" s="1"/>
  <c r="H25" i="7"/>
  <c r="H23" i="76" l="1"/>
  <c r="G34" i="76"/>
  <c r="G27" i="76"/>
  <c r="H23" i="77"/>
  <c r="G34" i="77"/>
  <c r="G27" i="77"/>
  <c r="G27" i="78"/>
  <c r="H23" i="78"/>
  <c r="G34" i="78"/>
  <c r="G35" i="78" l="1"/>
  <c r="G37" i="78"/>
  <c r="H34" i="78"/>
  <c r="I34" i="78" s="1"/>
  <c r="F42" i="7"/>
  <c r="I23" i="78"/>
  <c r="G42" i="7" s="1"/>
  <c r="H27" i="77"/>
  <c r="I27" i="77" s="1"/>
  <c r="H34" i="77"/>
  <c r="I34" i="77" s="1"/>
  <c r="G37" i="77"/>
  <c r="G35" i="77"/>
  <c r="G36" i="77" s="1"/>
  <c r="H34" i="76"/>
  <c r="I34" i="76" s="1"/>
  <c r="G37" i="76"/>
  <c r="G35" i="76"/>
  <c r="G36" i="76" s="1"/>
  <c r="H27" i="76"/>
  <c r="I27" i="76" s="1"/>
  <c r="H27" i="78"/>
  <c r="I27" i="78" s="1"/>
  <c r="I23" i="77"/>
  <c r="G41" i="7" s="1"/>
  <c r="F41" i="7"/>
  <c r="I23" i="76"/>
  <c r="G40" i="7" s="1"/>
  <c r="F40" i="7"/>
  <c r="H35" i="76" l="1"/>
  <c r="I35" i="76" s="1"/>
  <c r="H35" i="77"/>
  <c r="I35" i="77" s="1"/>
  <c r="H37" i="77"/>
  <c r="I37" i="77" s="1"/>
  <c r="H37" i="78"/>
  <c r="I37" i="78" s="1"/>
  <c r="H37" i="76"/>
  <c r="I37" i="76" s="1"/>
  <c r="G38" i="77"/>
  <c r="J35" i="77" s="1"/>
  <c r="H36" i="77"/>
  <c r="I36" i="77" s="1"/>
  <c r="G38" i="76"/>
  <c r="J36" i="76" s="1"/>
  <c r="H36" i="76"/>
  <c r="I36" i="76" s="1"/>
  <c r="G36" i="78"/>
  <c r="H35" i="78"/>
  <c r="I35" i="78" s="1"/>
  <c r="J31" i="76" l="1"/>
  <c r="H38" i="76"/>
  <c r="J25" i="76"/>
  <c r="J16" i="76"/>
  <c r="J17" i="76"/>
  <c r="J19" i="76"/>
  <c r="J30" i="76"/>
  <c r="J18" i="76"/>
  <c r="J28" i="76"/>
  <c r="J26" i="76"/>
  <c r="J29" i="76"/>
  <c r="J32" i="76"/>
  <c r="J14" i="76"/>
  <c r="J13" i="76"/>
  <c r="J38" i="76"/>
  <c r="J33" i="76"/>
  <c r="J24" i="76"/>
  <c r="J21" i="76"/>
  <c r="J15" i="76"/>
  <c r="J22" i="76"/>
  <c r="J20" i="76"/>
  <c r="J23" i="76"/>
  <c r="J34" i="76"/>
  <c r="J27" i="76"/>
  <c r="G38" i="78"/>
  <c r="H36" i="78"/>
  <c r="I36" i="78" s="1"/>
  <c r="J36" i="77"/>
  <c r="J17" i="77"/>
  <c r="J38" i="77"/>
  <c r="J29" i="77"/>
  <c r="J18" i="77"/>
  <c r="J19" i="77"/>
  <c r="J13" i="77"/>
  <c r="J33" i="77"/>
  <c r="J31" i="77"/>
  <c r="J21" i="77"/>
  <c r="J16" i="77"/>
  <c r="J30" i="77"/>
  <c r="J32" i="77"/>
  <c r="J25" i="77"/>
  <c r="H38" i="77"/>
  <c r="J14" i="77"/>
  <c r="J26" i="77"/>
  <c r="J24" i="77"/>
  <c r="J28" i="77"/>
  <c r="J15" i="77"/>
  <c r="J22" i="77"/>
  <c r="J20" i="77"/>
  <c r="J23" i="77"/>
  <c r="J34" i="77"/>
  <c r="J27" i="77"/>
  <c r="J37" i="76"/>
  <c r="J37" i="77"/>
  <c r="J35" i="76"/>
  <c r="J14" i="78" l="1"/>
  <c r="J19" i="78"/>
  <c r="J24" i="78"/>
  <c r="J16" i="78"/>
  <c r="J28" i="78"/>
  <c r="J38" i="78"/>
  <c r="J26" i="78"/>
  <c r="H38" i="78"/>
  <c r="J18" i="78"/>
  <c r="J21" i="78"/>
  <c r="J22" i="78"/>
  <c r="J30" i="78"/>
  <c r="J32" i="78"/>
  <c r="J17" i="78"/>
  <c r="J33" i="78"/>
  <c r="J31" i="78"/>
  <c r="J25" i="78"/>
  <c r="J29" i="78"/>
  <c r="J13" i="78"/>
  <c r="J15" i="78"/>
  <c r="J20" i="78"/>
  <c r="J23" i="78"/>
  <c r="J27" i="78"/>
  <c r="J34" i="78"/>
  <c r="J35" i="78"/>
  <c r="J37" i="78"/>
  <c r="H41" i="7"/>
  <c r="I38" i="77"/>
  <c r="I41" i="7" s="1"/>
  <c r="J36" i="78"/>
  <c r="I38" i="76"/>
  <c r="I40" i="7" s="1"/>
  <c r="H40" i="7"/>
  <c r="I38" i="78" l="1"/>
  <c r="I42" i="7" s="1"/>
  <c r="H42" i="7"/>
</calcChain>
</file>

<file path=xl/comments1.xml><?xml version="1.0" encoding="utf-8"?>
<comments xmlns="http://schemas.openxmlformats.org/spreadsheetml/2006/main">
  <authors>
    <author>AKSELRUD Uri</author>
    <author>KIM Susan</author>
  </authors>
  <commentList>
    <comment ref="Y12" authorId="0">
      <text>
        <r>
          <rPr>
            <sz val="9"/>
            <color indexed="81"/>
            <rFont val="Tahoma"/>
            <family val="2"/>
          </rPr>
          <t>uplifted for applicable line losses</t>
        </r>
      </text>
    </comment>
    <comment ref="Y13" authorId="0">
      <text>
        <r>
          <rPr>
            <sz val="9"/>
            <color indexed="81"/>
            <rFont val="Tahoma"/>
            <family val="2"/>
          </rPr>
          <t>uplifted for applicable line losses</t>
        </r>
      </text>
    </comment>
    <comment ref="Y14" authorId="0">
      <text>
        <r>
          <rPr>
            <sz val="9"/>
            <color indexed="81"/>
            <rFont val="Tahoma"/>
            <family val="2"/>
          </rPr>
          <t>uplifted for applicable line losses</t>
        </r>
      </text>
    </comment>
    <comment ref="Q15" authorId="1">
      <text>
        <r>
          <rPr>
            <sz val="8"/>
            <color indexed="81"/>
            <rFont val="Tahoma"/>
            <family val="2"/>
          </rPr>
          <t>from ST rate model, not rate design</t>
        </r>
      </text>
    </comment>
    <comment ref="S15" authorId="1">
      <text>
        <r>
          <rPr>
            <b/>
            <sz val="8"/>
            <color indexed="81"/>
            <rFont val="Tahoma"/>
            <family val="2"/>
          </rPr>
          <t>KIM Susan:</t>
        </r>
        <r>
          <rPr>
            <sz val="8"/>
            <color indexed="81"/>
            <rFont val="Tahoma"/>
            <family val="2"/>
          </rPr>
          <t xml:space="preserve">
use common lnie charge, not rate design</t>
        </r>
      </text>
    </comment>
    <comment ref="Y15" authorId="1">
      <text>
        <r>
          <rPr>
            <sz val="8"/>
            <color indexed="81"/>
            <rFont val="Tahoma"/>
            <family val="2"/>
          </rPr>
          <t>uplifted for applicable line losses</t>
        </r>
      </text>
    </comment>
  </commentList>
</comments>
</file>

<file path=xl/comments2.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comments3.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sharedStrings.xml><?xml version="1.0" encoding="utf-8"?>
<sst xmlns="http://schemas.openxmlformats.org/spreadsheetml/2006/main" count="2447" uniqueCount="123">
  <si>
    <t>UR</t>
  </si>
  <si>
    <t>R1</t>
  </si>
  <si>
    <t>R2</t>
  </si>
  <si>
    <t>Seasonal</t>
  </si>
  <si>
    <t>GSe</t>
  </si>
  <si>
    <t>GSd</t>
  </si>
  <si>
    <t>UGe</t>
  </si>
  <si>
    <t>UGd</t>
  </si>
  <si>
    <t>St Lgt</t>
  </si>
  <si>
    <t>Sen Lgt</t>
  </si>
  <si>
    <t>Dgen</t>
  </si>
  <si>
    <t>ST</t>
  </si>
  <si>
    <t>USL</t>
  </si>
  <si>
    <t>Rate Class</t>
  </si>
  <si>
    <t>Loss Factor</t>
  </si>
  <si>
    <t>Commodity Threshold</t>
  </si>
  <si>
    <t>Peak (kW)</t>
  </si>
  <si>
    <t>Charge Determinant</t>
  </si>
  <si>
    <t>kWh</t>
  </si>
  <si>
    <t>kW</t>
  </si>
  <si>
    <t>Loss factor</t>
  </si>
  <si>
    <t>Charge determinant</t>
  </si>
  <si>
    <t>Volume</t>
  </si>
  <si>
    <t>Current Rate ($)</t>
  </si>
  <si>
    <t>Current Charge ($)</t>
  </si>
  <si>
    <t>Proposed Rate ($)</t>
  </si>
  <si>
    <t>Proposed Charge ($)</t>
  </si>
  <si>
    <t>Change ($)</t>
  </si>
  <si>
    <t>Change (%)</t>
  </si>
  <si>
    <t>% of Total Bill on RPP</t>
  </si>
  <si>
    <t>% of Total Bill on TOU</t>
  </si>
  <si>
    <t>Energy First Tier (kWh)</t>
  </si>
  <si>
    <t>Energy Second Tier (kWh)</t>
  </si>
  <si>
    <t>Sub-Total:  Energy (RPP)</t>
  </si>
  <si>
    <t>TOU-Off Peak</t>
  </si>
  <si>
    <t>TOU-Mid Peak</t>
  </si>
  <si>
    <t>TOU-On Peak</t>
  </si>
  <si>
    <t>Sub-Total:  Energy (TOU)</t>
  </si>
  <si>
    <t>Service Charge</t>
  </si>
  <si>
    <t>Distribution Volumetric Rate</t>
  </si>
  <si>
    <t>Retail Transmission Rate – Network Service Rate</t>
  </si>
  <si>
    <t>Retail Transmission Rate – Line and Transformation Connection Service Rate</t>
  </si>
  <si>
    <t xml:space="preserve">Wholesale Market Service Rate </t>
  </si>
  <si>
    <t>Rural Rate Protection Charge</t>
  </si>
  <si>
    <t>Standard Supply Service – Administration Charge (if applicable)</t>
  </si>
  <si>
    <t>Sub-Total:  Regulatory</t>
  </si>
  <si>
    <t>Debt Retirement Charge (DRC)</t>
  </si>
  <si>
    <t>DGen</t>
  </si>
  <si>
    <t>Load factor</t>
  </si>
  <si>
    <t xml:space="preserve">% of Total Bill </t>
  </si>
  <si>
    <t>TOU</t>
  </si>
  <si>
    <t>Current Variable Charge ($/kWh or $/kW))</t>
  </si>
  <si>
    <t>Smart Metering Entity Charge ($/month)</t>
  </si>
  <si>
    <t>Smart Meter Adder ($/month)</t>
  </si>
  <si>
    <t>Current Fixed Charge ($/month)</t>
  </si>
  <si>
    <t>Proposed Fixed Charge ($/month)</t>
  </si>
  <si>
    <t>Proposed RTSR-NW ($/kWh or $/kW)</t>
  </si>
  <si>
    <t>Proposed volumetric Charge ($/kWh or $/kW)</t>
  </si>
  <si>
    <t>Current RTSR-NW ($/kWh or $/kW)</t>
  </si>
  <si>
    <t>Current RTSR-CONN ($/kWh or $/kW)</t>
  </si>
  <si>
    <t>Low</t>
  </si>
  <si>
    <t>High</t>
  </si>
  <si>
    <t>Monthly Consumption (kWh)</t>
  </si>
  <si>
    <t>Change in DX Bill ($)</t>
  </si>
  <si>
    <t>Change in Total Bill ($)</t>
  </si>
  <si>
    <t>Change in DX Bill (%)</t>
  </si>
  <si>
    <t>Change in Total Bill (%)</t>
  </si>
  <si>
    <t>Consumption Level</t>
  </si>
  <si>
    <t>Monthly Peak (kW)</t>
  </si>
  <si>
    <t>Commodity Price Used</t>
  </si>
  <si>
    <t>RPP Tier 1 (assumed RPP Tier 1 price is close to WAHSP)</t>
  </si>
  <si>
    <t>Avg Monthly Peak (kW)</t>
  </si>
  <si>
    <t>Sub-Total:  Distribution (excluding pass through)</t>
  </si>
  <si>
    <t>Smart Metering Entity Charge</t>
  </si>
  <si>
    <t>Line Losses on Cost of Power (based on TOU prices)</t>
  </si>
  <si>
    <t>Line Losses on Cost of Power (based on two-tier RPP prices)</t>
  </si>
  <si>
    <t xml:space="preserve">Sub-Total:  Retail Transmission </t>
  </si>
  <si>
    <t>Sub-Total:  Distribution (based on TOU prices)</t>
  </si>
  <si>
    <t>Sub-Total:  Distribution (based on two-tier RPP prices)</t>
  </si>
  <si>
    <t xml:space="preserve">Sub-Total:  Distribution </t>
  </si>
  <si>
    <t xml:space="preserve">Sub-Total:  Delivery </t>
  </si>
  <si>
    <t xml:space="preserve">Line Losses on Cost of Power </t>
  </si>
  <si>
    <t>Monthly Consumption (kWh) - Uplifted</t>
  </si>
  <si>
    <t>Smart Meter Adder</t>
  </si>
  <si>
    <t>Fixed Smoothing Rider</t>
  </si>
  <si>
    <t>Fixed Deferral/Variance Account Rider</t>
  </si>
  <si>
    <t>Proposed Def/VA rate rider Volumetric($/kWh or $/kW)</t>
  </si>
  <si>
    <t>Proposed Def/VA rate rider Fixed ($/month)</t>
  </si>
  <si>
    <t>Current Def/VA rate rider Fixed ($/month)</t>
  </si>
  <si>
    <t>Current Def/VA rate rider Volumetric ($/kWh or $/kW)</t>
  </si>
  <si>
    <t>Typical</t>
  </si>
  <si>
    <t>Sub-Total:  Delivery (based on two-tier RPP prices)</t>
  </si>
  <si>
    <t>Sub-Total:  Delivery (based on TOU prices)</t>
  </si>
  <si>
    <t>Sub-Total:  Distribution</t>
  </si>
  <si>
    <t>Current Foregone Revenue Riders Fixed ($/month)</t>
  </si>
  <si>
    <t>Two-tier RPP</t>
  </si>
  <si>
    <t>Ontario Electricity Support Program Charge</t>
  </si>
  <si>
    <t>Proposed RTSR-CONN ($/kWh or $/kW)</t>
  </si>
  <si>
    <t>Current Rate Rider for Disposition of Global Adjustment Account</t>
  </si>
  <si>
    <t>Proposed Rate Rider for Disposition of Global Adjustment Account</t>
  </si>
  <si>
    <t>Proposed Foregone Revenue Riders Fixed ($/month)</t>
  </si>
  <si>
    <t xml:space="preserve">Total  Electricty Charge on Two-Tier RPP </t>
  </si>
  <si>
    <t xml:space="preserve">     HST</t>
  </si>
  <si>
    <t>Total Electricity Charge on Two-Tier RPP (including HST)</t>
  </si>
  <si>
    <t>Rebate equal to Ontario portion of HST (8%)</t>
  </si>
  <si>
    <t>Total Amount on Two-Tier RPP</t>
  </si>
  <si>
    <t>Total Electricty Charge on TOU (before HST)</t>
  </si>
  <si>
    <t>Total Electricity Charge on TOU (including HST)</t>
  </si>
  <si>
    <t>Volumetric Global Adjustment Account Rider</t>
  </si>
  <si>
    <t>Fixed Foregone Revenue Rider</t>
  </si>
  <si>
    <t>Fixed Foregone Revenue</t>
  </si>
  <si>
    <t>Total Electricity Charge on Two-Tier RPP (before HST)</t>
  </si>
  <si>
    <t>Service Charge (RRRP credit applied)</t>
  </si>
  <si>
    <t>Average</t>
  </si>
  <si>
    <t>kWh (Consumption)</t>
  </si>
  <si>
    <t>kW (Peak)</t>
  </si>
  <si>
    <t>Total Amount on TOU</t>
  </si>
  <si>
    <t>2020 Bill Impacts (Low Consumption Level)</t>
  </si>
  <si>
    <t>2020 Bill Impacts (Typical Consumption Level)</t>
  </si>
  <si>
    <t>2020 Bill Impacts (Average Consumption Level)</t>
  </si>
  <si>
    <t>2020 Bill Impacts (High Consumption Level)</t>
  </si>
  <si>
    <t>Volumetric Deferral/Variance Account Rider (including CBR Class B rider)</t>
  </si>
  <si>
    <t>2019 Total Bill</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</si>
</sst>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000"/>
    <numFmt numFmtId="166" formatCode="#,##0.000"/>
    <numFmt numFmtId="167" formatCode="#,##0.0000"/>
    <numFmt numFmtId="168" formatCode="0.00000000"/>
    <numFmt numFmtId="169" formatCode="0.000"/>
    <numFmt numFmtId="170" formatCode="_(&quot;$&quot;* #,##0_);_(&quot;$&quot;* \(#,##0\);_(&quot;$&quot;* &quot;-&quot;??_);_(@_)"/>
    <numFmt numFmtId="171" formatCode="#,##0.0_);\(#,##0.0\)"/>
    <numFmt numFmtId="172" formatCode="_(* #,##0.0_);_(* \(#,##0.0\);_(* &quot;-&quot;??_);_(@_)"/>
    <numFmt numFmtId="173" formatCode="#,##0.00000_);\(#,##0.00000\)"/>
    <numFmt numFmtId="174" formatCode="0.0\x"/>
    <numFmt numFmtId="175" formatCode="#,##0.000_);\(#,##0.000\)"/>
    <numFmt numFmtId="176" formatCode="#,##0;&quot;\&quot;&quot;\&quot;&quot;\&quot;&quot;\&quot;\(#,##0&quot;\&quot;&quot;\&quot;&quot;\&quot;&quot;\&quot;\)"/>
    <numFmt numFmtId="177" formatCode="&quot;\&quot;&quot;\&quot;&quot;\&quot;&quot;\&quot;\$#,##0.00;&quot;\&quot;&quot;\&quot;&quot;\&quot;&quot;\&quot;\(&quot;\&quot;&quot;\&quot;&quot;\&quot;&quot;\&quot;\$#,##0.00&quot;\&quot;&quot;\&quot;&quot;\&quot;&quot;\&quot;\)"/>
    <numFmt numFmtId="178" formatCode="&quot;\&quot;&quot;\&quot;&quot;\&quot;&quot;\&quot;\$#,##0;&quot;\&quot;&quot;\&quot;&quot;\&quot;&quot;\&quot;\(&quot;\&quot;&quot;\&quot;&quot;\&quot;&quot;\&quot;\$#,##0&quot;\&quot;&quot;\&quot;&quot;\&quot;&quot;\&quot;\)"/>
    <numFmt numFmtId="179" formatCode="_-&quot;$&quot;* #,##0.00_-;\-&quot;$&quot;* #,##0.00_-;_-&quot;$&quot;* &quot;-&quot;??_-;_-@_-"/>
    <numFmt numFmtId="180" formatCode="0.00\x"/>
    <numFmt numFmtId="181" formatCode="0.00000"/>
  </numFmts>
  <fonts count="16" x14ac:knownFonts="1">
    <font>
      <sz val="10"/>
      <name val="Arial"/>
      <family val="2"/>
    </font>
    <font>
      <sz val="11"/>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12"/>
      <name val="Times New Roman"/>
      <family val="1"/>
    </font>
    <font>
      <sz val="9"/>
      <color indexed="81"/>
      <name val="Tahoma"/>
      <family val="2"/>
    </font>
    <font>
      <sz val="10"/>
      <name val="Arial"/>
      <family val="2"/>
    </font>
    <font>
      <sz val="9"/>
      <name val="Arial"/>
      <family val="2"/>
    </font>
    <font>
      <sz val="10"/>
      <name val="Times New Roman"/>
      <family val="1"/>
    </font>
    <font>
      <sz val="8"/>
      <name val="Arial"/>
      <family val="2"/>
    </font>
    <font>
      <b/>
      <sz val="12"/>
      <name val="Arial"/>
      <family val="2"/>
    </font>
    <font>
      <sz val="8"/>
      <name val="Times New Roman"/>
      <family val="1"/>
    </font>
    <font>
      <sz val="10"/>
      <name val="MS Sans Serif"/>
      <family val="2"/>
    </font>
    <font>
      <b/>
      <sz val="10"/>
      <name val="MS Sans Serif"/>
      <family val="2"/>
    </font>
  </fonts>
  <fills count="13">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CCCC"/>
        <bgColor indexed="64"/>
      </patternFill>
    </fill>
    <fill>
      <patternFill patternType="solid">
        <fgColor rgb="FFCCFFCC"/>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s>
  <cellStyleXfs count="46">
    <xf numFmtId="0" fontId="0" fillId="0" borderId="0"/>
    <xf numFmtId="43" fontId="2"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164" fontId="2" fillId="0" borderId="0"/>
    <xf numFmtId="164" fontId="2" fillId="0" borderId="0"/>
    <xf numFmtId="164" fontId="2" fillId="0" borderId="0"/>
    <xf numFmtId="170" fontId="9" fillId="0" borderId="0"/>
    <xf numFmtId="171" fontId="2" fillId="0" borderId="0" applyFont="0" applyFill="0" applyBorder="0" applyAlignment="0" applyProtection="0"/>
    <xf numFmtId="172" fontId="2" fillId="0" borderId="0" applyFont="0" applyFill="0" applyBorder="0" applyAlignment="0" applyProtection="0"/>
    <xf numFmtId="39"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5" fontId="2" fillId="0" borderId="0" applyFont="0" applyFill="0" applyBorder="0" applyAlignment="0" applyProtection="0"/>
    <xf numFmtId="176" fontId="10" fillId="0" borderId="0"/>
    <xf numFmtId="177" fontId="10" fillId="0" borderId="0"/>
    <xf numFmtId="178" fontId="10" fillId="0" borderId="0"/>
    <xf numFmtId="38" fontId="11" fillId="8" borderId="0" applyNumberFormat="0" applyBorder="0" applyAlignment="0" applyProtection="0"/>
    <xf numFmtId="0" fontId="12" fillId="0" borderId="16" applyNumberFormat="0" applyAlignment="0" applyProtection="0">
      <alignment horizontal="left" vertical="center"/>
    </xf>
    <xf numFmtId="0" fontId="12" fillId="0" borderId="15">
      <alignment horizontal="left" vertical="center"/>
    </xf>
    <xf numFmtId="10" fontId="11" fillId="9" borderId="1" applyNumberFormat="0" applyBorder="0" applyAlignment="0" applyProtection="0"/>
    <xf numFmtId="179" fontId="9" fillId="0" borderId="0"/>
    <xf numFmtId="166" fontId="2" fillId="0" borderId="0"/>
    <xf numFmtId="0" fontId="2" fillId="0" borderId="0"/>
    <xf numFmtId="7" fontId="10" fillId="0" borderId="0"/>
    <xf numFmtId="37" fontId="13" fillId="10" borderId="0">
      <alignment horizontal="right"/>
    </xf>
    <xf numFmtId="10" fontId="2" fillId="0" borderId="0" applyFont="0" applyFill="0" applyBorder="0" applyAlignment="0" applyProtection="0"/>
    <xf numFmtId="0" fontId="14" fillId="0" borderId="0" applyNumberFormat="0" applyFont="0" applyFill="0" applyBorder="0" applyAlignment="0" applyProtection="0">
      <alignment horizontal="left"/>
    </xf>
    <xf numFmtId="15" fontId="14" fillId="0" borderId="0" applyFont="0" applyFill="0" applyBorder="0" applyAlignment="0" applyProtection="0"/>
    <xf numFmtId="4" fontId="14" fillId="0" borderId="0" applyFont="0" applyFill="0" applyBorder="0" applyAlignment="0" applyProtection="0"/>
    <xf numFmtId="0" fontId="15" fillId="0" borderId="36">
      <alignment horizontal="center"/>
    </xf>
    <xf numFmtId="3" fontId="14" fillId="0" borderId="0" applyFont="0" applyFill="0" applyBorder="0" applyAlignment="0" applyProtection="0"/>
    <xf numFmtId="0" fontId="14" fillId="11" borderId="0" applyNumberFormat="0" applyFont="0" applyBorder="0" applyAlignment="0" applyProtection="0"/>
    <xf numFmtId="1" fontId="2" fillId="0" borderId="0"/>
    <xf numFmtId="0" fontId="2" fillId="0" borderId="0" applyFont="0" applyFill="0" applyBorder="0" applyAlignment="0" applyProtection="0"/>
    <xf numFmtId="0" fontId="2" fillId="0" borderId="0">
      <alignment vertical="top"/>
    </xf>
    <xf numFmtId="0" fontId="2" fillId="0" borderId="0">
      <alignment vertical="top"/>
    </xf>
    <xf numFmtId="180" fontId="2" fillId="0" borderId="0"/>
    <xf numFmtId="180" fontId="2" fillId="0" borderId="0"/>
    <xf numFmtId="180" fontId="2" fillId="0" borderId="0"/>
  </cellStyleXfs>
  <cellXfs count="191">
    <xf numFmtId="0" fontId="0" fillId="0" borderId="0" xfId="0"/>
    <xf numFmtId="0" fontId="3" fillId="0" borderId="0" xfId="0" applyFont="1"/>
    <xf numFmtId="0" fontId="0" fillId="0" borderId="1" xfId="0" applyBorder="1"/>
    <xf numFmtId="2" fontId="0" fillId="0" borderId="1" xfId="0" applyNumberFormat="1" applyBorder="1"/>
    <xf numFmtId="0" fontId="0" fillId="0" borderId="1" xfId="0" applyBorder="1" applyAlignment="1">
      <alignment horizontal="center"/>
    </xf>
    <xf numFmtId="3" fontId="0" fillId="0" borderId="0" xfId="0" applyNumberFormat="1"/>
    <xf numFmtId="0" fontId="3" fillId="0" borderId="1" xfId="0" applyFont="1" applyBorder="1"/>
    <xf numFmtId="3" fontId="0" fillId="0" borderId="1" xfId="0" applyNumberFormat="1" applyBorder="1"/>
    <xf numFmtId="0" fontId="3" fillId="0" borderId="1" xfId="0" applyFont="1" applyFill="1" applyBorder="1"/>
    <xf numFmtId="0" fontId="3"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vertical="center"/>
    </xf>
    <xf numFmtId="0" fontId="3" fillId="2" borderId="1" xfId="0" applyFont="1" applyFill="1" applyBorder="1" applyAlignment="1">
      <alignment horizontal="center"/>
    </xf>
    <xf numFmtId="10" fontId="2" fillId="0" borderId="0" xfId="4" applyNumberFormat="1" applyFont="1"/>
    <xf numFmtId="0" fontId="0" fillId="2" borderId="1" xfId="0" applyFill="1" applyBorder="1"/>
    <xf numFmtId="0" fontId="0" fillId="2" borderId="1" xfId="0" applyFill="1" applyBorder="1" applyAlignment="1">
      <alignment horizontal="right"/>
    </xf>
    <xf numFmtId="0" fontId="3" fillId="0" borderId="4" xfId="0" applyFont="1" applyBorder="1" applyAlignment="1">
      <alignment horizontal="center" wrapText="1"/>
    </xf>
    <xf numFmtId="0" fontId="3" fillId="0" borderId="5" xfId="0" applyFont="1" applyBorder="1" applyAlignment="1">
      <alignment horizontal="center" wrapText="1"/>
    </xf>
    <xf numFmtId="10" fontId="3" fillId="0" borderId="6" xfId="4" applyNumberFormat="1" applyFont="1" applyBorder="1" applyAlignment="1">
      <alignment horizontal="center" wrapText="1"/>
    </xf>
    <xf numFmtId="0" fontId="3" fillId="0" borderId="0" xfId="0" applyFont="1" applyAlignment="1">
      <alignment horizontal="center" wrapText="1"/>
    </xf>
    <xf numFmtId="166" fontId="0" fillId="0" borderId="1" xfId="0" applyNumberFormat="1" applyBorder="1"/>
    <xf numFmtId="4" fontId="0" fillId="0" borderId="1" xfId="0" applyNumberFormat="1" applyBorder="1"/>
    <xf numFmtId="10" fontId="0" fillId="0" borderId="1" xfId="4" applyNumberFormat="1" applyFont="1" applyBorder="1"/>
    <xf numFmtId="4" fontId="3" fillId="3" borderId="1" xfId="0" applyNumberFormat="1" applyFont="1" applyFill="1" applyBorder="1" applyAlignment="1">
      <alignment horizontal="center"/>
    </xf>
    <xf numFmtId="4" fontId="3" fillId="3" borderId="1" xfId="0" applyNumberFormat="1" applyFont="1" applyFill="1" applyBorder="1"/>
    <xf numFmtId="4" fontId="0" fillId="3" borderId="1" xfId="0" applyNumberFormat="1" applyFill="1" applyBorder="1"/>
    <xf numFmtId="10" fontId="3" fillId="3" borderId="1" xfId="4" applyNumberFormat="1" applyFont="1" applyFill="1" applyBorder="1"/>
    <xf numFmtId="166" fontId="2" fillId="0" borderId="1" xfId="0" applyNumberFormat="1" applyFont="1" applyBorder="1"/>
    <xf numFmtId="4" fontId="3" fillId="4" borderId="1" xfId="0" applyNumberFormat="1" applyFont="1" applyFill="1" applyBorder="1" applyAlignment="1">
      <alignment horizontal="center"/>
    </xf>
    <xf numFmtId="4" fontId="3" fillId="4" borderId="1" xfId="0" applyNumberFormat="1" applyFont="1" applyFill="1" applyBorder="1"/>
    <xf numFmtId="4" fontId="0" fillId="4" borderId="1" xfId="0" applyNumberFormat="1" applyFill="1" applyBorder="1"/>
    <xf numFmtId="10" fontId="2" fillId="4" borderId="1" xfId="4" applyNumberFormat="1" applyFont="1" applyFill="1" applyBorder="1"/>
    <xf numFmtId="10" fontId="3" fillId="4" borderId="1" xfId="4" applyNumberFormat="1" applyFont="1" applyFill="1" applyBorder="1"/>
    <xf numFmtId="167" fontId="0" fillId="0" borderId="1" xfId="0" applyNumberFormat="1" applyBorder="1"/>
    <xf numFmtId="4" fontId="3" fillId="0" borderId="1" xfId="0" applyNumberFormat="1" applyFont="1" applyBorder="1"/>
    <xf numFmtId="10" fontId="3" fillId="0" borderId="1" xfId="4" applyNumberFormat="1" applyFont="1" applyBorder="1"/>
    <xf numFmtId="0" fontId="3" fillId="3" borderId="7" xfId="0" applyFont="1" applyFill="1" applyBorder="1"/>
    <xf numFmtId="4" fontId="3" fillId="3" borderId="8" xfId="0" applyNumberFormat="1" applyFont="1" applyFill="1" applyBorder="1" applyAlignment="1">
      <alignment horizontal="center"/>
    </xf>
    <xf numFmtId="4" fontId="3" fillId="3" borderId="8" xfId="0" applyNumberFormat="1" applyFont="1" applyFill="1" applyBorder="1"/>
    <xf numFmtId="10" fontId="3" fillId="3" borderId="8" xfId="4" applyNumberFormat="1" applyFont="1" applyFill="1" applyBorder="1"/>
    <xf numFmtId="10" fontId="3" fillId="3" borderId="9" xfId="4" applyNumberFormat="1" applyFont="1" applyFill="1" applyBorder="1"/>
    <xf numFmtId="0" fontId="2" fillId="3" borderId="10" xfId="0" applyFont="1" applyFill="1" applyBorder="1"/>
    <xf numFmtId="4" fontId="0" fillId="3" borderId="1" xfId="0" applyNumberFormat="1" applyFill="1" applyBorder="1" applyAlignment="1">
      <alignment horizontal="center"/>
    </xf>
    <xf numFmtId="10" fontId="2" fillId="3" borderId="1" xfId="4" applyNumberFormat="1" applyFont="1" applyFill="1" applyBorder="1"/>
    <xf numFmtId="10" fontId="2" fillId="3" borderId="11" xfId="4" applyNumberFormat="1" applyFont="1" applyFill="1" applyBorder="1"/>
    <xf numFmtId="0" fontId="3" fillId="3" borderId="10" xfId="0" applyFont="1" applyFill="1" applyBorder="1"/>
    <xf numFmtId="10" fontId="3" fillId="3" borderId="11" xfId="4" applyNumberFormat="1" applyFont="1" applyFill="1" applyBorder="1"/>
    <xf numFmtId="0" fontId="3" fillId="3" borderId="12" xfId="0" applyFont="1" applyFill="1" applyBorder="1"/>
    <xf numFmtId="4" fontId="3" fillId="3" borderId="13" xfId="0" applyNumberFormat="1" applyFont="1" applyFill="1" applyBorder="1" applyAlignment="1">
      <alignment horizontal="center"/>
    </xf>
    <xf numFmtId="4" fontId="3" fillId="3" borderId="13" xfId="0" applyNumberFormat="1" applyFont="1" applyFill="1" applyBorder="1"/>
    <xf numFmtId="10" fontId="3" fillId="3" borderId="13" xfId="4" applyNumberFormat="1" applyFont="1" applyFill="1" applyBorder="1"/>
    <xf numFmtId="10" fontId="3" fillId="3" borderId="14" xfId="4" applyNumberFormat="1" applyFont="1" applyFill="1" applyBorder="1"/>
    <xf numFmtId="0" fontId="3" fillId="4" borderId="7" xfId="0" applyFont="1" applyFill="1" applyBorder="1"/>
    <xf numFmtId="4" fontId="3" fillId="4" borderId="8" xfId="0" applyNumberFormat="1" applyFont="1" applyFill="1" applyBorder="1" applyAlignment="1">
      <alignment horizontal="center"/>
    </xf>
    <xf numFmtId="4" fontId="3" fillId="4" borderId="8" xfId="0" applyNumberFormat="1" applyFont="1" applyFill="1" applyBorder="1"/>
    <xf numFmtId="10" fontId="3" fillId="4" borderId="8" xfId="4" applyNumberFormat="1" applyFont="1" applyFill="1" applyBorder="1"/>
    <xf numFmtId="10" fontId="3" fillId="4" borderId="9" xfId="4" applyNumberFormat="1" applyFont="1" applyFill="1" applyBorder="1"/>
    <xf numFmtId="0" fontId="2" fillId="4" borderId="10" xfId="0" applyFont="1" applyFill="1" applyBorder="1"/>
    <xf numFmtId="4" fontId="0" fillId="4" borderId="1" xfId="0" applyNumberFormat="1" applyFill="1" applyBorder="1" applyAlignment="1">
      <alignment horizontal="center"/>
    </xf>
    <xf numFmtId="10" fontId="2" fillId="4" borderId="11" xfId="4" applyNumberFormat="1" applyFont="1" applyFill="1" applyBorder="1"/>
    <xf numFmtId="0" fontId="3" fillId="4" borderId="10" xfId="0" applyFont="1" applyFill="1" applyBorder="1"/>
    <xf numFmtId="10" fontId="3" fillId="4" borderId="11" xfId="4" applyNumberFormat="1" applyFont="1" applyFill="1" applyBorder="1"/>
    <xf numFmtId="0" fontId="3" fillId="4" borderId="12" xfId="0" applyFont="1" applyFill="1" applyBorder="1"/>
    <xf numFmtId="4" fontId="3" fillId="4" borderId="13" xfId="0" applyNumberFormat="1" applyFont="1" applyFill="1" applyBorder="1" applyAlignment="1">
      <alignment horizontal="center"/>
    </xf>
    <xf numFmtId="4" fontId="3" fillId="4" borderId="13" xfId="0" applyNumberFormat="1" applyFont="1" applyFill="1" applyBorder="1"/>
    <xf numFmtId="10" fontId="3" fillId="4" borderId="13" xfId="4" applyNumberFormat="1" applyFont="1" applyFill="1" applyBorder="1"/>
    <xf numFmtId="10" fontId="3" fillId="4" borderId="14" xfId="4" applyNumberFormat="1" applyFont="1" applyFill="1" applyBorder="1"/>
    <xf numFmtId="165" fontId="0" fillId="0" borderId="0" xfId="0" applyNumberFormat="1"/>
    <xf numFmtId="10" fontId="0" fillId="0" borderId="0" xfId="4" applyNumberFormat="1" applyFont="1"/>
    <xf numFmtId="6" fontId="0" fillId="0" borderId="0" xfId="0" applyNumberFormat="1"/>
    <xf numFmtId="164" fontId="0" fillId="0" borderId="0" xfId="1" applyNumberFormat="1" applyFont="1"/>
    <xf numFmtId="168" fontId="0" fillId="0" borderId="0" xfId="0" applyNumberFormat="1"/>
    <xf numFmtId="3" fontId="0" fillId="0" borderId="1" xfId="0" applyNumberFormat="1" applyBorder="1" applyAlignment="1">
      <alignment horizontal="center"/>
    </xf>
    <xf numFmtId="3" fontId="3" fillId="0" borderId="1" xfId="0" applyNumberFormat="1" applyFont="1" applyBorder="1" applyAlignment="1">
      <alignment horizontal="center"/>
    </xf>
    <xf numFmtId="3" fontId="2" fillId="0" borderId="1" xfId="0" applyNumberFormat="1" applyFont="1" applyBorder="1" applyAlignment="1">
      <alignment horizontal="center"/>
    </xf>
    <xf numFmtId="3" fontId="0" fillId="3" borderId="1" xfId="0" applyNumberFormat="1" applyFill="1" applyBorder="1" applyAlignment="1">
      <alignment horizontal="center"/>
    </xf>
    <xf numFmtId="3" fontId="0" fillId="4" borderId="1" xfId="0" applyNumberFormat="1" applyFill="1" applyBorder="1" applyAlignment="1">
      <alignment horizontal="center"/>
    </xf>
    <xf numFmtId="0" fontId="0" fillId="5" borderId="1" xfId="0" applyFill="1" applyBorder="1"/>
    <xf numFmtId="3" fontId="0" fillId="2" borderId="1" xfId="0" applyNumberFormat="1" applyFill="1" applyBorder="1"/>
    <xf numFmtId="166" fontId="0" fillId="2" borderId="1" xfId="0" applyNumberFormat="1" applyFill="1" applyBorder="1"/>
    <xf numFmtId="0" fontId="2" fillId="2" borderId="1" xfId="0" applyFont="1" applyFill="1" applyBorder="1"/>
    <xf numFmtId="9" fontId="2" fillId="2" borderId="1" xfId="4" applyFont="1" applyFill="1" applyBorder="1"/>
    <xf numFmtId="3" fontId="3" fillId="0" borderId="9" xfId="0" applyNumberFormat="1" applyFont="1" applyBorder="1" applyAlignment="1">
      <alignment horizontal="center"/>
    </xf>
    <xf numFmtId="3" fontId="3" fillId="0" borderId="11" xfId="0" applyNumberFormat="1" applyFont="1" applyBorder="1" applyAlignment="1">
      <alignment horizontal="center"/>
    </xf>
    <xf numFmtId="3" fontId="3" fillId="0" borderId="14" xfId="0" applyNumberFormat="1" applyFont="1" applyBorder="1" applyAlignment="1">
      <alignment horizontal="center"/>
    </xf>
    <xf numFmtId="0" fontId="3" fillId="6" borderId="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center"/>
    </xf>
    <xf numFmtId="3" fontId="3" fillId="0" borderId="10" xfId="0" applyNumberFormat="1" applyFont="1" applyBorder="1" applyAlignment="1">
      <alignment horizontal="center"/>
    </xf>
    <xf numFmtId="3" fontId="3" fillId="0" borderId="12" xfId="0" applyNumberFormat="1" applyFont="1" applyBorder="1" applyAlignment="1">
      <alignment horizontal="center"/>
    </xf>
    <xf numFmtId="0" fontId="3" fillId="0" borderId="23" xfId="0" applyFont="1" applyBorder="1" applyAlignment="1">
      <alignment horizontal="center" vertical="center" wrapText="1"/>
    </xf>
    <xf numFmtId="0" fontId="3" fillId="0" borderId="32" xfId="0" applyFont="1" applyBorder="1" applyAlignment="1">
      <alignment horizontal="center" wrapText="1"/>
    </xf>
    <xf numFmtId="0" fontId="3" fillId="0" borderId="33" xfId="0" applyFont="1" applyBorder="1" applyAlignment="1">
      <alignment horizontal="center" vertical="center" wrapText="1"/>
    </xf>
    <xf numFmtId="3" fontId="3" fillId="0" borderId="7" xfId="0" applyNumberFormat="1" applyFont="1" applyBorder="1" applyAlignment="1">
      <alignment horizontal="center"/>
    </xf>
    <xf numFmtId="0" fontId="3" fillId="0" borderId="24" xfId="0" applyFont="1" applyBorder="1" applyAlignment="1">
      <alignment horizontal="center" vertical="center" wrapText="1"/>
    </xf>
    <xf numFmtId="165" fontId="0" fillId="0" borderId="1" xfId="0" applyNumberFormat="1" applyBorder="1"/>
    <xf numFmtId="0" fontId="0" fillId="0" borderId="7" xfId="0" applyBorder="1"/>
    <xf numFmtId="3" fontId="0" fillId="0" borderId="8" xfId="0" applyNumberFormat="1" applyBorder="1" applyAlignment="1">
      <alignment horizontal="center"/>
    </xf>
    <xf numFmtId="166" fontId="0" fillId="0" borderId="8" xfId="0" applyNumberFormat="1" applyBorder="1"/>
    <xf numFmtId="4" fontId="0" fillId="0" borderId="8" xfId="0" applyNumberFormat="1" applyBorder="1"/>
    <xf numFmtId="10" fontId="0" fillId="0" borderId="8" xfId="4" applyNumberFormat="1" applyFont="1" applyBorder="1"/>
    <xf numFmtId="10" fontId="2" fillId="0" borderId="9" xfId="4" applyNumberFormat="1" applyFont="1" applyBorder="1"/>
    <xf numFmtId="0" fontId="0" fillId="0" borderId="10" xfId="0" applyBorder="1"/>
    <xf numFmtId="10" fontId="2" fillId="0" borderId="11" xfId="4" applyNumberFormat="1" applyFont="1" applyBorder="1"/>
    <xf numFmtId="0" fontId="2" fillId="0" borderId="10" xfId="0" applyFont="1" applyBorder="1"/>
    <xf numFmtId="0" fontId="3" fillId="0" borderId="10" xfId="0" applyFont="1" applyBorder="1"/>
    <xf numFmtId="10" fontId="3" fillId="0" borderId="11" xfId="4" applyNumberFormat="1" applyFont="1" applyBorder="1"/>
    <xf numFmtId="0" fontId="3" fillId="0" borderId="12" xfId="0" applyFont="1" applyBorder="1"/>
    <xf numFmtId="3" fontId="2" fillId="0" borderId="13" xfId="0" applyNumberFormat="1" applyFont="1" applyBorder="1" applyAlignment="1">
      <alignment horizontal="center"/>
    </xf>
    <xf numFmtId="166" fontId="2" fillId="0" borderId="13" xfId="0" applyNumberFormat="1" applyFont="1" applyBorder="1"/>
    <xf numFmtId="4" fontId="3" fillId="0" borderId="13" xfId="0" applyNumberFormat="1" applyFont="1" applyBorder="1"/>
    <xf numFmtId="3" fontId="0" fillId="0" borderId="13" xfId="0" applyNumberFormat="1" applyBorder="1" applyAlignment="1">
      <alignment horizontal="center"/>
    </xf>
    <xf numFmtId="10" fontId="3" fillId="0" borderId="13" xfId="4" applyNumberFormat="1" applyFont="1" applyBorder="1"/>
    <xf numFmtId="10" fontId="3" fillId="0" borderId="14" xfId="4" applyNumberFormat="1" applyFont="1" applyBorder="1"/>
    <xf numFmtId="0" fontId="0" fillId="0" borderId="10" xfId="0" applyFont="1" applyBorder="1"/>
    <xf numFmtId="3" fontId="0" fillId="0" borderId="1" xfId="0" applyNumberFormat="1" applyFont="1" applyBorder="1" applyAlignment="1">
      <alignment horizontal="center"/>
    </xf>
    <xf numFmtId="2" fontId="0" fillId="5" borderId="1" xfId="0" applyNumberFormat="1" applyFill="1" applyBorder="1"/>
    <xf numFmtId="0" fontId="3" fillId="0" borderId="6" xfId="0" applyFont="1" applyBorder="1" applyAlignment="1">
      <alignment horizontal="center" wrapText="1"/>
    </xf>
    <xf numFmtId="10" fontId="0" fillId="0" borderId="9" xfId="4" applyNumberFormat="1" applyFont="1" applyBorder="1"/>
    <xf numFmtId="10" fontId="0" fillId="0" borderId="11" xfId="4" applyNumberFormat="1" applyFont="1" applyBorder="1"/>
    <xf numFmtId="165" fontId="0" fillId="5" borderId="1" xfId="0" applyNumberFormat="1" applyFill="1" applyBorder="1"/>
    <xf numFmtId="169" fontId="0" fillId="0" borderId="1" xfId="0" applyNumberFormat="1" applyBorder="1"/>
    <xf numFmtId="0" fontId="6" fillId="0" borderId="0" xfId="0" applyFont="1" applyBorder="1" applyAlignment="1"/>
    <xf numFmtId="4" fontId="0" fillId="0" borderId="0" xfId="0" applyNumberFormat="1"/>
    <xf numFmtId="0" fontId="0" fillId="0" borderId="0" xfId="0" applyAlignment="1">
      <alignment horizontal="right"/>
    </xf>
    <xf numFmtId="0" fontId="0" fillId="0" borderId="0" xfId="0" quotePrefix="1" applyAlignment="1">
      <alignment horizontal="right"/>
    </xf>
    <xf numFmtId="10" fontId="0" fillId="0" borderId="0" xfId="4" applyNumberFormat="1" applyFont="1" applyAlignment="1">
      <alignment horizontal="right"/>
    </xf>
    <xf numFmtId="7" fontId="10" fillId="7" borderId="19" xfId="2" applyNumberFormat="1" applyFont="1" applyFill="1" applyBorder="1" applyAlignment="1">
      <alignment horizontal="center"/>
    </xf>
    <xf numFmtId="10" fontId="10" fillId="7" borderId="21" xfId="3" applyNumberFormat="1" applyFont="1" applyFill="1" applyBorder="1" applyAlignment="1">
      <alignment horizontal="center"/>
    </xf>
    <xf numFmtId="7" fontId="10" fillId="6" borderId="7" xfId="0" applyNumberFormat="1" applyFont="1" applyFill="1" applyBorder="1" applyAlignment="1">
      <alignment horizontal="center"/>
    </xf>
    <xf numFmtId="7" fontId="10" fillId="7" borderId="3" xfId="2" applyNumberFormat="1" applyFont="1" applyFill="1" applyBorder="1" applyAlignment="1">
      <alignment horizontal="center"/>
    </xf>
    <xf numFmtId="10" fontId="10" fillId="7" borderId="3" xfId="3" applyNumberFormat="1" applyFont="1" applyFill="1" applyBorder="1" applyAlignment="1">
      <alignment horizontal="center"/>
    </xf>
    <xf numFmtId="7" fontId="10" fillId="6" borderId="10" xfId="0" applyNumberFormat="1" applyFont="1" applyFill="1" applyBorder="1" applyAlignment="1">
      <alignment horizontal="center"/>
    </xf>
    <xf numFmtId="7" fontId="10" fillId="7" borderId="20" xfId="2" applyNumberFormat="1" applyFont="1" applyFill="1" applyBorder="1" applyAlignment="1">
      <alignment horizontal="center"/>
    </xf>
    <xf numFmtId="10" fontId="10" fillId="7" borderId="22" xfId="3" applyNumberFormat="1" applyFont="1" applyFill="1" applyBorder="1" applyAlignment="1">
      <alignment horizontal="center"/>
    </xf>
    <xf numFmtId="7" fontId="10" fillId="6" borderId="12" xfId="0" applyNumberFormat="1" applyFont="1" applyFill="1" applyBorder="1" applyAlignment="1">
      <alignment horizontal="center"/>
    </xf>
    <xf numFmtId="10" fontId="10" fillId="7" borderId="2" xfId="3" applyNumberFormat="1" applyFont="1" applyFill="1" applyBorder="1" applyAlignment="1">
      <alignment horizontal="center"/>
    </xf>
    <xf numFmtId="0" fontId="3" fillId="6" borderId="6" xfId="0" applyFont="1" applyFill="1" applyBorder="1" applyAlignment="1">
      <alignment horizontal="center" vertical="center" wrapText="1"/>
    </xf>
    <xf numFmtId="10" fontId="10" fillId="6" borderId="9" xfId="3" applyNumberFormat="1" applyFont="1" applyFill="1" applyBorder="1" applyAlignment="1">
      <alignment horizontal="center"/>
    </xf>
    <xf numFmtId="10" fontId="10" fillId="6" borderId="11" xfId="3" applyNumberFormat="1" applyFont="1" applyFill="1" applyBorder="1" applyAlignment="1">
      <alignment horizontal="center"/>
    </xf>
    <xf numFmtId="10" fontId="10" fillId="6" borderId="14" xfId="3" applyNumberFormat="1" applyFont="1" applyFill="1" applyBorder="1" applyAlignment="1">
      <alignment horizontal="center"/>
    </xf>
    <xf numFmtId="7" fontId="0" fillId="0" borderId="27" xfId="0" applyNumberFormat="1" applyFont="1" applyBorder="1" applyAlignment="1">
      <alignment horizontal="center"/>
    </xf>
    <xf numFmtId="7" fontId="0" fillId="0" borderId="28" xfId="0" applyNumberFormat="1" applyFont="1" applyBorder="1" applyAlignment="1">
      <alignment horizontal="center"/>
    </xf>
    <xf numFmtId="7" fontId="0" fillId="0" borderId="29" xfId="0" applyNumberFormat="1" applyFont="1" applyBorder="1" applyAlignment="1">
      <alignment horizontal="center"/>
    </xf>
    <xf numFmtId="0" fontId="3" fillId="4" borderId="10" xfId="0" applyFont="1" applyFill="1" applyBorder="1" applyAlignment="1">
      <alignment horizontal="left"/>
    </xf>
    <xf numFmtId="0" fontId="3" fillId="7" borderId="1" xfId="0" applyFont="1" applyFill="1" applyBorder="1" applyAlignment="1">
      <alignment horizontal="center" vertical="center" wrapText="1"/>
    </xf>
    <xf numFmtId="0" fontId="3" fillId="5" borderId="1" xfId="0" applyFont="1" applyFill="1" applyBorder="1" applyAlignment="1">
      <alignment horizontal="center"/>
    </xf>
    <xf numFmtId="0" fontId="0" fillId="5" borderId="0" xfId="0" applyFill="1"/>
    <xf numFmtId="0" fontId="0" fillId="3" borderId="10" xfId="0" applyFont="1" applyFill="1" applyBorder="1"/>
    <xf numFmtId="0" fontId="0" fillId="4" borderId="10" xfId="0" applyFont="1" applyFill="1" applyBorder="1"/>
    <xf numFmtId="0" fontId="3" fillId="5" borderId="1" xfId="0" applyFont="1" applyFill="1" applyBorder="1" applyAlignment="1">
      <alignment horizontal="center" vertical="center" wrapText="1"/>
    </xf>
    <xf numFmtId="165" fontId="0" fillId="12" borderId="1" xfId="0" applyNumberFormat="1" applyFill="1" applyBorder="1"/>
    <xf numFmtId="0" fontId="3" fillId="0" borderId="38" xfId="0" applyFont="1" applyBorder="1" applyAlignment="1">
      <alignment horizontal="center"/>
    </xf>
    <xf numFmtId="3" fontId="3" fillId="0" borderId="39" xfId="0" applyNumberFormat="1" applyFont="1" applyBorder="1" applyAlignment="1">
      <alignment horizontal="center"/>
    </xf>
    <xf numFmtId="3" fontId="3" fillId="0" borderId="40" xfId="0" applyNumberFormat="1" applyFont="1" applyBorder="1" applyAlignment="1">
      <alignment horizontal="center"/>
    </xf>
    <xf numFmtId="7" fontId="0" fillId="0" borderId="37" xfId="0" applyNumberFormat="1" applyFont="1" applyBorder="1" applyAlignment="1">
      <alignment horizontal="center"/>
    </xf>
    <xf numFmtId="7" fontId="10" fillId="7" borderId="41" xfId="2" applyNumberFormat="1" applyFont="1" applyFill="1" applyBorder="1" applyAlignment="1">
      <alignment horizontal="center"/>
    </xf>
    <xf numFmtId="10" fontId="10" fillId="7" borderId="38" xfId="3" applyNumberFormat="1" applyFont="1" applyFill="1" applyBorder="1" applyAlignment="1">
      <alignment horizontal="center"/>
    </xf>
    <xf numFmtId="7" fontId="10" fillId="6" borderId="39" xfId="0" applyNumberFormat="1" applyFont="1" applyFill="1" applyBorder="1" applyAlignment="1">
      <alignment horizontal="center"/>
    </xf>
    <xf numFmtId="10" fontId="10" fillId="6" borderId="40" xfId="3" applyNumberFormat="1" applyFont="1" applyFill="1" applyBorder="1" applyAlignment="1">
      <alignment horizontal="center"/>
    </xf>
    <xf numFmtId="164" fontId="0" fillId="0" borderId="1" xfId="1" applyNumberFormat="1" applyFont="1" applyBorder="1"/>
    <xf numFmtId="0" fontId="3" fillId="0" borderId="1" xfId="0" applyFont="1" applyBorder="1" applyAlignment="1">
      <alignment wrapText="1"/>
    </xf>
    <xf numFmtId="1" fontId="0" fillId="2" borderId="1" xfId="0" applyNumberFormat="1" applyFill="1" applyBorder="1"/>
    <xf numFmtId="0" fontId="0" fillId="0" borderId="42" xfId="0" applyBorder="1"/>
    <xf numFmtId="0" fontId="0" fillId="0" borderId="38" xfId="0" applyBorder="1"/>
    <xf numFmtId="0" fontId="0" fillId="0" borderId="0" xfId="0" applyBorder="1"/>
    <xf numFmtId="6" fontId="0" fillId="0" borderId="0" xfId="0" applyNumberFormat="1" applyBorder="1"/>
    <xf numFmtId="167" fontId="0" fillId="0" borderId="1" xfId="0" applyNumberFormat="1" applyFont="1" applyBorder="1"/>
    <xf numFmtId="2" fontId="0" fillId="5" borderId="1" xfId="0" applyNumberFormat="1" applyFill="1" applyBorder="1" applyAlignment="1">
      <alignment horizontal="center"/>
    </xf>
    <xf numFmtId="181" fontId="0" fillId="5" borderId="1" xfId="0" applyNumberFormat="1" applyFill="1" applyBorder="1"/>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3" fillId="0" borderId="24"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7" xfId="0" applyFont="1" applyBorder="1" applyAlignment="1">
      <alignment horizontal="center" vertical="center"/>
    </xf>
    <xf numFmtId="0" fontId="3" fillId="0" borderId="29" xfId="0" applyFont="1" applyBorder="1" applyAlignment="1">
      <alignment horizontal="center" vertical="center"/>
    </xf>
    <xf numFmtId="0" fontId="6" fillId="0" borderId="34" xfId="0" applyFont="1" applyBorder="1" applyAlignment="1">
      <alignment horizontal="center"/>
    </xf>
    <xf numFmtId="0" fontId="6" fillId="0" borderId="16" xfId="0" applyFont="1" applyBorder="1" applyAlignment="1">
      <alignment horizontal="center"/>
    </xf>
    <xf numFmtId="0" fontId="6" fillId="0" borderId="35" xfId="0" applyFont="1" applyBorder="1" applyAlignment="1">
      <alignment horizontal="center"/>
    </xf>
  </cellXfs>
  <cellStyles count="46">
    <cellStyle name="$" xfId="7"/>
    <cellStyle name="$_CCA-Request_H11bps" xfId="8"/>
    <cellStyle name="$_CCA-Request_H11bps July 9" xfId="9"/>
    <cellStyle name="$comma" xfId="10"/>
    <cellStyle name="_Comma" xfId="11"/>
    <cellStyle name="_Currency" xfId="12"/>
    <cellStyle name="_CurrencySpace" xfId="13"/>
    <cellStyle name="_Multiple" xfId="14"/>
    <cellStyle name="_MultipleSpace" xfId="15"/>
    <cellStyle name="_Percent" xfId="16"/>
    <cellStyle name="_PercentSpace" xfId="17"/>
    <cellStyle name="_PercentSpace_AR Analysis 061207" xfId="18"/>
    <cellStyle name="_PercentSpace_RMDx BP050513a 051212a" xfId="19"/>
    <cellStyle name="Comma" xfId="1" builtinId="3"/>
    <cellStyle name="comma zerodec" xfId="20"/>
    <cellStyle name="Currency" xfId="2" builtinId="4"/>
    <cellStyle name="Currency1" xfId="21"/>
    <cellStyle name="Dollar (zero dec)" xfId="22"/>
    <cellStyle name="Grey" xfId="23"/>
    <cellStyle name="Header1" xfId="24"/>
    <cellStyle name="Header2" xfId="25"/>
    <cellStyle name="Input [yellow]" xfId="26"/>
    <cellStyle name="multiple" xfId="27"/>
    <cellStyle name="Normal" xfId="0" builtinId="0"/>
    <cellStyle name="Normal - Style1" xfId="28"/>
    <cellStyle name="Normal 2" xfId="5"/>
    <cellStyle name="Normal 3" xfId="6"/>
    <cellStyle name="Number" xfId="29"/>
    <cellStyle name="OH01" xfId="30"/>
    <cellStyle name="OHnplode" xfId="31"/>
    <cellStyle name="Percent" xfId="3" builtinId="5"/>
    <cellStyle name="Percent [2]" xfId="32"/>
    <cellStyle name="Percent 2" xfId="4"/>
    <cellStyle name="PSChar" xfId="33"/>
    <cellStyle name="PSDate" xfId="34"/>
    <cellStyle name="PSDec" xfId="35"/>
    <cellStyle name="PSHeading" xfId="36"/>
    <cellStyle name="PSInt" xfId="37"/>
    <cellStyle name="PSSpacer" xfId="38"/>
    <cellStyle name="ShOut" xfId="39"/>
    <cellStyle name="Style 1" xfId="40"/>
    <cellStyle name="Style 2" xfId="41"/>
    <cellStyle name="Style 3" xfId="42"/>
    <cellStyle name="x" xfId="43"/>
    <cellStyle name="x_CCA-Request_H11bps" xfId="44"/>
    <cellStyle name="x_CCA-Request_H11bps July 9" xfId="45"/>
  </cellStyles>
  <dxfs count="0"/>
  <tableStyles count="0" defaultTableStyle="TableStyleMedium2" defaultPivotStyle="PivotStyleLight16"/>
  <colors>
    <mruColors>
      <color rgb="FFCCFFCC"/>
      <color rgb="FFFFCCCC"/>
      <color rgb="FFFFFFFF"/>
      <color rgb="FFFFCCFF"/>
      <color rgb="FFCCFFFF"/>
      <color rgb="FFCCCC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tint="0.499984740745262"/>
    <pageSetUpPr fitToPage="1"/>
  </sheetPr>
  <dimension ref="A1:Y89"/>
  <sheetViews>
    <sheetView workbookViewId="0">
      <pane xSplit="2" ySplit="2" topLeftCell="I3" activePane="bottomRight" state="frozen"/>
      <selection activeCell="B25" sqref="B25"/>
      <selection pane="topRight" activeCell="B25" sqref="B25"/>
      <selection pane="bottomLeft" activeCell="B25" sqref="B25"/>
      <selection pane="bottomRight" activeCell="N20" sqref="N20"/>
    </sheetView>
  </sheetViews>
  <sheetFormatPr defaultRowHeight="12.75" x14ac:dyDescent="0.2"/>
  <cols>
    <col min="1" max="1" width="18.42578125" bestFit="1" customWidth="1"/>
    <col min="2" max="2" width="13" customWidth="1"/>
    <col min="3" max="3" width="12.5703125" customWidth="1"/>
    <col min="4" max="4" width="11.140625" customWidth="1"/>
    <col min="6" max="6" width="12.140625" customWidth="1"/>
    <col min="7" max="7" width="9.42578125" style="152" bestFit="1" customWidth="1"/>
    <col min="8" max="8" width="10.7109375" style="152" customWidth="1"/>
    <col min="9" max="9" width="9.42578125" style="152" bestFit="1" customWidth="1"/>
    <col min="10" max="10" width="9.5703125" style="152" customWidth="1"/>
    <col min="11" max="11" width="9.7109375" style="152" bestFit="1" customWidth="1"/>
    <col min="12" max="12" width="9.85546875" style="152" customWidth="1"/>
    <col min="13" max="13" width="9.42578125" style="152" bestFit="1" customWidth="1"/>
    <col min="14" max="14" width="9.85546875" style="152" bestFit="1" customWidth="1"/>
    <col min="15" max="15" width="8.42578125" style="152" bestFit="1" customWidth="1"/>
    <col min="16" max="16" width="9.5703125" style="152" bestFit="1" customWidth="1"/>
    <col min="17" max="18" width="10" customWidth="1"/>
    <col min="19" max="20" width="11" customWidth="1"/>
    <col min="21" max="21" width="11.140625" bestFit="1" customWidth="1"/>
    <col min="22" max="22" width="9.5703125" bestFit="1" customWidth="1"/>
    <col min="23" max="23" width="10.5703125" bestFit="1" customWidth="1"/>
    <col min="24" max="24" width="9.5703125" customWidth="1"/>
    <col min="25" max="25" width="9.5703125" bestFit="1" customWidth="1"/>
    <col min="26" max="26" width="11" customWidth="1"/>
    <col min="27" max="27" width="10.28515625" customWidth="1"/>
    <col min="28" max="28" width="10.7109375" customWidth="1"/>
  </cols>
  <sheetData>
    <row r="1" spans="1:25" x14ac:dyDescent="0.2">
      <c r="A1" s="9">
        <v>1</v>
      </c>
      <c r="B1" s="9">
        <v>2</v>
      </c>
      <c r="C1" s="9">
        <v>3</v>
      </c>
      <c r="D1" s="9">
        <v>4</v>
      </c>
      <c r="E1" s="9">
        <v>5</v>
      </c>
      <c r="F1" s="9">
        <v>6</v>
      </c>
      <c r="G1" s="151">
        <v>7</v>
      </c>
      <c r="H1" s="151">
        <v>8</v>
      </c>
      <c r="I1" s="151">
        <v>9</v>
      </c>
      <c r="J1" s="151">
        <v>10</v>
      </c>
      <c r="K1" s="151">
        <v>11</v>
      </c>
      <c r="L1" s="151">
        <v>12</v>
      </c>
      <c r="M1" s="151">
        <v>13</v>
      </c>
      <c r="N1" s="151">
        <v>14</v>
      </c>
      <c r="O1" s="151">
        <v>15</v>
      </c>
      <c r="P1" s="151">
        <v>16</v>
      </c>
      <c r="Q1" s="9">
        <v>17</v>
      </c>
      <c r="R1" s="9">
        <v>18</v>
      </c>
      <c r="S1" s="9">
        <v>19</v>
      </c>
      <c r="T1" s="9">
        <v>20</v>
      </c>
      <c r="U1" s="9">
        <v>21</v>
      </c>
      <c r="V1" s="9">
        <v>22</v>
      </c>
      <c r="W1" s="9">
        <v>23</v>
      </c>
      <c r="X1" s="9">
        <v>24</v>
      </c>
      <c r="Y1" s="9">
        <v>25</v>
      </c>
    </row>
    <row r="2" spans="1:25" s="12" customFormat="1" ht="89.25" x14ac:dyDescent="0.2">
      <c r="A2" s="10" t="s">
        <v>13</v>
      </c>
      <c r="B2" s="10" t="s">
        <v>14</v>
      </c>
      <c r="C2" s="10" t="s">
        <v>62</v>
      </c>
      <c r="D2" s="10" t="s">
        <v>15</v>
      </c>
      <c r="E2" s="10" t="s">
        <v>71</v>
      </c>
      <c r="F2" s="11" t="s">
        <v>17</v>
      </c>
      <c r="G2" s="11" t="s">
        <v>54</v>
      </c>
      <c r="H2" s="11" t="s">
        <v>53</v>
      </c>
      <c r="I2" s="11" t="s">
        <v>52</v>
      </c>
      <c r="J2" s="11" t="s">
        <v>51</v>
      </c>
      <c r="K2" s="11" t="s">
        <v>94</v>
      </c>
      <c r="L2" s="11" t="s">
        <v>100</v>
      </c>
      <c r="M2" s="11" t="s">
        <v>88</v>
      </c>
      <c r="N2" s="11" t="s">
        <v>89</v>
      </c>
      <c r="O2" s="11" t="s">
        <v>58</v>
      </c>
      <c r="P2" s="11" t="s">
        <v>59</v>
      </c>
      <c r="Q2" s="150" t="s">
        <v>55</v>
      </c>
      <c r="R2" s="11" t="s">
        <v>52</v>
      </c>
      <c r="S2" s="150" t="s">
        <v>57</v>
      </c>
      <c r="T2" s="155" t="s">
        <v>98</v>
      </c>
      <c r="U2" s="150" t="s">
        <v>99</v>
      </c>
      <c r="V2" s="150" t="s">
        <v>87</v>
      </c>
      <c r="W2" s="150" t="s">
        <v>86</v>
      </c>
      <c r="X2" s="150" t="s">
        <v>56</v>
      </c>
      <c r="Y2" s="150" t="s">
        <v>97</v>
      </c>
    </row>
    <row r="3" spans="1:25" x14ac:dyDescent="0.2">
      <c r="A3" s="6" t="s">
        <v>0</v>
      </c>
      <c r="B3" s="126">
        <v>1.0569999999999999</v>
      </c>
      <c r="C3" s="7">
        <v>750</v>
      </c>
      <c r="D3" s="7">
        <v>600</v>
      </c>
      <c r="E3" s="2"/>
      <c r="F3" s="4" t="s">
        <v>18</v>
      </c>
      <c r="G3" s="121">
        <v>31.23</v>
      </c>
      <c r="H3" s="78"/>
      <c r="I3" s="78">
        <v>0.79</v>
      </c>
      <c r="J3" s="125">
        <v>4.7000000000000002E-3</v>
      </c>
      <c r="K3" s="121"/>
      <c r="L3" s="125"/>
      <c r="M3" s="121">
        <v>7.0000000000000001E-3</v>
      </c>
      <c r="N3" s="174">
        <v>3.0000000000000004E-5</v>
      </c>
      <c r="O3" s="125">
        <v>7.8279999999999999E-3</v>
      </c>
      <c r="P3" s="125">
        <v>6.4380000000000001E-3</v>
      </c>
      <c r="Q3" s="3">
        <v>35.85</v>
      </c>
      <c r="R3" s="78">
        <v>0.79</v>
      </c>
      <c r="S3" s="100">
        <v>0</v>
      </c>
      <c r="T3" s="125">
        <v>0</v>
      </c>
      <c r="U3" s="156">
        <f>T3</f>
        <v>0</v>
      </c>
      <c r="V3" s="173">
        <f>M3</f>
        <v>7.0000000000000001E-3</v>
      </c>
      <c r="W3" s="174">
        <f>N3</f>
        <v>3.0000000000000004E-5</v>
      </c>
      <c r="X3" s="125">
        <f>O3</f>
        <v>7.8279999999999999E-3</v>
      </c>
      <c r="Y3" s="125">
        <f>P3</f>
        <v>6.4380000000000001E-3</v>
      </c>
    </row>
    <row r="4" spans="1:25" x14ac:dyDescent="0.2">
      <c r="A4" s="6" t="s">
        <v>1</v>
      </c>
      <c r="B4" s="126">
        <v>1.0760000000000001</v>
      </c>
      <c r="C4" s="7">
        <v>750</v>
      </c>
      <c r="D4" s="7">
        <v>600</v>
      </c>
      <c r="E4" s="2"/>
      <c r="F4" s="4" t="s">
        <v>18</v>
      </c>
      <c r="G4" s="121">
        <v>42.19</v>
      </c>
      <c r="H4" s="78"/>
      <c r="I4" s="78">
        <v>0.79</v>
      </c>
      <c r="J4" s="125">
        <v>1.9300000000000001E-2</v>
      </c>
      <c r="K4" s="121"/>
      <c r="L4" s="125"/>
      <c r="M4" s="121">
        <v>4.0000000000000001E-3</v>
      </c>
      <c r="N4" s="174">
        <v>2.0000000000000002E-5</v>
      </c>
      <c r="O4" s="125">
        <v>7.2069999999999999E-3</v>
      </c>
      <c r="P4" s="125">
        <v>6.0319999999999992E-3</v>
      </c>
      <c r="Q4" s="3">
        <v>47.06</v>
      </c>
      <c r="R4" s="78">
        <v>0.79</v>
      </c>
      <c r="S4" s="100">
        <v>1.6E-2</v>
      </c>
      <c r="T4" s="125">
        <v>0</v>
      </c>
      <c r="U4" s="156">
        <f t="shared" ref="U4:U15" si="0">T4</f>
        <v>0</v>
      </c>
      <c r="V4" s="173">
        <f t="shared" ref="V4:V15" si="1">M4</f>
        <v>4.0000000000000001E-3</v>
      </c>
      <c r="W4" s="174">
        <f t="shared" ref="W4:W15" si="2">N4</f>
        <v>2.0000000000000002E-5</v>
      </c>
      <c r="X4" s="125">
        <f t="shared" ref="X4:X15" si="3">O4</f>
        <v>7.2069999999999999E-3</v>
      </c>
      <c r="Y4" s="125">
        <f t="shared" ref="Y4:Y15" si="4">P4</f>
        <v>6.0319999999999992E-3</v>
      </c>
    </row>
    <row r="5" spans="1:25" x14ac:dyDescent="0.2">
      <c r="A5" s="6" t="s">
        <v>2</v>
      </c>
      <c r="B5" s="126">
        <v>1.105</v>
      </c>
      <c r="C5" s="7">
        <v>750</v>
      </c>
      <c r="D5" s="7">
        <v>600</v>
      </c>
      <c r="E5" s="2"/>
      <c r="F5" s="4" t="s">
        <v>18</v>
      </c>
      <c r="G5" s="121">
        <v>34.089678307903938</v>
      </c>
      <c r="H5" s="78"/>
      <c r="I5" s="78">
        <v>0.79</v>
      </c>
      <c r="J5" s="125">
        <v>3.2099999999999997E-2</v>
      </c>
      <c r="K5" s="121"/>
      <c r="L5" s="125"/>
      <c r="M5" s="121">
        <v>-2.1000000000000001E-2</v>
      </c>
      <c r="N5" s="174">
        <v>1.0000000000000003E-5</v>
      </c>
      <c r="O5" s="125">
        <v>6.7400000000000003E-3</v>
      </c>
      <c r="P5" s="125">
        <v>5.6299999999999996E-3</v>
      </c>
      <c r="Q5" s="3">
        <v>44.119678307903925</v>
      </c>
      <c r="R5" s="78">
        <v>0.79</v>
      </c>
      <c r="S5" s="100">
        <v>2.69E-2</v>
      </c>
      <c r="T5" s="125">
        <v>0</v>
      </c>
      <c r="U5" s="156">
        <f t="shared" si="0"/>
        <v>0</v>
      </c>
      <c r="V5" s="173">
        <f t="shared" si="1"/>
        <v>-2.1000000000000001E-2</v>
      </c>
      <c r="W5" s="174">
        <f t="shared" si="2"/>
        <v>1.0000000000000003E-5</v>
      </c>
      <c r="X5" s="125">
        <f t="shared" si="3"/>
        <v>6.7400000000000003E-3</v>
      </c>
      <c r="Y5" s="125">
        <f t="shared" si="4"/>
        <v>5.6299999999999996E-3</v>
      </c>
    </row>
    <row r="6" spans="1:25" x14ac:dyDescent="0.2">
      <c r="A6" s="6" t="s">
        <v>3</v>
      </c>
      <c r="B6" s="126">
        <v>1.1040000000000001</v>
      </c>
      <c r="C6" s="7">
        <v>500</v>
      </c>
      <c r="D6" s="7">
        <v>600</v>
      </c>
      <c r="E6" s="2"/>
      <c r="F6" s="4" t="s">
        <v>18</v>
      </c>
      <c r="G6" s="121">
        <v>45.07</v>
      </c>
      <c r="H6" s="78"/>
      <c r="I6" s="78">
        <v>0.79</v>
      </c>
      <c r="J6" s="125">
        <v>5.28E-2</v>
      </c>
      <c r="K6" s="121"/>
      <c r="L6" s="125"/>
      <c r="M6" s="121">
        <v>-2E-3</v>
      </c>
      <c r="N6" s="174">
        <v>1.0000000000000003E-5</v>
      </c>
      <c r="O6" s="125">
        <v>5.6559999999999996E-3</v>
      </c>
      <c r="P6" s="125">
        <v>4.8209999999999998E-3</v>
      </c>
      <c r="Q6" s="3">
        <v>50.05</v>
      </c>
      <c r="R6" s="78">
        <v>0.79</v>
      </c>
      <c r="S6" s="100">
        <v>4.3900000000000002E-2</v>
      </c>
      <c r="T6" s="125">
        <v>0</v>
      </c>
      <c r="U6" s="156">
        <f t="shared" si="0"/>
        <v>0</v>
      </c>
      <c r="V6" s="173">
        <f t="shared" si="1"/>
        <v>-2E-3</v>
      </c>
      <c r="W6" s="174">
        <f t="shared" si="2"/>
        <v>1.0000000000000003E-5</v>
      </c>
      <c r="X6" s="125">
        <f t="shared" si="3"/>
        <v>5.6559999999999996E-3</v>
      </c>
      <c r="Y6" s="125">
        <f t="shared" si="4"/>
        <v>4.8209999999999998E-3</v>
      </c>
    </row>
    <row r="7" spans="1:25" x14ac:dyDescent="0.2">
      <c r="A7" s="6" t="s">
        <v>4</v>
      </c>
      <c r="B7" s="126">
        <v>1.0960000000000001</v>
      </c>
      <c r="C7" s="7">
        <v>2000</v>
      </c>
      <c r="D7" s="7">
        <v>750</v>
      </c>
      <c r="E7" s="2"/>
      <c r="F7" s="4" t="s">
        <v>18</v>
      </c>
      <c r="G7" s="121">
        <v>30.2</v>
      </c>
      <c r="H7" s="78"/>
      <c r="I7" s="78">
        <v>0.79</v>
      </c>
      <c r="J7" s="125">
        <v>6.13E-2</v>
      </c>
      <c r="K7" s="121"/>
      <c r="L7" s="125"/>
      <c r="M7" s="121">
        <v>2E-3</v>
      </c>
      <c r="N7" s="174">
        <v>2.0000000000000002E-5</v>
      </c>
      <c r="O7" s="125">
        <v>5.6930000000000001E-3</v>
      </c>
      <c r="P7" s="125">
        <v>4.4740000000000005E-3</v>
      </c>
      <c r="Q7" s="3">
        <v>30.88</v>
      </c>
      <c r="R7" s="78">
        <v>0.79</v>
      </c>
      <c r="S7" s="100">
        <v>6.3299999999999995E-2</v>
      </c>
      <c r="T7" s="125">
        <v>0</v>
      </c>
      <c r="U7" s="125">
        <f t="shared" si="0"/>
        <v>0</v>
      </c>
      <c r="V7" s="173">
        <f t="shared" si="1"/>
        <v>2E-3</v>
      </c>
      <c r="W7" s="174">
        <f t="shared" si="2"/>
        <v>2.0000000000000002E-5</v>
      </c>
      <c r="X7" s="125">
        <f t="shared" si="3"/>
        <v>5.6930000000000001E-3</v>
      </c>
      <c r="Y7" s="125">
        <f t="shared" si="4"/>
        <v>4.4740000000000005E-3</v>
      </c>
    </row>
    <row r="8" spans="1:25" x14ac:dyDescent="0.2">
      <c r="A8" s="6" t="s">
        <v>6</v>
      </c>
      <c r="B8" s="126">
        <v>1.0669999999999999</v>
      </c>
      <c r="C8" s="7">
        <v>2000</v>
      </c>
      <c r="D8" s="7">
        <v>750</v>
      </c>
      <c r="E8" s="2"/>
      <c r="F8" s="4" t="s">
        <v>18</v>
      </c>
      <c r="G8" s="121">
        <v>24.47</v>
      </c>
      <c r="H8" s="78"/>
      <c r="I8" s="78">
        <v>0.79</v>
      </c>
      <c r="J8" s="125">
        <v>2.9000000000000001E-2</v>
      </c>
      <c r="K8" s="121"/>
      <c r="L8" s="125"/>
      <c r="M8" s="121">
        <v>8.0000000000000002E-3</v>
      </c>
      <c r="N8" s="174">
        <v>3.0000000000000004E-5</v>
      </c>
      <c r="O8" s="125">
        <v>6.1060000000000003E-3</v>
      </c>
      <c r="P8" s="125">
        <v>4.6519999999999999E-3</v>
      </c>
      <c r="Q8" s="3">
        <v>25.1</v>
      </c>
      <c r="R8" s="78">
        <v>0.79</v>
      </c>
      <c r="S8" s="100">
        <v>2.9899999999999999E-2</v>
      </c>
      <c r="T8" s="125">
        <v>0</v>
      </c>
      <c r="U8" s="125">
        <f t="shared" si="0"/>
        <v>0</v>
      </c>
      <c r="V8" s="173">
        <f t="shared" si="1"/>
        <v>8.0000000000000002E-3</v>
      </c>
      <c r="W8" s="174">
        <f t="shared" si="2"/>
        <v>3.0000000000000004E-5</v>
      </c>
      <c r="X8" s="125">
        <f t="shared" si="3"/>
        <v>6.1060000000000003E-3</v>
      </c>
      <c r="Y8" s="125">
        <f t="shared" si="4"/>
        <v>4.6519999999999999E-3</v>
      </c>
    </row>
    <row r="9" spans="1:25" x14ac:dyDescent="0.2">
      <c r="A9" s="6" t="s">
        <v>8</v>
      </c>
      <c r="B9" s="126">
        <v>1.0920000000000001</v>
      </c>
      <c r="C9" s="7">
        <v>1440</v>
      </c>
      <c r="D9" s="7">
        <v>750</v>
      </c>
      <c r="E9" s="2"/>
      <c r="F9" s="4" t="s">
        <v>18</v>
      </c>
      <c r="G9" s="121">
        <v>4.2</v>
      </c>
      <c r="H9" s="78"/>
      <c r="I9" s="78">
        <v>0</v>
      </c>
      <c r="J9" s="125">
        <v>0.1011</v>
      </c>
      <c r="K9" s="121"/>
      <c r="L9" s="125"/>
      <c r="M9" s="121">
        <v>7.0000000000000001E-3</v>
      </c>
      <c r="N9" s="174">
        <v>-9.9999999999999991E-6</v>
      </c>
      <c r="O9" s="125">
        <v>4.6979999999999999E-3</v>
      </c>
      <c r="P9" s="125">
        <v>4.2899999999999995E-3</v>
      </c>
      <c r="Q9" s="3">
        <v>4.33</v>
      </c>
      <c r="R9" s="78">
        <v>0</v>
      </c>
      <c r="S9" s="100">
        <v>0.1043</v>
      </c>
      <c r="T9" s="125">
        <v>0</v>
      </c>
      <c r="U9" s="125">
        <f t="shared" si="0"/>
        <v>0</v>
      </c>
      <c r="V9" s="173">
        <f t="shared" si="1"/>
        <v>7.0000000000000001E-3</v>
      </c>
      <c r="W9" s="174">
        <f t="shared" si="2"/>
        <v>-9.9999999999999991E-6</v>
      </c>
      <c r="X9" s="125">
        <f t="shared" si="3"/>
        <v>4.6979999999999999E-3</v>
      </c>
      <c r="Y9" s="125">
        <f t="shared" si="4"/>
        <v>4.2899999999999995E-3</v>
      </c>
    </row>
    <row r="10" spans="1:25" x14ac:dyDescent="0.2">
      <c r="A10" s="6" t="s">
        <v>9</v>
      </c>
      <c r="B10" s="126">
        <v>1.0920000000000001</v>
      </c>
      <c r="C10" s="7">
        <v>62</v>
      </c>
      <c r="D10" s="7">
        <v>750</v>
      </c>
      <c r="E10" s="2"/>
      <c r="F10" s="4" t="s">
        <v>18</v>
      </c>
      <c r="G10" s="121">
        <v>3.37</v>
      </c>
      <c r="H10" s="78"/>
      <c r="I10" s="78">
        <v>0</v>
      </c>
      <c r="J10" s="125">
        <v>0.12809999999999999</v>
      </c>
      <c r="K10" s="121"/>
      <c r="L10" s="125"/>
      <c r="M10" s="121">
        <v>6.0000000000000001E-3</v>
      </c>
      <c r="N10" s="174">
        <v>-6.0000000000000002E-5</v>
      </c>
      <c r="O10" s="125">
        <v>4.6979999999999999E-3</v>
      </c>
      <c r="P10" s="125">
        <v>4.2899999999999995E-3</v>
      </c>
      <c r="Q10" s="3">
        <v>3.57</v>
      </c>
      <c r="R10" s="78">
        <v>0</v>
      </c>
      <c r="S10" s="100">
        <v>0.13539999999999999</v>
      </c>
      <c r="T10" s="125">
        <v>0</v>
      </c>
      <c r="U10" s="125">
        <f t="shared" si="0"/>
        <v>0</v>
      </c>
      <c r="V10" s="173">
        <f t="shared" si="1"/>
        <v>6.0000000000000001E-3</v>
      </c>
      <c r="W10" s="174">
        <f t="shared" si="2"/>
        <v>-6.0000000000000002E-5</v>
      </c>
      <c r="X10" s="125">
        <f t="shared" si="3"/>
        <v>4.6979999999999999E-3</v>
      </c>
      <c r="Y10" s="125">
        <f t="shared" si="4"/>
        <v>4.2899999999999995E-3</v>
      </c>
    </row>
    <row r="11" spans="1:25" x14ac:dyDescent="0.2">
      <c r="A11" s="8" t="s">
        <v>12</v>
      </c>
      <c r="B11" s="126">
        <v>1.0920000000000001</v>
      </c>
      <c r="C11" s="7">
        <v>500</v>
      </c>
      <c r="D11" s="7">
        <v>750</v>
      </c>
      <c r="E11" s="2"/>
      <c r="F11" s="4" t="s">
        <v>18</v>
      </c>
      <c r="G11" s="121">
        <v>35.49</v>
      </c>
      <c r="H11" s="78"/>
      <c r="I11" s="78">
        <v>0</v>
      </c>
      <c r="J11" s="125">
        <v>2.9100000000000001E-2</v>
      </c>
      <c r="K11" s="121"/>
      <c r="L11" s="125"/>
      <c r="M11" s="121">
        <v>2E-3</v>
      </c>
      <c r="N11" s="174">
        <v>2.0000000000000002E-5</v>
      </c>
      <c r="O11" s="125">
        <v>4.7699999999999999E-3</v>
      </c>
      <c r="P11" s="125">
        <v>3.7950000000000002E-3</v>
      </c>
      <c r="Q11" s="3">
        <v>36.659999999999997</v>
      </c>
      <c r="R11" s="78">
        <v>0</v>
      </c>
      <c r="S11" s="100">
        <v>2.98E-2</v>
      </c>
      <c r="T11" s="125">
        <v>0</v>
      </c>
      <c r="U11" s="125">
        <f t="shared" si="0"/>
        <v>0</v>
      </c>
      <c r="V11" s="173">
        <f t="shared" si="1"/>
        <v>2E-3</v>
      </c>
      <c r="W11" s="174">
        <f t="shared" si="2"/>
        <v>2.0000000000000002E-5</v>
      </c>
      <c r="X11" s="125">
        <f t="shared" si="3"/>
        <v>4.7699999999999999E-3</v>
      </c>
      <c r="Y11" s="125">
        <f t="shared" si="4"/>
        <v>3.7950000000000002E-3</v>
      </c>
    </row>
    <row r="12" spans="1:25" x14ac:dyDescent="0.2">
      <c r="A12" s="6" t="s">
        <v>5</v>
      </c>
      <c r="B12" s="126">
        <v>1.0609999999999999</v>
      </c>
      <c r="C12" s="7">
        <v>36000</v>
      </c>
      <c r="D12" s="7">
        <v>0</v>
      </c>
      <c r="E12" s="2">
        <v>117</v>
      </c>
      <c r="F12" s="4" t="s">
        <v>19</v>
      </c>
      <c r="G12" s="121">
        <v>104.19</v>
      </c>
      <c r="H12" s="78"/>
      <c r="I12" s="78">
        <v>0</v>
      </c>
      <c r="J12" s="125">
        <v>17.387</v>
      </c>
      <c r="K12" s="121"/>
      <c r="L12" s="125"/>
      <c r="M12" s="121">
        <v>-8.9999999999999993E-3</v>
      </c>
      <c r="N12" s="174">
        <v>5.1599999999999997E-3</v>
      </c>
      <c r="O12" s="125">
        <v>1.6718177000000001</v>
      </c>
      <c r="P12" s="125">
        <v>1.2769135</v>
      </c>
      <c r="Q12" s="3">
        <v>106.19</v>
      </c>
      <c r="R12" s="78">
        <v>0</v>
      </c>
      <c r="S12" s="100">
        <v>17.932099999999998</v>
      </c>
      <c r="T12" s="125">
        <v>0</v>
      </c>
      <c r="U12" s="125">
        <f t="shared" si="0"/>
        <v>0</v>
      </c>
      <c r="V12" s="173">
        <f t="shared" si="1"/>
        <v>-8.9999999999999993E-3</v>
      </c>
      <c r="W12" s="174">
        <f t="shared" si="2"/>
        <v>5.1599999999999997E-3</v>
      </c>
      <c r="X12" s="125">
        <f t="shared" si="3"/>
        <v>1.6718177000000001</v>
      </c>
      <c r="Y12" s="125">
        <f t="shared" si="4"/>
        <v>1.2769135</v>
      </c>
    </row>
    <row r="13" spans="1:25" x14ac:dyDescent="0.2">
      <c r="A13" s="6" t="s">
        <v>7</v>
      </c>
      <c r="B13" s="126">
        <v>1.05</v>
      </c>
      <c r="C13" s="7">
        <v>36000</v>
      </c>
      <c r="D13" s="7">
        <v>0</v>
      </c>
      <c r="E13" s="2">
        <v>117</v>
      </c>
      <c r="F13" s="4" t="s">
        <v>19</v>
      </c>
      <c r="G13" s="121">
        <v>102.72</v>
      </c>
      <c r="H13" s="78"/>
      <c r="I13" s="78">
        <v>0</v>
      </c>
      <c r="J13" s="125">
        <v>9.9799000000000007</v>
      </c>
      <c r="K13" s="121"/>
      <c r="L13" s="125"/>
      <c r="M13" s="121">
        <v>1.7999999999999999E-2</v>
      </c>
      <c r="N13" s="174">
        <v>1.1179999999999999E-2</v>
      </c>
      <c r="O13" s="125">
        <v>2.2310400000000001</v>
      </c>
      <c r="P13" s="125">
        <v>1.7046749999999999</v>
      </c>
      <c r="Q13" s="3">
        <v>105.02</v>
      </c>
      <c r="R13" s="78">
        <v>0</v>
      </c>
      <c r="S13" s="100">
        <v>10.293200000000001</v>
      </c>
      <c r="T13" s="125">
        <v>0</v>
      </c>
      <c r="U13" s="125">
        <f t="shared" si="0"/>
        <v>0</v>
      </c>
      <c r="V13" s="173">
        <f t="shared" si="1"/>
        <v>1.7999999999999999E-2</v>
      </c>
      <c r="W13" s="174">
        <f t="shared" si="2"/>
        <v>1.1179999999999999E-2</v>
      </c>
      <c r="X13" s="125">
        <f t="shared" si="3"/>
        <v>2.2310400000000001</v>
      </c>
      <c r="Y13" s="125">
        <f t="shared" si="4"/>
        <v>1.7046749999999999</v>
      </c>
    </row>
    <row r="14" spans="1:25" x14ac:dyDescent="0.2">
      <c r="A14" s="8" t="s">
        <v>10</v>
      </c>
      <c r="B14" s="126">
        <v>1.0609999999999999</v>
      </c>
      <c r="C14" s="7">
        <v>2000</v>
      </c>
      <c r="D14" s="7">
        <v>0</v>
      </c>
      <c r="E14" s="2">
        <v>15</v>
      </c>
      <c r="F14" s="4" t="s">
        <v>19</v>
      </c>
      <c r="G14" s="121">
        <v>196.16</v>
      </c>
      <c r="H14" s="78"/>
      <c r="I14" s="78">
        <v>0</v>
      </c>
      <c r="J14" s="125">
        <v>9.8219999999999992</v>
      </c>
      <c r="K14" s="121"/>
      <c r="L14" s="125"/>
      <c r="M14" s="121">
        <v>1.0999999999999999E-2</v>
      </c>
      <c r="N14" s="174">
        <v>2.82E-3</v>
      </c>
      <c r="O14" s="125">
        <v>0.63108279999999994</v>
      </c>
      <c r="P14" s="125">
        <v>0.54747599999999996</v>
      </c>
      <c r="Q14" s="3">
        <v>196.16</v>
      </c>
      <c r="R14" s="78">
        <v>0</v>
      </c>
      <c r="S14" s="100">
        <v>10.644600000000001</v>
      </c>
      <c r="T14" s="125">
        <v>0</v>
      </c>
      <c r="U14" s="125">
        <f t="shared" si="0"/>
        <v>0</v>
      </c>
      <c r="V14" s="173">
        <f t="shared" si="1"/>
        <v>1.0999999999999999E-2</v>
      </c>
      <c r="W14" s="174">
        <f t="shared" si="2"/>
        <v>2.82E-3</v>
      </c>
      <c r="X14" s="125">
        <f t="shared" si="3"/>
        <v>0.63108279999999994</v>
      </c>
      <c r="Y14" s="125">
        <f t="shared" si="4"/>
        <v>0.54747599999999996</v>
      </c>
    </row>
    <row r="15" spans="1:25" x14ac:dyDescent="0.2">
      <c r="A15" s="8" t="s">
        <v>11</v>
      </c>
      <c r="B15" s="126">
        <v>1.034</v>
      </c>
      <c r="C15" s="7">
        <v>36000</v>
      </c>
      <c r="D15" s="7">
        <v>0</v>
      </c>
      <c r="E15" s="2">
        <v>117</v>
      </c>
      <c r="F15" s="4" t="s">
        <v>19</v>
      </c>
      <c r="G15" s="121">
        <v>1223.97</v>
      </c>
      <c r="H15" s="78"/>
      <c r="I15" s="78">
        <v>0</v>
      </c>
      <c r="J15" s="125">
        <v>1.365848472559207</v>
      </c>
      <c r="K15" s="121"/>
      <c r="L15" s="125"/>
      <c r="M15" s="121">
        <v>3.819</v>
      </c>
      <c r="N15" s="174">
        <v>-0.13666999999999996</v>
      </c>
      <c r="O15" s="125">
        <v>3.4866480000000002</v>
      </c>
      <c r="P15" s="125">
        <v>2.6021643999999999</v>
      </c>
      <c r="Q15" s="3">
        <v>1255.93</v>
      </c>
      <c r="R15" s="78">
        <v>0</v>
      </c>
      <c r="S15" s="100">
        <v>1.4136569223533728</v>
      </c>
      <c r="T15" s="125">
        <v>0</v>
      </c>
      <c r="U15" s="125">
        <f t="shared" si="0"/>
        <v>0</v>
      </c>
      <c r="V15" s="173">
        <f t="shared" si="1"/>
        <v>3.819</v>
      </c>
      <c r="W15" s="174">
        <f t="shared" si="2"/>
        <v>-0.13666999999999996</v>
      </c>
      <c r="X15" s="125">
        <f t="shared" si="3"/>
        <v>3.4866480000000002</v>
      </c>
      <c r="Y15" s="125">
        <f t="shared" si="4"/>
        <v>2.6021643999999999</v>
      </c>
    </row>
    <row r="16" spans="1:25" x14ac:dyDescent="0.2">
      <c r="G16"/>
      <c r="H16"/>
      <c r="I16"/>
      <c r="J16"/>
      <c r="K16"/>
      <c r="L16"/>
      <c r="M16"/>
      <c r="N16"/>
      <c r="O16"/>
      <c r="P16"/>
      <c r="T16" s="5"/>
      <c r="U16" s="5"/>
      <c r="V16" s="5"/>
      <c r="W16" s="68"/>
      <c r="X16" s="5"/>
    </row>
    <row r="17" spans="1:25" x14ac:dyDescent="0.2">
      <c r="G17"/>
      <c r="H17"/>
      <c r="I17"/>
      <c r="J17"/>
      <c r="K17"/>
      <c r="L17"/>
      <c r="M17"/>
      <c r="N17"/>
      <c r="O17" s="68"/>
      <c r="P17" s="68"/>
      <c r="T17" s="5"/>
      <c r="U17" s="5"/>
      <c r="V17" s="5"/>
      <c r="W17" s="5"/>
      <c r="X17" s="5"/>
    </row>
    <row r="18" spans="1:25" ht="38.25" x14ac:dyDescent="0.2">
      <c r="A18" s="10" t="s">
        <v>13</v>
      </c>
      <c r="B18" s="10" t="s">
        <v>14</v>
      </c>
      <c r="C18" s="166" t="s">
        <v>114</v>
      </c>
      <c r="D18" s="166" t="s">
        <v>115</v>
      </c>
      <c r="G18"/>
      <c r="H18"/>
      <c r="I18"/>
      <c r="J18"/>
      <c r="K18"/>
      <c r="L18"/>
      <c r="M18"/>
      <c r="N18"/>
      <c r="O18"/>
      <c r="P18" s="68"/>
      <c r="Q18" s="68"/>
      <c r="U18" s="5"/>
      <c r="V18" s="5"/>
      <c r="W18" s="5"/>
      <c r="X18" s="5"/>
      <c r="Y18" s="5"/>
    </row>
    <row r="19" spans="1:25" x14ac:dyDescent="0.2">
      <c r="A19" s="6" t="s">
        <v>0</v>
      </c>
      <c r="B19" s="126">
        <v>1.0569999999999999</v>
      </c>
      <c r="C19" s="165">
        <v>755</v>
      </c>
      <c r="D19" s="2"/>
      <c r="G19"/>
      <c r="H19"/>
      <c r="I19"/>
      <c r="J19"/>
      <c r="K19"/>
      <c r="L19"/>
      <c r="M19"/>
      <c r="N19"/>
      <c r="O19"/>
      <c r="P19" s="68"/>
      <c r="Q19" s="68"/>
      <c r="U19" s="5"/>
      <c r="V19" s="5"/>
      <c r="W19" s="5"/>
      <c r="X19" s="5"/>
      <c r="Y19" s="5"/>
    </row>
    <row r="20" spans="1:25" x14ac:dyDescent="0.2">
      <c r="A20" s="6" t="s">
        <v>1</v>
      </c>
      <c r="B20" s="126">
        <v>1.0760000000000001</v>
      </c>
      <c r="C20" s="165">
        <v>920</v>
      </c>
      <c r="D20" s="2"/>
      <c r="G20"/>
      <c r="H20"/>
      <c r="I20"/>
      <c r="J20"/>
      <c r="K20"/>
      <c r="L20"/>
      <c r="M20"/>
      <c r="N20"/>
      <c r="O20"/>
      <c r="P20" s="68"/>
      <c r="Q20" s="68"/>
      <c r="U20" s="5"/>
      <c r="V20" s="5"/>
      <c r="W20" s="5"/>
      <c r="X20" s="5"/>
      <c r="Y20" s="5"/>
    </row>
    <row r="21" spans="1:25" x14ac:dyDescent="0.2">
      <c r="A21" s="6" t="s">
        <v>2</v>
      </c>
      <c r="B21" s="126">
        <v>1.105</v>
      </c>
      <c r="C21" s="165">
        <v>1152</v>
      </c>
      <c r="D21" s="2"/>
      <c r="G21"/>
      <c r="H21"/>
      <c r="I21"/>
      <c r="J21"/>
      <c r="K21"/>
      <c r="L21"/>
      <c r="M21"/>
      <c r="N21"/>
      <c r="O21"/>
      <c r="P21"/>
      <c r="U21" s="5"/>
      <c r="V21" s="5"/>
      <c r="W21" s="5"/>
      <c r="X21" s="5"/>
      <c r="Y21" s="5"/>
    </row>
    <row r="22" spans="1:25" x14ac:dyDescent="0.2">
      <c r="A22" s="6" t="s">
        <v>3</v>
      </c>
      <c r="B22" s="126">
        <v>1.1040000000000001</v>
      </c>
      <c r="C22" s="165">
        <v>352</v>
      </c>
      <c r="D22" s="2"/>
      <c r="G22"/>
      <c r="H22"/>
      <c r="I22"/>
      <c r="J22"/>
      <c r="K22"/>
      <c r="L22"/>
      <c r="M22"/>
      <c r="N22"/>
      <c r="O22"/>
      <c r="P22"/>
      <c r="T22" s="68"/>
      <c r="U22" s="5"/>
      <c r="V22" s="5"/>
      <c r="W22" s="5"/>
      <c r="X22" s="5"/>
      <c r="Y22" s="5"/>
    </row>
    <row r="23" spans="1:25" x14ac:dyDescent="0.2">
      <c r="A23" s="6" t="s">
        <v>4</v>
      </c>
      <c r="B23" s="126">
        <v>1.0960000000000001</v>
      </c>
      <c r="C23" s="165">
        <v>1982</v>
      </c>
      <c r="D23" s="2"/>
      <c r="G23"/>
      <c r="H23"/>
      <c r="I23"/>
      <c r="J23"/>
      <c r="K23"/>
      <c r="L23"/>
      <c r="M23"/>
      <c r="N23"/>
      <c r="O23"/>
      <c r="P23"/>
      <c r="U23" s="5"/>
      <c r="V23" s="5"/>
      <c r="W23" s="5"/>
      <c r="X23" s="5"/>
      <c r="Y23" s="5"/>
    </row>
    <row r="24" spans="1:25" x14ac:dyDescent="0.2">
      <c r="A24" s="6" t="s">
        <v>6</v>
      </c>
      <c r="B24" s="126">
        <v>1.0669999999999999</v>
      </c>
      <c r="C24" s="165">
        <v>2759</v>
      </c>
      <c r="D24" s="2"/>
      <c r="G24"/>
      <c r="H24"/>
      <c r="I24"/>
      <c r="J24"/>
      <c r="K24"/>
      <c r="L24"/>
      <c r="M24"/>
      <c r="N24"/>
      <c r="O24"/>
      <c r="P24"/>
      <c r="U24" s="5"/>
      <c r="V24" s="5"/>
      <c r="W24" s="5"/>
      <c r="X24" s="5"/>
      <c r="Y24" s="5"/>
    </row>
    <row r="25" spans="1:25" x14ac:dyDescent="0.2">
      <c r="A25" s="6" t="s">
        <v>8</v>
      </c>
      <c r="B25" s="126">
        <v>1.0920000000000001</v>
      </c>
      <c r="C25" s="165">
        <v>517</v>
      </c>
      <c r="D25" s="2"/>
      <c r="G25"/>
      <c r="H25"/>
      <c r="I25"/>
      <c r="J25"/>
      <c r="K25"/>
      <c r="L25"/>
      <c r="M25"/>
      <c r="N25"/>
      <c r="O25"/>
      <c r="P25"/>
      <c r="U25" s="5"/>
      <c r="V25" s="5"/>
      <c r="W25" s="5"/>
      <c r="X25" s="5"/>
      <c r="Y25" s="5"/>
    </row>
    <row r="26" spans="1:25" x14ac:dyDescent="0.2">
      <c r="A26" s="6" t="s">
        <v>9</v>
      </c>
      <c r="B26" s="126">
        <v>1.0920000000000001</v>
      </c>
      <c r="C26" s="165">
        <v>71</v>
      </c>
      <c r="D26" s="2"/>
      <c r="G26"/>
      <c r="H26"/>
      <c r="I26"/>
      <c r="J26"/>
      <c r="K26"/>
      <c r="L26"/>
      <c r="M26"/>
      <c r="N26"/>
      <c r="O26"/>
      <c r="P26"/>
      <c r="U26" s="5"/>
      <c r="V26" s="5"/>
      <c r="W26" s="5"/>
      <c r="X26" s="5"/>
      <c r="Y26" s="5"/>
    </row>
    <row r="27" spans="1:25" x14ac:dyDescent="0.2">
      <c r="A27" s="8" t="s">
        <v>12</v>
      </c>
      <c r="B27" s="126">
        <v>1.0920000000000001</v>
      </c>
      <c r="C27" s="165">
        <v>364</v>
      </c>
      <c r="D27" s="2"/>
      <c r="G27"/>
      <c r="H27"/>
      <c r="I27"/>
      <c r="J27"/>
      <c r="K27"/>
      <c r="L27"/>
      <c r="M27"/>
      <c r="N27"/>
      <c r="O27"/>
      <c r="P27"/>
      <c r="U27" s="5"/>
      <c r="V27" s="5"/>
      <c r="W27" s="5"/>
      <c r="X27" s="5"/>
      <c r="Y27" s="5"/>
    </row>
    <row r="28" spans="1:25" x14ac:dyDescent="0.2">
      <c r="A28" s="6" t="s">
        <v>5</v>
      </c>
      <c r="B28" s="126">
        <v>1.0609999999999999</v>
      </c>
      <c r="C28" s="165">
        <v>36104</v>
      </c>
      <c r="D28" s="165">
        <v>124</v>
      </c>
      <c r="G28"/>
      <c r="H28"/>
      <c r="I28"/>
      <c r="J28"/>
      <c r="K28"/>
      <c r="L28"/>
      <c r="M28"/>
      <c r="N28"/>
      <c r="O28"/>
      <c r="P28"/>
    </row>
    <row r="29" spans="1:25" x14ac:dyDescent="0.2">
      <c r="A29" s="6" t="s">
        <v>7</v>
      </c>
      <c r="B29" s="126">
        <v>1.05</v>
      </c>
      <c r="C29" s="165">
        <v>50525</v>
      </c>
      <c r="D29" s="165">
        <v>135</v>
      </c>
      <c r="G29"/>
      <c r="H29"/>
      <c r="I29"/>
      <c r="J29"/>
      <c r="K29"/>
      <c r="L29"/>
      <c r="M29"/>
      <c r="N29"/>
      <c r="O29"/>
      <c r="P29"/>
    </row>
    <row r="30" spans="1:25" x14ac:dyDescent="0.2">
      <c r="A30" s="8" t="s">
        <v>10</v>
      </c>
      <c r="B30" s="126">
        <v>1.0609999999999999</v>
      </c>
      <c r="C30" s="165">
        <v>1328</v>
      </c>
      <c r="D30" s="165">
        <v>13</v>
      </c>
      <c r="G30"/>
      <c r="H30"/>
      <c r="I30"/>
      <c r="J30"/>
      <c r="K30"/>
      <c r="L30"/>
      <c r="M30"/>
      <c r="N30"/>
      <c r="O30"/>
      <c r="P30"/>
    </row>
    <row r="31" spans="1:25" x14ac:dyDescent="0.2">
      <c r="A31" s="8" t="s">
        <v>11</v>
      </c>
      <c r="B31" s="126">
        <v>1.034</v>
      </c>
      <c r="C31" s="165">
        <v>1601036</v>
      </c>
      <c r="D31" s="165">
        <v>3091</v>
      </c>
      <c r="G31"/>
      <c r="H31"/>
      <c r="I31"/>
      <c r="J31"/>
      <c r="K31"/>
      <c r="L31"/>
      <c r="M31"/>
      <c r="N31"/>
      <c r="O31"/>
      <c r="P31"/>
    </row>
    <row r="32" spans="1:25" x14ac:dyDescent="0.2">
      <c r="G32"/>
      <c r="H32"/>
      <c r="I32"/>
      <c r="J32"/>
      <c r="K32"/>
      <c r="L32"/>
      <c r="M32"/>
      <c r="N32"/>
      <c r="O32"/>
      <c r="P32"/>
    </row>
    <row r="33" spans="7:16" x14ac:dyDescent="0.2">
      <c r="G33"/>
      <c r="H33"/>
      <c r="I33"/>
      <c r="J33"/>
      <c r="K33"/>
      <c r="L33"/>
      <c r="M33"/>
      <c r="N33"/>
      <c r="O33"/>
      <c r="P33"/>
    </row>
    <row r="34" spans="7:16" x14ac:dyDescent="0.2">
      <c r="G34"/>
      <c r="H34"/>
      <c r="I34"/>
      <c r="J34"/>
      <c r="K34"/>
      <c r="L34"/>
      <c r="M34"/>
      <c r="N34"/>
      <c r="O34"/>
      <c r="P34"/>
    </row>
    <row r="35" spans="7:16" x14ac:dyDescent="0.2">
      <c r="G35"/>
      <c r="H35"/>
      <c r="I35"/>
      <c r="J35"/>
      <c r="K35"/>
      <c r="L35"/>
      <c r="M35"/>
      <c r="N35"/>
      <c r="O35"/>
      <c r="P35"/>
    </row>
    <row r="36" spans="7:16" x14ac:dyDescent="0.2">
      <c r="G36"/>
      <c r="H36"/>
      <c r="I36"/>
      <c r="J36"/>
      <c r="K36"/>
      <c r="L36"/>
      <c r="M36"/>
      <c r="N36"/>
      <c r="O36"/>
      <c r="P36"/>
    </row>
    <row r="37" spans="7:16" x14ac:dyDescent="0.2">
      <c r="G37"/>
      <c r="H37"/>
      <c r="I37"/>
      <c r="J37"/>
      <c r="K37"/>
      <c r="L37"/>
      <c r="M37"/>
      <c r="N37"/>
      <c r="O37"/>
      <c r="P37"/>
    </row>
    <row r="38" spans="7:16" x14ac:dyDescent="0.2">
      <c r="G38"/>
      <c r="H38"/>
      <c r="I38"/>
      <c r="J38"/>
      <c r="K38"/>
      <c r="L38"/>
      <c r="M38"/>
      <c r="N38"/>
      <c r="O38"/>
      <c r="P38"/>
    </row>
    <row r="39" spans="7:16" x14ac:dyDescent="0.2">
      <c r="G39"/>
      <c r="H39"/>
      <c r="I39"/>
      <c r="J39"/>
      <c r="K39"/>
      <c r="L39"/>
      <c r="M39"/>
      <c r="N39"/>
      <c r="O39"/>
      <c r="P39"/>
    </row>
    <row r="40" spans="7:16" x14ac:dyDescent="0.2">
      <c r="G40"/>
      <c r="H40"/>
      <c r="I40"/>
      <c r="J40"/>
      <c r="K40"/>
      <c r="L40"/>
      <c r="M40"/>
      <c r="N40"/>
      <c r="O40"/>
      <c r="P40"/>
    </row>
    <row r="41" spans="7:16" x14ac:dyDescent="0.2">
      <c r="G41"/>
      <c r="H41"/>
      <c r="I41"/>
      <c r="J41"/>
      <c r="K41"/>
      <c r="L41"/>
      <c r="M41"/>
      <c r="N41"/>
      <c r="O41"/>
      <c r="P41"/>
    </row>
    <row r="42" spans="7:16" x14ac:dyDescent="0.2">
      <c r="G42"/>
      <c r="H42"/>
      <c r="I42"/>
      <c r="J42"/>
      <c r="K42"/>
      <c r="L42"/>
      <c r="M42"/>
      <c r="N42"/>
      <c r="O42"/>
      <c r="P42"/>
    </row>
    <row r="43" spans="7:16" x14ac:dyDescent="0.2">
      <c r="G43"/>
      <c r="H43"/>
      <c r="I43"/>
      <c r="J43"/>
      <c r="K43"/>
      <c r="L43"/>
      <c r="M43"/>
      <c r="N43"/>
      <c r="O43"/>
      <c r="P43"/>
    </row>
    <row r="44" spans="7:16" x14ac:dyDescent="0.2">
      <c r="G44"/>
      <c r="H44"/>
      <c r="I44"/>
      <c r="J44"/>
      <c r="K44"/>
      <c r="L44"/>
      <c r="M44"/>
      <c r="N44"/>
      <c r="O44"/>
      <c r="P44"/>
    </row>
    <row r="45" spans="7:16" x14ac:dyDescent="0.2">
      <c r="G45"/>
      <c r="H45"/>
      <c r="I45"/>
      <c r="J45"/>
      <c r="K45"/>
      <c r="L45"/>
      <c r="M45"/>
      <c r="N45"/>
      <c r="O45"/>
      <c r="P45"/>
    </row>
    <row r="46" spans="7:16" x14ac:dyDescent="0.2">
      <c r="G46"/>
      <c r="H46"/>
      <c r="I46"/>
      <c r="J46"/>
      <c r="K46"/>
      <c r="L46"/>
      <c r="M46"/>
      <c r="N46"/>
      <c r="O46"/>
      <c r="P46"/>
    </row>
    <row r="47" spans="7:16" x14ac:dyDescent="0.2">
      <c r="G47"/>
      <c r="H47"/>
      <c r="I47"/>
      <c r="J47"/>
      <c r="K47"/>
      <c r="L47"/>
      <c r="M47"/>
      <c r="N47"/>
      <c r="O47"/>
      <c r="P47"/>
    </row>
    <row r="48" spans="7:16" x14ac:dyDescent="0.2">
      <c r="G48"/>
      <c r="H48"/>
      <c r="I48"/>
      <c r="J48"/>
      <c r="K48"/>
      <c r="L48"/>
      <c r="M48"/>
      <c r="N48"/>
      <c r="O48"/>
      <c r="P48"/>
    </row>
    <row r="49" spans="7:16" x14ac:dyDescent="0.2">
      <c r="G49"/>
      <c r="H49"/>
      <c r="I49"/>
      <c r="J49"/>
      <c r="K49"/>
      <c r="L49"/>
      <c r="M49"/>
      <c r="N49"/>
      <c r="O49"/>
      <c r="P49"/>
    </row>
    <row r="50" spans="7:16" x14ac:dyDescent="0.2">
      <c r="G50"/>
      <c r="H50"/>
      <c r="I50"/>
      <c r="J50"/>
      <c r="K50"/>
      <c r="L50"/>
      <c r="M50"/>
      <c r="N50"/>
      <c r="O50"/>
      <c r="P50"/>
    </row>
    <row r="51" spans="7:16" x14ac:dyDescent="0.2">
      <c r="G51"/>
      <c r="H51"/>
      <c r="I51"/>
      <c r="J51"/>
      <c r="K51"/>
      <c r="L51"/>
      <c r="M51"/>
      <c r="N51"/>
      <c r="O51"/>
      <c r="P51"/>
    </row>
    <row r="52" spans="7:16" x14ac:dyDescent="0.2">
      <c r="G52"/>
      <c r="H52"/>
      <c r="I52"/>
      <c r="J52"/>
      <c r="K52"/>
      <c r="L52"/>
      <c r="M52"/>
      <c r="N52"/>
      <c r="O52"/>
      <c r="P52"/>
    </row>
    <row r="53" spans="7:16" x14ac:dyDescent="0.2">
      <c r="G53"/>
      <c r="H53"/>
      <c r="I53"/>
      <c r="J53"/>
      <c r="K53"/>
      <c r="L53"/>
      <c r="M53"/>
      <c r="N53"/>
      <c r="O53"/>
      <c r="P53"/>
    </row>
    <row r="54" spans="7:16" x14ac:dyDescent="0.2">
      <c r="G54"/>
      <c r="H54"/>
      <c r="I54"/>
      <c r="J54"/>
      <c r="K54"/>
      <c r="L54"/>
      <c r="M54"/>
      <c r="N54"/>
      <c r="O54"/>
      <c r="P54"/>
    </row>
    <row r="55" spans="7:16" x14ac:dyDescent="0.2">
      <c r="G55"/>
      <c r="H55"/>
      <c r="I55"/>
      <c r="J55"/>
      <c r="K55"/>
      <c r="L55"/>
      <c r="M55"/>
      <c r="N55"/>
      <c r="O55"/>
      <c r="P55"/>
    </row>
    <row r="56" spans="7:16" x14ac:dyDescent="0.2">
      <c r="G56"/>
      <c r="H56"/>
      <c r="I56"/>
      <c r="J56"/>
      <c r="K56"/>
      <c r="L56"/>
      <c r="M56"/>
      <c r="N56"/>
      <c r="O56"/>
      <c r="P56"/>
    </row>
    <row r="57" spans="7:16" x14ac:dyDescent="0.2">
      <c r="G57"/>
      <c r="H57"/>
      <c r="I57"/>
      <c r="J57"/>
      <c r="K57"/>
      <c r="L57"/>
      <c r="M57"/>
      <c r="N57"/>
      <c r="O57"/>
      <c r="P57"/>
    </row>
    <row r="58" spans="7:16" x14ac:dyDescent="0.2">
      <c r="G58"/>
      <c r="H58"/>
      <c r="I58"/>
      <c r="J58"/>
      <c r="K58"/>
      <c r="L58"/>
      <c r="M58"/>
      <c r="N58"/>
      <c r="O58"/>
      <c r="P58"/>
    </row>
    <row r="59" spans="7:16" x14ac:dyDescent="0.2">
      <c r="G59"/>
      <c r="H59"/>
      <c r="I59"/>
      <c r="J59"/>
      <c r="K59"/>
      <c r="L59"/>
      <c r="M59"/>
      <c r="N59"/>
      <c r="O59"/>
      <c r="P59"/>
    </row>
    <row r="60" spans="7:16" x14ac:dyDescent="0.2">
      <c r="G60"/>
      <c r="H60"/>
      <c r="I60"/>
      <c r="J60"/>
      <c r="K60"/>
      <c r="L60"/>
      <c r="M60"/>
      <c r="N60"/>
      <c r="O60"/>
      <c r="P60"/>
    </row>
    <row r="61" spans="7:16" x14ac:dyDescent="0.2">
      <c r="G61"/>
      <c r="H61"/>
      <c r="I61"/>
      <c r="J61"/>
      <c r="K61"/>
      <c r="L61"/>
      <c r="M61"/>
      <c r="N61"/>
      <c r="O61"/>
      <c r="P61"/>
    </row>
    <row r="62" spans="7:16" x14ac:dyDescent="0.2">
      <c r="G62"/>
      <c r="H62"/>
      <c r="I62"/>
      <c r="J62"/>
      <c r="K62"/>
      <c r="L62"/>
      <c r="M62"/>
      <c r="N62"/>
      <c r="O62"/>
      <c r="P62"/>
    </row>
    <row r="63" spans="7:16" x14ac:dyDescent="0.2">
      <c r="G63"/>
      <c r="H63"/>
      <c r="I63"/>
      <c r="J63"/>
      <c r="K63"/>
      <c r="L63"/>
      <c r="M63"/>
      <c r="N63"/>
      <c r="O63"/>
      <c r="P63"/>
    </row>
    <row r="64" spans="7:16" x14ac:dyDescent="0.2">
      <c r="G64"/>
      <c r="H64"/>
      <c r="I64"/>
      <c r="J64"/>
      <c r="K64"/>
      <c r="L64"/>
      <c r="M64"/>
      <c r="N64"/>
      <c r="O64"/>
      <c r="P64"/>
    </row>
    <row r="65" spans="7:16" x14ac:dyDescent="0.2">
      <c r="G65"/>
      <c r="H65"/>
      <c r="I65"/>
      <c r="J65"/>
      <c r="K65"/>
      <c r="L65"/>
      <c r="M65"/>
      <c r="N65"/>
      <c r="O65"/>
      <c r="P65"/>
    </row>
    <row r="66" spans="7:16" x14ac:dyDescent="0.2">
      <c r="G66"/>
      <c r="H66"/>
      <c r="I66"/>
      <c r="J66"/>
      <c r="K66"/>
      <c r="L66"/>
      <c r="M66"/>
      <c r="N66"/>
      <c r="O66"/>
      <c r="P66"/>
    </row>
    <row r="67" spans="7:16" x14ac:dyDescent="0.2">
      <c r="G67"/>
      <c r="H67"/>
      <c r="I67"/>
      <c r="J67"/>
      <c r="K67"/>
      <c r="L67"/>
      <c r="M67"/>
      <c r="N67"/>
      <c r="O67"/>
      <c r="P67"/>
    </row>
    <row r="68" spans="7:16" x14ac:dyDescent="0.2">
      <c r="G68"/>
      <c r="H68"/>
      <c r="I68"/>
      <c r="J68"/>
      <c r="K68"/>
      <c r="L68"/>
      <c r="M68"/>
      <c r="N68"/>
      <c r="O68"/>
      <c r="P68"/>
    </row>
    <row r="69" spans="7:16" x14ac:dyDescent="0.2">
      <c r="G69"/>
      <c r="H69"/>
      <c r="I69"/>
      <c r="J69"/>
      <c r="K69"/>
      <c r="L69"/>
      <c r="M69"/>
      <c r="N69"/>
      <c r="O69"/>
      <c r="P69"/>
    </row>
    <row r="70" spans="7:16" x14ac:dyDescent="0.2">
      <c r="G70"/>
      <c r="H70"/>
      <c r="I70"/>
      <c r="J70"/>
      <c r="K70"/>
      <c r="L70"/>
      <c r="M70"/>
      <c r="N70"/>
      <c r="O70"/>
      <c r="P70"/>
    </row>
    <row r="71" spans="7:16" x14ac:dyDescent="0.2">
      <c r="G71"/>
      <c r="H71"/>
      <c r="I71"/>
      <c r="J71"/>
      <c r="K71"/>
      <c r="L71"/>
      <c r="M71"/>
      <c r="N71"/>
      <c r="O71"/>
      <c r="P71"/>
    </row>
    <row r="72" spans="7:16" x14ac:dyDescent="0.2">
      <c r="G72"/>
      <c r="H72"/>
      <c r="I72"/>
      <c r="J72"/>
      <c r="K72"/>
      <c r="L72"/>
      <c r="M72"/>
      <c r="N72"/>
      <c r="O72"/>
      <c r="P72"/>
    </row>
    <row r="73" spans="7:16" x14ac:dyDescent="0.2">
      <c r="G73"/>
      <c r="H73"/>
      <c r="I73"/>
      <c r="J73"/>
      <c r="K73"/>
      <c r="L73"/>
      <c r="M73"/>
      <c r="N73"/>
      <c r="O73"/>
      <c r="P73"/>
    </row>
    <row r="74" spans="7:16" x14ac:dyDescent="0.2">
      <c r="G74"/>
      <c r="H74"/>
      <c r="I74"/>
      <c r="J74"/>
      <c r="K74"/>
      <c r="L74"/>
      <c r="M74"/>
      <c r="N74"/>
      <c r="O74"/>
      <c r="P74"/>
    </row>
    <row r="75" spans="7:16" x14ac:dyDescent="0.2">
      <c r="G75"/>
      <c r="H75"/>
      <c r="I75"/>
      <c r="J75"/>
      <c r="K75"/>
      <c r="L75"/>
      <c r="M75"/>
      <c r="N75"/>
      <c r="O75"/>
      <c r="P75"/>
    </row>
    <row r="76" spans="7:16" x14ac:dyDescent="0.2">
      <c r="G76"/>
      <c r="H76"/>
      <c r="I76"/>
      <c r="J76"/>
      <c r="K76"/>
      <c r="L76"/>
      <c r="M76"/>
      <c r="N76"/>
      <c r="O76"/>
      <c r="P76"/>
    </row>
    <row r="77" spans="7:16" x14ac:dyDescent="0.2">
      <c r="G77"/>
      <c r="H77"/>
      <c r="I77"/>
      <c r="J77"/>
      <c r="K77"/>
      <c r="L77"/>
      <c r="M77"/>
      <c r="N77"/>
      <c r="O77"/>
      <c r="P77"/>
    </row>
    <row r="78" spans="7:16" x14ac:dyDescent="0.2">
      <c r="G78"/>
      <c r="H78"/>
      <c r="I78"/>
      <c r="J78"/>
      <c r="K78"/>
      <c r="L78"/>
      <c r="M78"/>
      <c r="N78"/>
      <c r="O78"/>
      <c r="P78"/>
    </row>
    <row r="79" spans="7:16" x14ac:dyDescent="0.2">
      <c r="G79"/>
      <c r="H79"/>
      <c r="I79"/>
      <c r="J79"/>
      <c r="K79"/>
      <c r="L79"/>
      <c r="M79"/>
      <c r="N79"/>
      <c r="O79"/>
      <c r="P79"/>
    </row>
    <row r="80" spans="7:16" x14ac:dyDescent="0.2">
      <c r="G80"/>
      <c r="H80"/>
      <c r="I80"/>
      <c r="J80"/>
      <c r="K80"/>
      <c r="L80"/>
      <c r="M80"/>
      <c r="N80"/>
      <c r="O80"/>
      <c r="P80"/>
    </row>
    <row r="81" spans="7:16" x14ac:dyDescent="0.2">
      <c r="G81"/>
      <c r="H81"/>
      <c r="I81"/>
      <c r="J81"/>
      <c r="K81"/>
      <c r="L81"/>
      <c r="M81"/>
      <c r="N81"/>
      <c r="O81"/>
      <c r="P81"/>
    </row>
    <row r="82" spans="7:16" x14ac:dyDescent="0.2">
      <c r="G82"/>
      <c r="H82"/>
      <c r="I82"/>
      <c r="J82"/>
      <c r="K82"/>
      <c r="L82"/>
      <c r="M82"/>
      <c r="N82"/>
      <c r="O82"/>
      <c r="P82"/>
    </row>
    <row r="83" spans="7:16" x14ac:dyDescent="0.2">
      <c r="G83"/>
      <c r="H83"/>
      <c r="I83"/>
      <c r="J83"/>
      <c r="K83"/>
      <c r="L83"/>
      <c r="M83"/>
      <c r="N83"/>
      <c r="O83"/>
      <c r="P83"/>
    </row>
    <row r="84" spans="7:16" x14ac:dyDescent="0.2">
      <c r="G84"/>
      <c r="H84"/>
      <c r="I84"/>
      <c r="J84"/>
      <c r="K84"/>
      <c r="L84"/>
      <c r="M84"/>
      <c r="N84"/>
      <c r="O84"/>
      <c r="P84"/>
    </row>
    <row r="85" spans="7:16" x14ac:dyDescent="0.2">
      <c r="G85"/>
      <c r="H85"/>
      <c r="I85"/>
      <c r="J85"/>
      <c r="K85"/>
      <c r="L85"/>
      <c r="M85"/>
      <c r="N85"/>
      <c r="O85"/>
      <c r="P85"/>
    </row>
    <row r="86" spans="7:16" x14ac:dyDescent="0.2">
      <c r="G86"/>
      <c r="H86"/>
      <c r="I86"/>
      <c r="J86"/>
      <c r="K86"/>
      <c r="L86"/>
      <c r="M86"/>
      <c r="N86"/>
      <c r="O86"/>
      <c r="P86"/>
    </row>
    <row r="87" spans="7:16" x14ac:dyDescent="0.2">
      <c r="G87"/>
      <c r="H87"/>
      <c r="I87"/>
      <c r="J87"/>
      <c r="K87"/>
      <c r="L87"/>
      <c r="M87"/>
      <c r="N87"/>
      <c r="O87"/>
      <c r="P87"/>
    </row>
    <row r="88" spans="7:16" x14ac:dyDescent="0.2">
      <c r="G88"/>
      <c r="H88"/>
      <c r="I88"/>
      <c r="J88"/>
      <c r="K88"/>
      <c r="L88"/>
      <c r="M88"/>
      <c r="N88"/>
      <c r="O88"/>
      <c r="P88"/>
    </row>
    <row r="89" spans="7:16" x14ac:dyDescent="0.2">
      <c r="G89"/>
      <c r="H89"/>
      <c r="I89"/>
      <c r="J89"/>
      <c r="K89"/>
      <c r="L89"/>
      <c r="M89"/>
      <c r="N89"/>
      <c r="O89"/>
      <c r="P89"/>
    </row>
  </sheetData>
  <pageMargins left="0.7" right="0.7" top="0.75" bottom="0.75" header="0.3" footer="0.3"/>
  <pageSetup paperSize="5" scale="61" fitToHeight="0" orientation="landscape" r:id="rId1"/>
  <headerFooter>
    <oddHeader xml:space="preserve">&amp;RUpdated: 2017-06-07
EB-2017-0049
Exhibit H1-4-1
Attachment 3
</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tint="0.499984740745262"/>
    <pageSetUpPr fitToPage="1"/>
  </sheetPr>
  <dimension ref="A1:K68"/>
  <sheetViews>
    <sheetView tabSelected="1" view="pageLayout"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120</v>
      </c>
      <c r="B1" s="189"/>
      <c r="C1" s="189"/>
      <c r="D1" s="189"/>
      <c r="E1" s="189"/>
      <c r="F1" s="189"/>
      <c r="G1" s="189"/>
      <c r="H1" s="189"/>
      <c r="I1" s="189"/>
      <c r="J1" s="189"/>
      <c r="K1" s="190"/>
    </row>
    <row r="3" spans="1:11" x14ac:dyDescent="0.2">
      <c r="A3" s="13" t="s">
        <v>13</v>
      </c>
      <c r="B3" s="13" t="s">
        <v>1</v>
      </c>
    </row>
    <row r="4" spans="1:11" x14ac:dyDescent="0.2">
      <c r="A4" s="15" t="s">
        <v>62</v>
      </c>
      <c r="B4" s="15">
        <v>1800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7">
        <f>B4*B6</f>
        <v>1936.8000000000002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0.16778423053270361</v>
      </c>
      <c r="K12" s="106"/>
    </row>
    <row r="13" spans="1:11" x14ac:dyDescent="0.2">
      <c r="A13" s="107" t="s">
        <v>32</v>
      </c>
      <c r="B13" s="73">
        <f>IF(B4&gt;B7,(B4)-B7,0)</f>
        <v>1200</v>
      </c>
      <c r="C13" s="21">
        <v>0.106</v>
      </c>
      <c r="D13" s="22">
        <f>B13*C13</f>
        <v>127.2</v>
      </c>
      <c r="E13" s="73">
        <f>B13</f>
        <v>1200</v>
      </c>
      <c r="F13" s="21">
        <f>C13</f>
        <v>0.106</v>
      </c>
      <c r="G13" s="22">
        <f>E13*F13</f>
        <v>127.2</v>
      </c>
      <c r="H13" s="22">
        <f t="shared" ref="H13:H46" si="1">G13-D13</f>
        <v>0</v>
      </c>
      <c r="I13" s="23">
        <f t="shared" si="0"/>
        <v>0</v>
      </c>
      <c r="J13" s="23">
        <f>G13/$G$46</f>
        <v>0.39088194365860618</v>
      </c>
      <c r="K13" s="108"/>
    </row>
    <row r="14" spans="1:11" s="1" customFormat="1" x14ac:dyDescent="0.2">
      <c r="A14" s="46" t="s">
        <v>33</v>
      </c>
      <c r="B14" s="24"/>
      <c r="C14" s="25"/>
      <c r="D14" s="25">
        <f>SUM(D12:D13)</f>
        <v>181.8</v>
      </c>
      <c r="E14" s="76"/>
      <c r="F14" s="25"/>
      <c r="G14" s="25">
        <f>SUM(G12:G13)</f>
        <v>181.8</v>
      </c>
      <c r="H14" s="25">
        <f t="shared" si="1"/>
        <v>0</v>
      </c>
      <c r="I14" s="27">
        <f t="shared" si="0"/>
        <v>0</v>
      </c>
      <c r="J14" s="27">
        <f>G14/$G$46</f>
        <v>0.55866617419130982</v>
      </c>
      <c r="K14" s="108"/>
    </row>
    <row r="15" spans="1:11" s="1" customFormat="1" x14ac:dyDescent="0.2">
      <c r="A15" s="109" t="s">
        <v>34</v>
      </c>
      <c r="B15" s="75">
        <f>B4*0.65</f>
        <v>1170</v>
      </c>
      <c r="C15" s="28">
        <v>7.6999999999999999E-2</v>
      </c>
      <c r="D15" s="22">
        <f>B15*C15</f>
        <v>90.09</v>
      </c>
      <c r="E15" s="73">
        <f t="shared" ref="E15:F17" si="2">B15</f>
        <v>1170</v>
      </c>
      <c r="F15" s="28">
        <f t="shared" si="2"/>
        <v>7.6999999999999999E-2</v>
      </c>
      <c r="G15" s="22">
        <f>E15*F15</f>
        <v>90.09</v>
      </c>
      <c r="H15" s="22">
        <f t="shared" si="1"/>
        <v>0</v>
      </c>
      <c r="I15" s="23">
        <f t="shared" si="0"/>
        <v>0</v>
      </c>
      <c r="J15" s="23"/>
      <c r="K15" s="108">
        <f t="shared" ref="K15:K26" si="3">G15/$G$51</f>
        <v>0.28363843471264327</v>
      </c>
    </row>
    <row r="16" spans="1:11" s="1" customFormat="1" x14ac:dyDescent="0.2">
      <c r="A16" s="109" t="s">
        <v>35</v>
      </c>
      <c r="B16" s="75">
        <f>B4*0.17</f>
        <v>306</v>
      </c>
      <c r="C16" s="28">
        <v>0.113</v>
      </c>
      <c r="D16" s="22">
        <f>B16*C16</f>
        <v>34.578000000000003</v>
      </c>
      <c r="E16" s="73">
        <f t="shared" si="2"/>
        <v>306</v>
      </c>
      <c r="F16" s="28">
        <f t="shared" si="2"/>
        <v>0.113</v>
      </c>
      <c r="G16" s="22">
        <f>E16*F16</f>
        <v>34.578000000000003</v>
      </c>
      <c r="H16" s="22">
        <f t="shared" si="1"/>
        <v>0</v>
      </c>
      <c r="I16" s="23">
        <f t="shared" si="0"/>
        <v>0</v>
      </c>
      <c r="J16" s="23"/>
      <c r="K16" s="108">
        <f t="shared" si="3"/>
        <v>0.10886502159500254</v>
      </c>
    </row>
    <row r="17" spans="1:11" s="1" customFormat="1" x14ac:dyDescent="0.2">
      <c r="A17" s="109" t="s">
        <v>36</v>
      </c>
      <c r="B17" s="75">
        <f>B4*0.18</f>
        <v>324</v>
      </c>
      <c r="C17" s="28">
        <v>0.157</v>
      </c>
      <c r="D17" s="22">
        <f>B17*C17</f>
        <v>50.868000000000002</v>
      </c>
      <c r="E17" s="73">
        <f t="shared" si="2"/>
        <v>324</v>
      </c>
      <c r="F17" s="28">
        <f t="shared" si="2"/>
        <v>0.157</v>
      </c>
      <c r="G17" s="22">
        <f>E17*F17</f>
        <v>50.868000000000002</v>
      </c>
      <c r="H17" s="22">
        <f t="shared" si="1"/>
        <v>0</v>
      </c>
      <c r="I17" s="23">
        <f t="shared" si="0"/>
        <v>0</v>
      </c>
      <c r="J17" s="23"/>
      <c r="K17" s="108">
        <f t="shared" si="3"/>
        <v>0.16015229100857739</v>
      </c>
    </row>
    <row r="18" spans="1:11" s="1" customFormat="1" x14ac:dyDescent="0.2">
      <c r="A18" s="61" t="s">
        <v>37</v>
      </c>
      <c r="B18" s="29"/>
      <c r="C18" s="30"/>
      <c r="D18" s="30">
        <f>SUM(D15:D17)</f>
        <v>175.536</v>
      </c>
      <c r="E18" s="77"/>
      <c r="F18" s="30"/>
      <c r="G18" s="30">
        <f>SUM(G15:G17)</f>
        <v>175.536</v>
      </c>
      <c r="H18" s="31">
        <f t="shared" si="1"/>
        <v>0</v>
      </c>
      <c r="I18" s="32">
        <f t="shared" si="0"/>
        <v>0</v>
      </c>
      <c r="J18" s="33">
        <f t="shared" ref="J18:J26" si="4">G18/$G$46</f>
        <v>0.53941708224887652</v>
      </c>
      <c r="K18" s="62">
        <f t="shared" si="3"/>
        <v>0.55265574731622313</v>
      </c>
    </row>
    <row r="19" spans="1:11" x14ac:dyDescent="0.2">
      <c r="A19" s="107" t="s">
        <v>38</v>
      </c>
      <c r="B19" s="73">
        <v>1</v>
      </c>
      <c r="C19" s="78">
        <f>VLOOKUP($B$3,'Data for Bill Impacts'!$A$3:$Y$15,7,0)</f>
        <v>42.19</v>
      </c>
      <c r="D19" s="22">
        <f t="shared" ref="D19:D24" si="5">B19*C19</f>
        <v>42.19</v>
      </c>
      <c r="E19" s="73">
        <f t="shared" ref="E19:E41" si="6">B19</f>
        <v>1</v>
      </c>
      <c r="F19" s="121">
        <f>VLOOKUP($B$3,'Data for Bill Impacts'!$A$3:$Y$15,17,0)</f>
        <v>47.06</v>
      </c>
      <c r="G19" s="22">
        <f t="shared" ref="G19:G24" si="7">E19*F19</f>
        <v>47.06</v>
      </c>
      <c r="H19" s="22">
        <f t="shared" si="1"/>
        <v>4.8700000000000045</v>
      </c>
      <c r="I19" s="23">
        <f>IF(ISERROR(H19/ABS(D19)),"N/A",(H19/ABS(D19)))</f>
        <v>0.11543019672908283</v>
      </c>
      <c r="J19" s="23">
        <f t="shared" si="4"/>
        <v>0.14461402726866357</v>
      </c>
      <c r="K19" s="108">
        <f t="shared" si="3"/>
        <v>0.14816322275032737</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4.0000000000000001E-3</v>
      </c>
      <c r="D22" s="22">
        <f t="shared" si="5"/>
        <v>4.0000000000000001E-3</v>
      </c>
      <c r="E22" s="73">
        <f t="shared" si="6"/>
        <v>1</v>
      </c>
      <c r="F22" s="121">
        <f>VLOOKUP($B$3,'Data for Bill Impacts'!$A$3:$Y$15,22,0)</f>
        <v>4.0000000000000001E-3</v>
      </c>
      <c r="G22" s="22">
        <f t="shared" si="7"/>
        <v>4.0000000000000001E-3</v>
      </c>
      <c r="H22" s="22">
        <f t="shared" si="1"/>
        <v>0</v>
      </c>
      <c r="I22" s="23">
        <f t="shared" ref="I22:I51" si="8">IF(ISERROR(H22/ABS(D22)),"N/A",(H22/ABS(D22)))</f>
        <v>0</v>
      </c>
      <c r="J22" s="23">
        <f t="shared" si="4"/>
        <v>1.2291885020710886E-5</v>
      </c>
      <c r="K22" s="108">
        <f t="shared" si="3"/>
        <v>1.2593559094800455E-5</v>
      </c>
    </row>
    <row r="23" spans="1:11" x14ac:dyDescent="0.2">
      <c r="A23" s="107" t="s">
        <v>39</v>
      </c>
      <c r="B23" s="73">
        <f>IF($B$9="kWh",$B$4,$B$5)</f>
        <v>1800</v>
      </c>
      <c r="C23" s="78">
        <f>VLOOKUP($B$3,'Data for Bill Impacts'!$A$3:$Y$15,10,0)</f>
        <v>1.9300000000000001E-2</v>
      </c>
      <c r="D23" s="22">
        <f t="shared" si="5"/>
        <v>34.74</v>
      </c>
      <c r="E23" s="73">
        <f t="shared" si="6"/>
        <v>1800</v>
      </c>
      <c r="F23" s="125">
        <f>VLOOKUP($B$3,'Data for Bill Impacts'!$A$3:$Y$15,19,0)</f>
        <v>1.6E-2</v>
      </c>
      <c r="G23" s="22">
        <f t="shared" si="7"/>
        <v>28.8</v>
      </c>
      <c r="H23" s="22">
        <f t="shared" si="1"/>
        <v>-5.9400000000000013</v>
      </c>
      <c r="I23" s="23">
        <f t="shared" si="8"/>
        <v>-0.17098445595854925</v>
      </c>
      <c r="J23" s="23">
        <f t="shared" si="4"/>
        <v>8.8501572149118385E-2</v>
      </c>
      <c r="K23" s="108">
        <f t="shared" si="3"/>
        <v>9.0673625482563275E-2</v>
      </c>
    </row>
    <row r="24" spans="1:11" x14ac:dyDescent="0.2">
      <c r="A24" s="107" t="s">
        <v>121</v>
      </c>
      <c r="B24" s="73">
        <f>IF($B$9="kWh",$B$4,$B$5)</f>
        <v>1800</v>
      </c>
      <c r="C24" s="125">
        <f>VLOOKUP($B$3,'Data for Bill Impacts'!$A$3:$Y$15,14,0)</f>
        <v>2.0000000000000002E-5</v>
      </c>
      <c r="D24" s="22">
        <f t="shared" si="5"/>
        <v>3.6000000000000004E-2</v>
      </c>
      <c r="E24" s="73">
        <f>B24</f>
        <v>1800</v>
      </c>
      <c r="F24" s="125">
        <f>VLOOKUP($B$3,'Data for Bill Impacts'!$A$3:$Y$15,23,0)</f>
        <v>2.0000000000000002E-5</v>
      </c>
      <c r="G24" s="22">
        <f t="shared" si="7"/>
        <v>3.6000000000000004E-2</v>
      </c>
      <c r="H24" s="22">
        <f>G24-D24</f>
        <v>0</v>
      </c>
      <c r="I24" s="23">
        <f t="shared" si="8"/>
        <v>0</v>
      </c>
      <c r="J24" s="23">
        <f t="shared" si="4"/>
        <v>1.1062696518639799E-4</v>
      </c>
      <c r="K24" s="108">
        <f t="shared" si="3"/>
        <v>1.1334203185320412E-4</v>
      </c>
    </row>
    <row r="25" spans="1:11" s="1" customFormat="1" x14ac:dyDescent="0.2">
      <c r="A25" s="110" t="s">
        <v>72</v>
      </c>
      <c r="B25" s="74"/>
      <c r="C25" s="35"/>
      <c r="D25" s="35">
        <f>SUM(D19:D24)</f>
        <v>76.97</v>
      </c>
      <c r="E25" s="73"/>
      <c r="F25" s="35"/>
      <c r="G25" s="35">
        <f>SUM(G19:G24)</f>
        <v>75.900000000000006</v>
      </c>
      <c r="H25" s="35">
        <f t="shared" si="1"/>
        <v>-1.0699999999999932</v>
      </c>
      <c r="I25" s="36">
        <f t="shared" si="8"/>
        <v>-1.3901520072755531E-2</v>
      </c>
      <c r="J25" s="36">
        <f t="shared" si="4"/>
        <v>0.23323851826798908</v>
      </c>
      <c r="K25" s="111">
        <f t="shared" si="3"/>
        <v>0.23896278382383865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2.4276472915904001E-3</v>
      </c>
      <c r="K26" s="108">
        <f t="shared" si="3"/>
        <v>2.4872279212230898E-3</v>
      </c>
    </row>
    <row r="27" spans="1:11" s="1" customFormat="1" x14ac:dyDescent="0.2">
      <c r="A27" s="119" t="s">
        <v>75</v>
      </c>
      <c r="B27" s="120">
        <f>B8-B4</f>
        <v>136.80000000000018</v>
      </c>
      <c r="C27" s="172">
        <f>IF(B4&gt;B7,C13,C12)</f>
        <v>0.106</v>
      </c>
      <c r="D27" s="22">
        <f>B27*C27</f>
        <v>14.500800000000019</v>
      </c>
      <c r="E27" s="73">
        <f>B27</f>
        <v>136.80000000000018</v>
      </c>
      <c r="F27" s="172">
        <f>C27</f>
        <v>0.106</v>
      </c>
      <c r="G27" s="22">
        <f>E27*F27</f>
        <v>14.500800000000019</v>
      </c>
      <c r="H27" s="22">
        <f t="shared" si="1"/>
        <v>0</v>
      </c>
      <c r="I27" s="23">
        <f t="shared" si="8"/>
        <v>0</v>
      </c>
      <c r="J27" s="23">
        <f t="shared" ref="J27:J46" si="9">G27/$G$46</f>
        <v>4.4560541577081163E-2</v>
      </c>
      <c r="K27" s="108">
        <f t="shared" ref="K27:K41" si="10">G27/$G$51</f>
        <v>4.5654170430470674E-2</v>
      </c>
    </row>
    <row r="28" spans="1:11" s="1" customFormat="1" x14ac:dyDescent="0.2">
      <c r="A28" s="119" t="s">
        <v>74</v>
      </c>
      <c r="B28" s="120">
        <f>B8-B4</f>
        <v>136.80000000000018</v>
      </c>
      <c r="C28" s="172">
        <f>0.65*C15+0.17*C16+0.18*C17</f>
        <v>9.7519999999999996E-2</v>
      </c>
      <c r="D28" s="22">
        <f>B28*C28</f>
        <v>13.340736000000017</v>
      </c>
      <c r="E28" s="73">
        <f>B28</f>
        <v>136.80000000000018</v>
      </c>
      <c r="F28" s="172">
        <f>C28</f>
        <v>9.7519999999999996E-2</v>
      </c>
      <c r="G28" s="22">
        <f>E28*F28</f>
        <v>13.340736000000017</v>
      </c>
      <c r="H28" s="22">
        <f t="shared" si="1"/>
        <v>0</v>
      </c>
      <c r="I28" s="23">
        <f t="shared" si="8"/>
        <v>0</v>
      </c>
      <c r="J28" s="23">
        <f t="shared" si="9"/>
        <v>4.0995698250914668E-2</v>
      </c>
      <c r="K28" s="108">
        <f t="shared" si="10"/>
        <v>4.2001836796033018E-2</v>
      </c>
    </row>
    <row r="29" spans="1:11" s="1" customFormat="1" x14ac:dyDescent="0.2">
      <c r="A29" s="110" t="s">
        <v>78</v>
      </c>
      <c r="B29" s="74"/>
      <c r="C29" s="35"/>
      <c r="D29" s="35">
        <f>SUM(D25,D26:D27)</f>
        <v>92.260800000000017</v>
      </c>
      <c r="E29" s="73"/>
      <c r="F29" s="35"/>
      <c r="G29" s="35">
        <f>SUM(G25,G26:G27)</f>
        <v>91.190800000000024</v>
      </c>
      <c r="H29" s="35">
        <f t="shared" si="1"/>
        <v>-1.0699999999999932</v>
      </c>
      <c r="I29" s="36">
        <f t="shared" si="8"/>
        <v>-1.1597558226245523E-2</v>
      </c>
      <c r="J29" s="36">
        <f t="shared" si="9"/>
        <v>0.28022670713666065</v>
      </c>
      <c r="K29" s="111">
        <f t="shared" si="10"/>
        <v>0.28710418217553241</v>
      </c>
    </row>
    <row r="30" spans="1:11" s="1" customFormat="1" x14ac:dyDescent="0.2">
      <c r="A30" s="110" t="s">
        <v>77</v>
      </c>
      <c r="B30" s="74"/>
      <c r="C30" s="35"/>
      <c r="D30" s="35">
        <f>SUM(D25,D26,D28)</f>
        <v>91.100736000000026</v>
      </c>
      <c r="E30" s="73"/>
      <c r="F30" s="35"/>
      <c r="G30" s="35">
        <f>SUM(G25,G26,G28)</f>
        <v>90.030736000000033</v>
      </c>
      <c r="H30" s="35">
        <f t="shared" si="1"/>
        <v>-1.0699999999999932</v>
      </c>
      <c r="I30" s="36">
        <f t="shared" si="8"/>
        <v>-1.1745239906733497E-2</v>
      </c>
      <c r="J30" s="36">
        <f t="shared" si="9"/>
        <v>0.27666186381049418</v>
      </c>
      <c r="K30" s="111">
        <f t="shared" si="10"/>
        <v>0.28345184854109479</v>
      </c>
    </row>
    <row r="31" spans="1:11" x14ac:dyDescent="0.2">
      <c r="A31" s="107" t="s">
        <v>40</v>
      </c>
      <c r="B31" s="73">
        <f>B8</f>
        <v>1936.8000000000002</v>
      </c>
      <c r="C31" s="125">
        <f>VLOOKUP($B$3,'Data for Bill Impacts'!$A$3:$Y$15,15,0)</f>
        <v>7.2069999999999999E-3</v>
      </c>
      <c r="D31" s="22">
        <f>B31*C31</f>
        <v>13.9585176</v>
      </c>
      <c r="E31" s="73">
        <f t="shared" si="6"/>
        <v>1936.8000000000002</v>
      </c>
      <c r="F31" s="125">
        <f>VLOOKUP($B$3,'Data for Bill Impacts'!$A$3:$Y$15,24,0)</f>
        <v>7.2069999999999999E-3</v>
      </c>
      <c r="G31" s="22">
        <f>E31*F31</f>
        <v>13.9585176</v>
      </c>
      <c r="H31" s="22">
        <f t="shared" si="1"/>
        <v>0</v>
      </c>
      <c r="I31" s="23">
        <f t="shared" si="8"/>
        <v>0</v>
      </c>
      <c r="J31" s="23">
        <f t="shared" si="9"/>
        <v>4.2894123349692316E-2</v>
      </c>
      <c r="K31" s="108">
        <f t="shared" si="10"/>
        <v>4.3946854067853057E-2</v>
      </c>
    </row>
    <row r="32" spans="1:11" x14ac:dyDescent="0.2">
      <c r="A32" s="107" t="s">
        <v>41</v>
      </c>
      <c r="B32" s="73">
        <f>B8</f>
        <v>1936.8000000000002</v>
      </c>
      <c r="C32" s="125">
        <f>VLOOKUP($B$3,'Data for Bill Impacts'!$A$3:$Y$15,16,0)</f>
        <v>6.0319999999999992E-3</v>
      </c>
      <c r="D32" s="22">
        <f>B32*C32</f>
        <v>11.6827776</v>
      </c>
      <c r="E32" s="73">
        <f t="shared" si="6"/>
        <v>1936.8000000000002</v>
      </c>
      <c r="F32" s="125">
        <f>VLOOKUP($B$3,'Data for Bill Impacts'!$A$3:$Y$15,25,0)</f>
        <v>6.0319999999999992E-3</v>
      </c>
      <c r="G32" s="22">
        <f>E32*F32</f>
        <v>11.6827776</v>
      </c>
      <c r="H32" s="22">
        <f t="shared" si="1"/>
        <v>0</v>
      </c>
      <c r="I32" s="23">
        <f t="shared" si="8"/>
        <v>0</v>
      </c>
      <c r="J32" s="23">
        <f t="shared" si="9"/>
        <v>3.590083974543417E-2</v>
      </c>
      <c r="K32" s="108">
        <f t="shared" si="10"/>
        <v>3.678193752425276E-2</v>
      </c>
    </row>
    <row r="33" spans="1:11" s="1" customFormat="1" x14ac:dyDescent="0.2">
      <c r="A33" s="110" t="s">
        <v>76</v>
      </c>
      <c r="B33" s="74"/>
      <c r="C33" s="35"/>
      <c r="D33" s="35">
        <f>SUM(D31:D32)</f>
        <v>25.641295200000002</v>
      </c>
      <c r="E33" s="73"/>
      <c r="F33" s="35"/>
      <c r="G33" s="35">
        <f>SUM(G31:G32)</f>
        <v>25.641295200000002</v>
      </c>
      <c r="H33" s="35">
        <f t="shared" si="1"/>
        <v>0</v>
      </c>
      <c r="I33" s="36">
        <f t="shared" si="8"/>
        <v>0</v>
      </c>
      <c r="J33" s="36">
        <f t="shared" si="9"/>
        <v>7.8794963095126486E-2</v>
      </c>
      <c r="K33" s="111">
        <f t="shared" si="10"/>
        <v>8.0728791592105817E-2</v>
      </c>
    </row>
    <row r="34" spans="1:11" s="1" customFormat="1" x14ac:dyDescent="0.2">
      <c r="A34" s="110" t="s">
        <v>91</v>
      </c>
      <c r="B34" s="74"/>
      <c r="C34" s="35"/>
      <c r="D34" s="35">
        <f>D29+D33</f>
        <v>117.90209520000002</v>
      </c>
      <c r="E34" s="73"/>
      <c r="F34" s="35"/>
      <c r="G34" s="35">
        <f>G29+G33</f>
        <v>116.83209520000003</v>
      </c>
      <c r="H34" s="35">
        <f t="shared" si="1"/>
        <v>-1.0699999999999932</v>
      </c>
      <c r="I34" s="36">
        <f t="shared" si="8"/>
        <v>-9.0753264238852393E-3</v>
      </c>
      <c r="J34" s="36">
        <f t="shared" si="9"/>
        <v>0.35902167023178716</v>
      </c>
      <c r="K34" s="111">
        <f t="shared" si="10"/>
        <v>0.36783297376763824</v>
      </c>
    </row>
    <row r="35" spans="1:11" s="1" customFormat="1" x14ac:dyDescent="0.2">
      <c r="A35" s="110" t="s">
        <v>92</v>
      </c>
      <c r="B35" s="74"/>
      <c r="C35" s="35"/>
      <c r="D35" s="35">
        <f>D30+D33</f>
        <v>116.74203120000003</v>
      </c>
      <c r="E35" s="73"/>
      <c r="F35" s="35"/>
      <c r="G35" s="35">
        <f>G30+G33</f>
        <v>115.67203120000003</v>
      </c>
      <c r="H35" s="35">
        <f t="shared" si="1"/>
        <v>-1.0699999999999932</v>
      </c>
      <c r="I35" s="36">
        <f t="shared" si="8"/>
        <v>-9.1655078209740195E-3</v>
      </c>
      <c r="J35" s="36">
        <f t="shared" si="9"/>
        <v>0.35545682690562069</v>
      </c>
      <c r="K35" s="111">
        <f t="shared" si="10"/>
        <v>0.36418064013320062</v>
      </c>
    </row>
    <row r="36" spans="1:11" x14ac:dyDescent="0.2">
      <c r="A36" s="107" t="s">
        <v>42</v>
      </c>
      <c r="B36" s="73">
        <f>B8</f>
        <v>1936.8000000000002</v>
      </c>
      <c r="C36" s="34">
        <v>3.5999999999999999E-3</v>
      </c>
      <c r="D36" s="22">
        <f>B36*C36</f>
        <v>6.9724800000000009</v>
      </c>
      <c r="E36" s="73">
        <f t="shared" si="6"/>
        <v>1936.8000000000002</v>
      </c>
      <c r="F36" s="34">
        <v>3.5999999999999999E-3</v>
      </c>
      <c r="G36" s="22">
        <f>E36*F36</f>
        <v>6.9724800000000009</v>
      </c>
      <c r="H36" s="22">
        <f t="shared" si="1"/>
        <v>0</v>
      </c>
      <c r="I36" s="23">
        <f t="shared" si="8"/>
        <v>0</v>
      </c>
      <c r="J36" s="23">
        <f t="shared" si="9"/>
        <v>2.1426230617301562E-2</v>
      </c>
      <c r="K36" s="108">
        <f t="shared" si="10"/>
        <v>2.1952084729328573E-2</v>
      </c>
    </row>
    <row r="37" spans="1:11" x14ac:dyDescent="0.2">
      <c r="A37" s="107" t="s">
        <v>43</v>
      </c>
      <c r="B37" s="73">
        <f>B8</f>
        <v>1936.8000000000002</v>
      </c>
      <c r="C37" s="34">
        <v>2.0999999999999999E-3</v>
      </c>
      <c r="D37" s="22">
        <f>B37*C37</f>
        <v>4.0672800000000002</v>
      </c>
      <c r="E37" s="73">
        <f t="shared" si="6"/>
        <v>1936.8000000000002</v>
      </c>
      <c r="F37" s="34">
        <v>2.0999999999999999E-3</v>
      </c>
      <c r="G37" s="22">
        <f>E37*F37</f>
        <v>4.0672800000000002</v>
      </c>
      <c r="H37" s="22">
        <f>G37-D37</f>
        <v>0</v>
      </c>
      <c r="I37" s="23">
        <f t="shared" si="8"/>
        <v>0</v>
      </c>
      <c r="J37" s="23">
        <f t="shared" si="9"/>
        <v>1.2498634526759244E-2</v>
      </c>
      <c r="K37" s="108">
        <f t="shared" si="10"/>
        <v>1.2805382758775E-2</v>
      </c>
    </row>
    <row r="38" spans="1:11" x14ac:dyDescent="0.2">
      <c r="A38" s="107" t="s">
        <v>96</v>
      </c>
      <c r="B38" s="73">
        <f>B8</f>
        <v>1936.8000000000002</v>
      </c>
      <c r="C38" s="34">
        <v>0</v>
      </c>
      <c r="D38" s="22">
        <f>B38*C38</f>
        <v>0</v>
      </c>
      <c r="E38" s="73">
        <f t="shared" si="6"/>
        <v>1936.8000000000002</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7.6824281379443042E-4</v>
      </c>
      <c r="K39" s="108">
        <f t="shared" si="10"/>
        <v>7.8709744342502842E-4</v>
      </c>
    </row>
    <row r="40" spans="1:11" s="1" customFormat="1" x14ac:dyDescent="0.2">
      <c r="A40" s="110" t="s">
        <v>45</v>
      </c>
      <c r="B40" s="74"/>
      <c r="C40" s="35"/>
      <c r="D40" s="35">
        <f>SUM(D36:D39)</f>
        <v>11.289760000000001</v>
      </c>
      <c r="E40" s="73"/>
      <c r="F40" s="35"/>
      <c r="G40" s="35">
        <f>SUM(G36:G39)</f>
        <v>11.289760000000001</v>
      </c>
      <c r="H40" s="35">
        <f t="shared" si="1"/>
        <v>0</v>
      </c>
      <c r="I40" s="36">
        <f t="shared" si="8"/>
        <v>0</v>
      </c>
      <c r="J40" s="36">
        <f t="shared" si="9"/>
        <v>3.469310795785524E-2</v>
      </c>
      <c r="K40" s="111">
        <f t="shared" si="10"/>
        <v>3.5544564931528598E-2</v>
      </c>
    </row>
    <row r="41" spans="1:11" s="1" customFormat="1" ht="13.5" thickBot="1" x14ac:dyDescent="0.25">
      <c r="A41" s="112" t="s">
        <v>46</v>
      </c>
      <c r="B41" s="113">
        <f>B4</f>
        <v>1800</v>
      </c>
      <c r="C41" s="114">
        <v>0</v>
      </c>
      <c r="D41" s="115">
        <f>B41*C41</f>
        <v>0</v>
      </c>
      <c r="E41" s="116">
        <f t="shared" si="6"/>
        <v>1800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310.99185520000003</v>
      </c>
      <c r="E42" s="38"/>
      <c r="F42" s="39"/>
      <c r="G42" s="39">
        <f>SUM(G14,G25,G26,G27,G33,G40,G41)</f>
        <v>309.9218552000001</v>
      </c>
      <c r="H42" s="39">
        <f t="shared" si="1"/>
        <v>-1.0699999999999363</v>
      </c>
      <c r="I42" s="40">
        <f t="shared" si="8"/>
        <v>-3.4406045756787272E-3</v>
      </c>
      <c r="J42" s="40">
        <f t="shared" si="9"/>
        <v>0.95238095238095233</v>
      </c>
      <c r="K42" s="41"/>
    </row>
    <row r="43" spans="1:11" x14ac:dyDescent="0.2">
      <c r="A43" s="153" t="s">
        <v>102</v>
      </c>
      <c r="B43" s="43"/>
      <c r="C43" s="26">
        <v>0.13</v>
      </c>
      <c r="D43" s="26">
        <f>D42*C43</f>
        <v>40.428941176000002</v>
      </c>
      <c r="E43" s="26"/>
      <c r="F43" s="26">
        <f>C43</f>
        <v>0.13</v>
      </c>
      <c r="G43" s="26">
        <f>G42*F43</f>
        <v>40.289841176000017</v>
      </c>
      <c r="H43" s="26">
        <f t="shared" si="1"/>
        <v>-0.1390999999999849</v>
      </c>
      <c r="I43" s="44">
        <f t="shared" si="8"/>
        <v>-3.440604575678559E-3</v>
      </c>
      <c r="J43" s="44">
        <f t="shared" si="9"/>
        <v>0.12380952380952383</v>
      </c>
      <c r="K43" s="45"/>
    </row>
    <row r="44" spans="1:11" s="1" customFormat="1" x14ac:dyDescent="0.2">
      <c r="A44" s="46" t="s">
        <v>103</v>
      </c>
      <c r="B44" s="24"/>
      <c r="C44" s="25"/>
      <c r="D44" s="25">
        <f>SUM(D42:D43)</f>
        <v>351.42079637600006</v>
      </c>
      <c r="E44" s="25"/>
      <c r="F44" s="25"/>
      <c r="G44" s="25">
        <f>SUM(G42:G43)</f>
        <v>350.21169637600013</v>
      </c>
      <c r="H44" s="25">
        <f t="shared" si="1"/>
        <v>-1.2090999999999212</v>
      </c>
      <c r="I44" s="27">
        <f t="shared" si="8"/>
        <v>-3.4406045756787077E-3</v>
      </c>
      <c r="J44" s="27">
        <f t="shared" si="9"/>
        <v>1.0761904761904761</v>
      </c>
      <c r="K44" s="47"/>
    </row>
    <row r="45" spans="1:11" x14ac:dyDescent="0.2">
      <c r="A45" s="42" t="s">
        <v>104</v>
      </c>
      <c r="B45" s="43"/>
      <c r="C45" s="26">
        <v>-0.08</v>
      </c>
      <c r="D45" s="26">
        <f>D42*C45</f>
        <v>-24.879348416000003</v>
      </c>
      <c r="E45" s="26"/>
      <c r="F45" s="26">
        <f>C45</f>
        <v>-0.08</v>
      </c>
      <c r="G45" s="26">
        <f>G42*F45</f>
        <v>-24.793748416000007</v>
      </c>
      <c r="H45" s="26">
        <f t="shared" si="1"/>
        <v>8.5599999999995902E-2</v>
      </c>
      <c r="I45" s="44">
        <f t="shared" si="8"/>
        <v>3.4406045756787671E-3</v>
      </c>
      <c r="J45" s="44">
        <f t="shared" si="9"/>
        <v>-7.6190476190476183E-2</v>
      </c>
      <c r="K45" s="45"/>
    </row>
    <row r="46" spans="1:11" s="1" customFormat="1" ht="13.5" thickBot="1" x14ac:dyDescent="0.25">
      <c r="A46" s="48" t="s">
        <v>105</v>
      </c>
      <c r="B46" s="49"/>
      <c r="C46" s="50"/>
      <c r="D46" s="50">
        <f>SUM(D44:D45)</f>
        <v>326.54144796000003</v>
      </c>
      <c r="E46" s="50"/>
      <c r="F46" s="50"/>
      <c r="G46" s="50">
        <f>SUM(G44:G45)</f>
        <v>325.41794796000011</v>
      </c>
      <c r="H46" s="50">
        <f t="shared" si="1"/>
        <v>-1.1234999999999218</v>
      </c>
      <c r="I46" s="51">
        <f t="shared" si="8"/>
        <v>-3.4406045756786925E-3</v>
      </c>
      <c r="J46" s="51">
        <f t="shared" si="9"/>
        <v>1</v>
      </c>
      <c r="K46" s="52"/>
    </row>
    <row r="47" spans="1:11" x14ac:dyDescent="0.2">
      <c r="A47" s="53" t="s">
        <v>106</v>
      </c>
      <c r="B47" s="54"/>
      <c r="C47" s="55"/>
      <c r="D47" s="55">
        <f>SUM(D18,D25,D26,D28,D33,D40,D41)</f>
        <v>303.56779119999999</v>
      </c>
      <c r="E47" s="55"/>
      <c r="F47" s="55"/>
      <c r="G47" s="55">
        <f>SUM(G18,G25,G26,G28,G33,G40,G41)</f>
        <v>302.49779119999999</v>
      </c>
      <c r="H47" s="55">
        <f>G47-D47</f>
        <v>-1.0699999999999932</v>
      </c>
      <c r="I47" s="56">
        <f t="shared" si="8"/>
        <v>-3.5247481156360345E-3</v>
      </c>
      <c r="J47" s="56"/>
      <c r="K47" s="57">
        <f>G47/$G$51</f>
        <v>0.95238095238095222</v>
      </c>
    </row>
    <row r="48" spans="1:11" x14ac:dyDescent="0.2">
      <c r="A48" s="58" t="s">
        <v>102</v>
      </c>
      <c r="B48" s="59"/>
      <c r="C48" s="31">
        <v>0.13</v>
      </c>
      <c r="D48" s="31">
        <f>D47*C48</f>
        <v>39.463812855999997</v>
      </c>
      <c r="E48" s="31"/>
      <c r="F48" s="31">
        <f>C48</f>
        <v>0.13</v>
      </c>
      <c r="G48" s="31">
        <f>G47*F48</f>
        <v>39.324712855999998</v>
      </c>
      <c r="H48" s="31">
        <f>G48-D48</f>
        <v>-0.13909999999999911</v>
      </c>
      <c r="I48" s="32">
        <f t="shared" si="8"/>
        <v>-3.5247481156360349E-3</v>
      </c>
      <c r="J48" s="32"/>
      <c r="K48" s="60">
        <f>G48/$G$51</f>
        <v>0.12380952380952379</v>
      </c>
    </row>
    <row r="49" spans="1:11" x14ac:dyDescent="0.2">
      <c r="A49" s="61" t="s">
        <v>107</v>
      </c>
      <c r="B49" s="29"/>
      <c r="C49" s="30"/>
      <c r="D49" s="30">
        <f>SUM(D47:D48)</f>
        <v>343.03160405599999</v>
      </c>
      <c r="E49" s="30"/>
      <c r="F49" s="30"/>
      <c r="G49" s="30">
        <f>SUM(G47:G48)</f>
        <v>341.82250405600001</v>
      </c>
      <c r="H49" s="30">
        <f>G49-D49</f>
        <v>-1.2090999999999781</v>
      </c>
      <c r="I49" s="33">
        <f t="shared" si="8"/>
        <v>-3.5247481156359933E-3</v>
      </c>
      <c r="J49" s="33"/>
      <c r="K49" s="62">
        <f>G49/$G$51</f>
        <v>1.0761904761904761</v>
      </c>
    </row>
    <row r="50" spans="1:11" x14ac:dyDescent="0.2">
      <c r="A50" s="58" t="s">
        <v>104</v>
      </c>
      <c r="B50" s="59"/>
      <c r="C50" s="31">
        <v>-0.08</v>
      </c>
      <c r="D50" s="31">
        <f>D47*C50</f>
        <v>-24.285423296000001</v>
      </c>
      <c r="E50" s="31"/>
      <c r="F50" s="31">
        <f>C50</f>
        <v>-0.08</v>
      </c>
      <c r="G50" s="31">
        <f>G47*F50</f>
        <v>-24.199823296000002</v>
      </c>
      <c r="H50" s="31">
        <f>G50-D50</f>
        <v>8.5599999999999454E-2</v>
      </c>
      <c r="I50" s="32">
        <f t="shared" si="8"/>
        <v>3.5247481156360345E-3</v>
      </c>
      <c r="J50" s="32"/>
      <c r="K50" s="60">
        <f>G50/$G$51</f>
        <v>-7.6190476190476183E-2</v>
      </c>
    </row>
    <row r="51" spans="1:11" ht="13.5" thickBot="1" x14ac:dyDescent="0.25">
      <c r="A51" s="63" t="s">
        <v>116</v>
      </c>
      <c r="B51" s="64"/>
      <c r="C51" s="65"/>
      <c r="D51" s="65">
        <f>SUM(D49:D50)</f>
        <v>318.74618076000002</v>
      </c>
      <c r="E51" s="65"/>
      <c r="F51" s="65"/>
      <c r="G51" s="65">
        <f>SUM(G49:G50)</f>
        <v>317.62268076000004</v>
      </c>
      <c r="H51" s="65">
        <f>G51-D51</f>
        <v>-1.1234999999999786</v>
      </c>
      <c r="I51" s="66">
        <f t="shared" si="8"/>
        <v>-3.5247481156359898E-3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tint="0.499984740745262"/>
    <pageSetUpPr fitToPage="1"/>
  </sheetPr>
  <dimension ref="A1:K68"/>
  <sheetViews>
    <sheetView tabSelected="1" view="pageLayout" topLeftCell="A8"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117</v>
      </c>
      <c r="B1" s="189"/>
      <c r="C1" s="189"/>
      <c r="D1" s="189"/>
      <c r="E1" s="189"/>
      <c r="F1" s="189"/>
      <c r="G1" s="189"/>
      <c r="H1" s="189"/>
      <c r="I1" s="189"/>
      <c r="J1" s="189"/>
      <c r="K1" s="190"/>
    </row>
    <row r="3" spans="1:11" x14ac:dyDescent="0.2">
      <c r="A3" s="13" t="s">
        <v>13</v>
      </c>
      <c r="B3" s="13" t="s">
        <v>2</v>
      </c>
    </row>
    <row r="4" spans="1:11" x14ac:dyDescent="0.2">
      <c r="A4" s="15" t="s">
        <v>62</v>
      </c>
      <c r="B4" s="15">
        <v>450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7">
        <f>B4*B6</f>
        <v>497.25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450</v>
      </c>
      <c r="C12" s="103">
        <v>9.0999999999999998E-2</v>
      </c>
      <c r="D12" s="104">
        <f>B12*C12</f>
        <v>40.949999999999996</v>
      </c>
      <c r="E12" s="102">
        <f>B12</f>
        <v>450</v>
      </c>
      <c r="F12" s="103">
        <f>C12</f>
        <v>9.0999999999999998E-2</v>
      </c>
      <c r="G12" s="104">
        <f>E12*F12</f>
        <v>40.949999999999996</v>
      </c>
      <c r="H12" s="104">
        <f>G12-D12</f>
        <v>0</v>
      </c>
      <c r="I12" s="105">
        <f t="shared" ref="I12:I18" si="0">IF(ISERROR(H12/ABS(D12)),"N/A",(H12/ABS(D12)))</f>
        <v>0</v>
      </c>
      <c r="J12" s="105">
        <f>G12/$G$46</f>
        <v>0.34982838197485278</v>
      </c>
      <c r="K12" s="106"/>
    </row>
    <row r="13" spans="1:11" x14ac:dyDescent="0.2">
      <c r="A13" s="107" t="s">
        <v>32</v>
      </c>
      <c r="B13" s="73">
        <f>IF(B4&gt;B7,(B4)-B7,0)</f>
        <v>0</v>
      </c>
      <c r="C13" s="21">
        <v>0.106</v>
      </c>
      <c r="D13" s="22">
        <f>B13*C13</f>
        <v>0</v>
      </c>
      <c r="E13" s="73">
        <f>B13</f>
        <v>0</v>
      </c>
      <c r="F13" s="21">
        <f>C13</f>
        <v>0.106</v>
      </c>
      <c r="G13" s="22">
        <f>E13*F13</f>
        <v>0</v>
      </c>
      <c r="H13" s="22">
        <f t="shared" ref="H13:H46" si="1">G13-D13</f>
        <v>0</v>
      </c>
      <c r="I13" s="23" t="str">
        <f t="shared" si="0"/>
        <v>N/A</v>
      </c>
      <c r="J13" s="23">
        <f>G13/$G$46</f>
        <v>0</v>
      </c>
      <c r="K13" s="108"/>
    </row>
    <row r="14" spans="1:11" s="1" customFormat="1" x14ac:dyDescent="0.2">
      <c r="A14" s="46" t="s">
        <v>33</v>
      </c>
      <c r="B14" s="24"/>
      <c r="C14" s="25"/>
      <c r="D14" s="25">
        <f>SUM(D12:D13)</f>
        <v>40.949999999999996</v>
      </c>
      <c r="E14" s="76"/>
      <c r="F14" s="25"/>
      <c r="G14" s="25">
        <f>SUM(G12:G13)</f>
        <v>40.949999999999996</v>
      </c>
      <c r="H14" s="25">
        <f t="shared" si="1"/>
        <v>0</v>
      </c>
      <c r="I14" s="27">
        <f t="shared" si="0"/>
        <v>0</v>
      </c>
      <c r="J14" s="27">
        <f>G14/$G$46</f>
        <v>0.34982838197485278</v>
      </c>
      <c r="K14" s="108"/>
    </row>
    <row r="15" spans="1:11" s="1" customFormat="1" x14ac:dyDescent="0.2">
      <c r="A15" s="109" t="s">
        <v>34</v>
      </c>
      <c r="B15" s="75">
        <f>B4*0.65</f>
        <v>292.5</v>
      </c>
      <c r="C15" s="28">
        <v>7.6999999999999999E-2</v>
      </c>
      <c r="D15" s="22">
        <f>B15*C15</f>
        <v>22.522500000000001</v>
      </c>
      <c r="E15" s="73">
        <f t="shared" ref="E15:F17" si="2">B15</f>
        <v>292.5</v>
      </c>
      <c r="F15" s="28">
        <f t="shared" si="2"/>
        <v>7.6999999999999999E-2</v>
      </c>
      <c r="G15" s="22">
        <f>E15*F15</f>
        <v>22.522500000000001</v>
      </c>
      <c r="H15" s="22">
        <f t="shared" si="1"/>
        <v>0</v>
      </c>
      <c r="I15" s="23">
        <f t="shared" si="0"/>
        <v>0</v>
      </c>
      <c r="J15" s="23"/>
      <c r="K15" s="108">
        <f t="shared" ref="K15:K26" si="3">G15/$G$51</f>
        <v>0.18696834014908517</v>
      </c>
    </row>
    <row r="16" spans="1:11" s="1" customFormat="1" x14ac:dyDescent="0.2">
      <c r="A16" s="109" t="s">
        <v>35</v>
      </c>
      <c r="B16" s="75">
        <f>B4*0.17</f>
        <v>76.5</v>
      </c>
      <c r="C16" s="28">
        <v>0.113</v>
      </c>
      <c r="D16" s="22">
        <f>B16*C16</f>
        <v>8.6445000000000007</v>
      </c>
      <c r="E16" s="73">
        <f t="shared" si="2"/>
        <v>76.5</v>
      </c>
      <c r="F16" s="28">
        <f t="shared" si="2"/>
        <v>0.113</v>
      </c>
      <c r="G16" s="22">
        <f>E16*F16</f>
        <v>8.6445000000000007</v>
      </c>
      <c r="H16" s="22">
        <f t="shared" si="1"/>
        <v>0</v>
      </c>
      <c r="I16" s="23">
        <f t="shared" si="0"/>
        <v>0</v>
      </c>
      <c r="J16" s="23"/>
      <c r="K16" s="108">
        <f t="shared" si="3"/>
        <v>7.1761474810468059E-2</v>
      </c>
    </row>
    <row r="17" spans="1:11" s="1" customFormat="1" x14ac:dyDescent="0.2">
      <c r="A17" s="109" t="s">
        <v>36</v>
      </c>
      <c r="B17" s="75">
        <f>B4*0.18</f>
        <v>81</v>
      </c>
      <c r="C17" s="28">
        <v>0.157</v>
      </c>
      <c r="D17" s="22">
        <f>B17*C17</f>
        <v>12.717000000000001</v>
      </c>
      <c r="E17" s="73">
        <f t="shared" si="2"/>
        <v>81</v>
      </c>
      <c r="F17" s="28">
        <f t="shared" si="2"/>
        <v>0.157</v>
      </c>
      <c r="G17" s="22">
        <f>E17*F17</f>
        <v>12.717000000000001</v>
      </c>
      <c r="H17" s="22">
        <f t="shared" si="1"/>
        <v>0</v>
      </c>
      <c r="I17" s="23">
        <f t="shared" si="0"/>
        <v>0</v>
      </c>
      <c r="J17" s="23"/>
      <c r="K17" s="108">
        <f t="shared" si="3"/>
        <v>0.10556893691534759</v>
      </c>
    </row>
    <row r="18" spans="1:11" s="1" customFormat="1" x14ac:dyDescent="0.2">
      <c r="A18" s="61" t="s">
        <v>37</v>
      </c>
      <c r="B18" s="29"/>
      <c r="C18" s="30"/>
      <c r="D18" s="30">
        <f>SUM(D15:D17)</f>
        <v>43.884</v>
      </c>
      <c r="E18" s="77"/>
      <c r="F18" s="30"/>
      <c r="G18" s="30">
        <f>SUM(G15:G17)</f>
        <v>43.884</v>
      </c>
      <c r="H18" s="31">
        <f t="shared" si="1"/>
        <v>0</v>
      </c>
      <c r="I18" s="32">
        <f t="shared" si="0"/>
        <v>0</v>
      </c>
      <c r="J18" s="33">
        <f t="shared" ref="J18:J26" si="4">G18/$G$46</f>
        <v>0.37489300890316091</v>
      </c>
      <c r="K18" s="62">
        <f t="shared" si="3"/>
        <v>0.36429875187490085</v>
      </c>
    </row>
    <row r="19" spans="1:11" x14ac:dyDescent="0.2">
      <c r="A19" s="107" t="s">
        <v>112</v>
      </c>
      <c r="B19" s="73">
        <v>1</v>
      </c>
      <c r="C19" s="121">
        <f>VLOOKUP($B$3,'Data for Bill Impacts'!$A$3:$Y$15,7,0)</f>
        <v>34.089678307903938</v>
      </c>
      <c r="D19" s="22">
        <f t="shared" ref="D19:D24" si="5">B19*C19</f>
        <v>34.089678307903938</v>
      </c>
      <c r="E19" s="73">
        <f t="shared" ref="E19:E41" si="6">B19</f>
        <v>1</v>
      </c>
      <c r="F19" s="121">
        <f>VLOOKUP($B$3,'Data for Bill Impacts'!$A$3:$Y$15,17,0)</f>
        <v>44.119678307903925</v>
      </c>
      <c r="G19" s="22">
        <f t="shared" ref="G19:G24" si="7">E19*F19</f>
        <v>44.119678307903925</v>
      </c>
      <c r="H19" s="22">
        <f t="shared" si="1"/>
        <v>10.029999999999987</v>
      </c>
      <c r="I19" s="23">
        <f>IF(ISERROR(H19/ABS(D19)),"N/A",(H19/ABS(D19)))</f>
        <v>0.29422395569143456</v>
      </c>
      <c r="J19" s="23">
        <f t="shared" si="4"/>
        <v>0.3769063657070828</v>
      </c>
      <c r="K19" s="108">
        <f t="shared" si="3"/>
        <v>0.36625521239384595</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-2.1000000000000001E-2</v>
      </c>
      <c r="D22" s="22">
        <f t="shared" si="5"/>
        <v>-2.1000000000000001E-2</v>
      </c>
      <c r="E22" s="73">
        <f t="shared" si="6"/>
        <v>1</v>
      </c>
      <c r="F22" s="121">
        <f>VLOOKUP($B$3,'Data for Bill Impacts'!$A$3:$Y$15,22,0)</f>
        <v>-2.1000000000000001E-2</v>
      </c>
      <c r="G22" s="22">
        <f t="shared" si="7"/>
        <v>-2.1000000000000001E-2</v>
      </c>
      <c r="H22" s="22">
        <f t="shared" si="1"/>
        <v>0</v>
      </c>
      <c r="I22" s="23">
        <f t="shared" ref="I22:I51" si="8">IF(ISERROR(H22/ABS(D22)),"N/A",(H22/ABS(D22)))</f>
        <v>0</v>
      </c>
      <c r="J22" s="23">
        <f t="shared" si="4"/>
        <v>-1.7939917024351425E-4</v>
      </c>
      <c r="K22" s="108">
        <f t="shared" si="3"/>
        <v>-1.7432945468446172E-4</v>
      </c>
    </row>
    <row r="23" spans="1:11" x14ac:dyDescent="0.2">
      <c r="A23" s="107" t="s">
        <v>39</v>
      </c>
      <c r="B23" s="73">
        <f>IF($B$9="kWh",$B$4,$B$5)</f>
        <v>450</v>
      </c>
      <c r="C23" s="78">
        <f>VLOOKUP($B$3,'Data for Bill Impacts'!$A$3:$Y$15,10,0)</f>
        <v>3.2099999999999997E-2</v>
      </c>
      <c r="D23" s="22">
        <f t="shared" si="5"/>
        <v>14.444999999999999</v>
      </c>
      <c r="E23" s="73">
        <f t="shared" si="6"/>
        <v>450</v>
      </c>
      <c r="F23" s="78">
        <f>VLOOKUP($B$3,'Data for Bill Impacts'!$A$3:$Y$15,19,0)</f>
        <v>2.69E-2</v>
      </c>
      <c r="G23" s="22">
        <f t="shared" si="7"/>
        <v>12.105</v>
      </c>
      <c r="H23" s="22">
        <f t="shared" si="1"/>
        <v>-2.3399999999999981</v>
      </c>
      <c r="I23" s="23">
        <f t="shared" si="8"/>
        <v>-0.16199376947040486</v>
      </c>
      <c r="J23" s="23">
        <f t="shared" si="4"/>
        <v>0.10341080741894</v>
      </c>
      <c r="K23" s="108">
        <f t="shared" si="3"/>
        <v>0.10048847852168614</v>
      </c>
    </row>
    <row r="24" spans="1:11" x14ac:dyDescent="0.2">
      <c r="A24" s="107" t="s">
        <v>121</v>
      </c>
      <c r="B24" s="73">
        <f>IF($B$9="kWh",$B$4,$B$5)</f>
        <v>450</v>
      </c>
      <c r="C24" s="125">
        <f>VLOOKUP($B$3,'Data for Bill Impacts'!$A$3:$Y$15,14,0)</f>
        <v>1.0000000000000003E-5</v>
      </c>
      <c r="D24" s="22">
        <f t="shared" si="5"/>
        <v>4.5000000000000014E-3</v>
      </c>
      <c r="E24" s="73">
        <f>B24</f>
        <v>450</v>
      </c>
      <c r="F24" s="125">
        <f>VLOOKUP($B$3,'Data for Bill Impacts'!$A$3:$Y$15,23,0)</f>
        <v>1.0000000000000003E-5</v>
      </c>
      <c r="G24" s="22">
        <f t="shared" si="7"/>
        <v>4.5000000000000014E-3</v>
      </c>
      <c r="H24" s="22">
        <f>G24-D24</f>
        <v>0</v>
      </c>
      <c r="I24" s="23">
        <f t="shared" si="8"/>
        <v>0</v>
      </c>
      <c r="J24" s="23">
        <f t="shared" si="4"/>
        <v>3.8442679337895923E-5</v>
      </c>
      <c r="K24" s="108">
        <f t="shared" si="3"/>
        <v>3.7356311718098951E-5</v>
      </c>
    </row>
    <row r="25" spans="1:11" s="1" customFormat="1" x14ac:dyDescent="0.2">
      <c r="A25" s="110" t="s">
        <v>72</v>
      </c>
      <c r="B25" s="74"/>
      <c r="C25" s="35"/>
      <c r="D25" s="35">
        <f>SUM(D19:D24)</f>
        <v>48.518178307903938</v>
      </c>
      <c r="E25" s="73"/>
      <c r="F25" s="35"/>
      <c r="G25" s="35">
        <f>SUM(G19:G24)</f>
        <v>56.208178307903928</v>
      </c>
      <c r="H25" s="35">
        <f t="shared" si="1"/>
        <v>7.6899999999999906</v>
      </c>
      <c r="I25" s="36">
        <f t="shared" si="8"/>
        <v>0.15849729458509446</v>
      </c>
      <c r="J25" s="36">
        <f t="shared" si="4"/>
        <v>0.48017621663511723</v>
      </c>
      <c r="K25" s="111">
        <f t="shared" si="3"/>
        <v>0.46660671777256579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6.7488259282083938E-3</v>
      </c>
      <c r="K26" s="108">
        <f t="shared" si="3"/>
        <v>6.5581080571773687E-3</v>
      </c>
    </row>
    <row r="27" spans="1:11" s="1" customFormat="1" x14ac:dyDescent="0.2">
      <c r="A27" s="119" t="s">
        <v>75</v>
      </c>
      <c r="B27" s="120">
        <f>B8-B4</f>
        <v>47.25</v>
      </c>
      <c r="C27" s="172">
        <f>IF(B4&gt;B7,C13,C12)</f>
        <v>9.0999999999999998E-2</v>
      </c>
      <c r="D27" s="22">
        <f>B27*C27</f>
        <v>4.2997499999999995</v>
      </c>
      <c r="E27" s="73">
        <f>B27</f>
        <v>47.25</v>
      </c>
      <c r="F27" s="172">
        <f>C27</f>
        <v>9.0999999999999998E-2</v>
      </c>
      <c r="G27" s="22">
        <f>E27*F27</f>
        <v>4.2997499999999995</v>
      </c>
      <c r="H27" s="22">
        <f t="shared" si="1"/>
        <v>0</v>
      </c>
      <c r="I27" s="23">
        <f t="shared" si="8"/>
        <v>0</v>
      </c>
      <c r="J27" s="23">
        <f t="shared" ref="J27:J46" si="9">G27/$G$46</f>
        <v>3.6731980107359542E-2</v>
      </c>
      <c r="K27" s="108">
        <f t="shared" ref="K27:K41" si="10">G27/$G$51</f>
        <v>3.5693955846643532E-2</v>
      </c>
    </row>
    <row r="28" spans="1:11" s="1" customFormat="1" x14ac:dyDescent="0.2">
      <c r="A28" s="119" t="s">
        <v>74</v>
      </c>
      <c r="B28" s="120">
        <f>B8-B4</f>
        <v>47.25</v>
      </c>
      <c r="C28" s="172">
        <f>0.65*C15+0.17*C16+0.18*C17</f>
        <v>9.7519999999999996E-2</v>
      </c>
      <c r="D28" s="22">
        <f>B28*C28</f>
        <v>4.6078199999999994</v>
      </c>
      <c r="E28" s="73">
        <f>B28</f>
        <v>47.25</v>
      </c>
      <c r="F28" s="172">
        <f>C28</f>
        <v>9.7519999999999996E-2</v>
      </c>
      <c r="G28" s="22">
        <f>E28*F28</f>
        <v>4.6078199999999994</v>
      </c>
      <c r="H28" s="22">
        <f t="shared" si="1"/>
        <v>0</v>
      </c>
      <c r="I28" s="23">
        <f t="shared" si="8"/>
        <v>0</v>
      </c>
      <c r="J28" s="23">
        <f t="shared" si="9"/>
        <v>3.9363765934831894E-2</v>
      </c>
      <c r="K28" s="108">
        <f t="shared" si="10"/>
        <v>3.8251368946864581E-2</v>
      </c>
    </row>
    <row r="29" spans="1:11" s="1" customFormat="1" x14ac:dyDescent="0.2">
      <c r="A29" s="110" t="s">
        <v>78</v>
      </c>
      <c r="B29" s="74"/>
      <c r="C29" s="35"/>
      <c r="D29" s="35">
        <f>SUM(D25,D26:D27)</f>
        <v>53.607928307903933</v>
      </c>
      <c r="E29" s="73"/>
      <c r="F29" s="35"/>
      <c r="G29" s="35">
        <f>SUM(G25,G26:G27)</f>
        <v>61.297928307903931</v>
      </c>
      <c r="H29" s="35">
        <f t="shared" si="1"/>
        <v>7.6899999999999977</v>
      </c>
      <c r="I29" s="36">
        <f t="shared" si="8"/>
        <v>0.14344893083410176</v>
      </c>
      <c r="J29" s="36">
        <f t="shared" si="9"/>
        <v>0.52365702267068515</v>
      </c>
      <c r="K29" s="111">
        <f t="shared" si="10"/>
        <v>0.50885878167638665</v>
      </c>
    </row>
    <row r="30" spans="1:11" s="1" customFormat="1" x14ac:dyDescent="0.2">
      <c r="A30" s="110" t="s">
        <v>77</v>
      </c>
      <c r="B30" s="74"/>
      <c r="C30" s="35"/>
      <c r="D30" s="35">
        <f>SUM(D25,D26,D28)</f>
        <v>53.915998307903934</v>
      </c>
      <c r="E30" s="73"/>
      <c r="F30" s="35"/>
      <c r="G30" s="35">
        <f>SUM(G25,G26,G28)</f>
        <v>61.605998307903924</v>
      </c>
      <c r="H30" s="35">
        <f t="shared" si="1"/>
        <v>7.6899999999999906</v>
      </c>
      <c r="I30" s="36">
        <f t="shared" si="8"/>
        <v>0.14262927964504848</v>
      </c>
      <c r="J30" s="36">
        <f t="shared" si="9"/>
        <v>0.52628880849815751</v>
      </c>
      <c r="K30" s="111">
        <f t="shared" si="10"/>
        <v>0.51141619477660771</v>
      </c>
    </row>
    <row r="31" spans="1:11" x14ac:dyDescent="0.2">
      <c r="A31" s="107" t="s">
        <v>40</v>
      </c>
      <c r="B31" s="73">
        <f>B8</f>
        <v>497.25</v>
      </c>
      <c r="C31" s="125">
        <f>VLOOKUP($B$3,'Data for Bill Impacts'!$A$3:$Y$15,15,0)</f>
        <v>6.7400000000000003E-3</v>
      </c>
      <c r="D31" s="22">
        <f>B31*C31</f>
        <v>3.3514650000000001</v>
      </c>
      <c r="E31" s="73">
        <f t="shared" si="6"/>
        <v>497.25</v>
      </c>
      <c r="F31" s="125">
        <f>VLOOKUP($B$3,'Data for Bill Impacts'!$A$3:$Y$15,24,0)</f>
        <v>6.7400000000000003E-3</v>
      </c>
      <c r="G31" s="22">
        <f>E31*F31</f>
        <v>3.3514650000000001</v>
      </c>
      <c r="H31" s="22">
        <f t="shared" si="1"/>
        <v>0</v>
      </c>
      <c r="I31" s="23">
        <f t="shared" si="8"/>
        <v>0</v>
      </c>
      <c r="J31" s="23">
        <f t="shared" si="9"/>
        <v>2.8630954290484741E-2</v>
      </c>
      <c r="K31" s="108">
        <f t="shared" si="10"/>
        <v>2.7821860278288545E-2</v>
      </c>
    </row>
    <row r="32" spans="1:11" x14ac:dyDescent="0.2">
      <c r="A32" s="107" t="s">
        <v>41</v>
      </c>
      <c r="B32" s="73">
        <f>B8</f>
        <v>497.25</v>
      </c>
      <c r="C32" s="125">
        <f>VLOOKUP($B$3,'Data for Bill Impacts'!$A$3:$Y$15,16,0)</f>
        <v>5.6299999999999996E-3</v>
      </c>
      <c r="D32" s="22">
        <f>B32*C32</f>
        <v>2.7995174999999999</v>
      </c>
      <c r="E32" s="73">
        <f t="shared" si="6"/>
        <v>497.25</v>
      </c>
      <c r="F32" s="125">
        <f>VLOOKUP($B$3,'Data for Bill Impacts'!$A$3:$Y$15,25,0)</f>
        <v>5.6299999999999996E-3</v>
      </c>
      <c r="G32" s="22">
        <f>E32*F32</f>
        <v>2.7995174999999999</v>
      </c>
      <c r="H32" s="22">
        <f t="shared" si="1"/>
        <v>0</v>
      </c>
      <c r="I32" s="23">
        <f t="shared" si="8"/>
        <v>0</v>
      </c>
      <c r="J32" s="23">
        <f t="shared" si="9"/>
        <v>2.3915767456295114E-2</v>
      </c>
      <c r="K32" s="108">
        <f t="shared" si="10"/>
        <v>2.323992186450512E-2</v>
      </c>
    </row>
    <row r="33" spans="1:11" s="1" customFormat="1" x14ac:dyDescent="0.2">
      <c r="A33" s="110" t="s">
        <v>76</v>
      </c>
      <c r="B33" s="74"/>
      <c r="C33" s="35"/>
      <c r="D33" s="35">
        <f>SUM(D31:D32)</f>
        <v>6.1509824999999996</v>
      </c>
      <c r="E33" s="73"/>
      <c r="F33" s="35"/>
      <c r="G33" s="35">
        <f>SUM(G31:G32)</f>
        <v>6.1509824999999996</v>
      </c>
      <c r="H33" s="35">
        <f t="shared" si="1"/>
        <v>0</v>
      </c>
      <c r="I33" s="36">
        <f t="shared" si="8"/>
        <v>0</v>
      </c>
      <c r="J33" s="36">
        <f t="shared" si="9"/>
        <v>5.2546721746779851E-2</v>
      </c>
      <c r="K33" s="111">
        <f t="shared" si="10"/>
        <v>5.1061782142793659E-2</v>
      </c>
    </row>
    <row r="34" spans="1:11" s="1" customFormat="1" x14ac:dyDescent="0.2">
      <c r="A34" s="110" t="s">
        <v>91</v>
      </c>
      <c r="B34" s="74"/>
      <c r="C34" s="35"/>
      <c r="D34" s="35">
        <f>D29+D33</f>
        <v>59.758910807903931</v>
      </c>
      <c r="E34" s="73"/>
      <c r="F34" s="35"/>
      <c r="G34" s="35">
        <f>G29+G33</f>
        <v>67.448910807903928</v>
      </c>
      <c r="H34" s="35">
        <f t="shared" si="1"/>
        <v>7.6899999999999977</v>
      </c>
      <c r="I34" s="36">
        <f t="shared" si="8"/>
        <v>0.128683737639055</v>
      </c>
      <c r="J34" s="36">
        <f t="shared" si="9"/>
        <v>0.57620374441746502</v>
      </c>
      <c r="K34" s="111">
        <f t="shared" si="10"/>
        <v>0.55992056381918032</v>
      </c>
    </row>
    <row r="35" spans="1:11" s="1" customFormat="1" x14ac:dyDescent="0.2">
      <c r="A35" s="110" t="s">
        <v>92</v>
      </c>
      <c r="B35" s="74"/>
      <c r="C35" s="35"/>
      <c r="D35" s="35">
        <f>D30+D33</f>
        <v>60.066980807903931</v>
      </c>
      <c r="E35" s="73"/>
      <c r="F35" s="35"/>
      <c r="G35" s="35">
        <f>G30+G33</f>
        <v>67.756980807903929</v>
      </c>
      <c r="H35" s="35">
        <f t="shared" si="1"/>
        <v>7.6899999999999977</v>
      </c>
      <c r="I35" s="36">
        <f t="shared" si="8"/>
        <v>0.12802374776572933</v>
      </c>
      <c r="J35" s="36">
        <f t="shared" si="9"/>
        <v>0.57883553024493739</v>
      </c>
      <c r="K35" s="111">
        <f t="shared" si="10"/>
        <v>0.56247797691940138</v>
      </c>
    </row>
    <row r="36" spans="1:11" x14ac:dyDescent="0.2">
      <c r="A36" s="107" t="s">
        <v>42</v>
      </c>
      <c r="B36" s="73">
        <f>B8</f>
        <v>497.25</v>
      </c>
      <c r="C36" s="34">
        <v>3.5999999999999999E-3</v>
      </c>
      <c r="D36" s="22">
        <f>B36*C36</f>
        <v>1.7901</v>
      </c>
      <c r="E36" s="73">
        <f t="shared" si="6"/>
        <v>497.25</v>
      </c>
      <c r="F36" s="34">
        <v>3.5999999999999999E-3</v>
      </c>
      <c r="G36" s="22">
        <f>E36*F36</f>
        <v>1.7901</v>
      </c>
      <c r="H36" s="22">
        <f t="shared" si="1"/>
        <v>0</v>
      </c>
      <c r="I36" s="23">
        <f t="shared" si="8"/>
        <v>0</v>
      </c>
      <c r="J36" s="23">
        <f t="shared" si="9"/>
        <v>1.5292497840614993E-2</v>
      </c>
      <c r="K36" s="108">
        <f t="shared" si="10"/>
        <v>1.4860340801459758E-2</v>
      </c>
    </row>
    <row r="37" spans="1:11" x14ac:dyDescent="0.2">
      <c r="A37" s="107" t="s">
        <v>43</v>
      </c>
      <c r="B37" s="73">
        <f>B8</f>
        <v>497.25</v>
      </c>
      <c r="C37" s="34">
        <v>2.0999999999999999E-3</v>
      </c>
      <c r="D37" s="22">
        <f>B37*C37</f>
        <v>1.044225</v>
      </c>
      <c r="E37" s="73">
        <f t="shared" si="6"/>
        <v>497.25</v>
      </c>
      <c r="F37" s="34">
        <v>2.0999999999999999E-3</v>
      </c>
      <c r="G37" s="22">
        <f>E37*F37</f>
        <v>1.044225</v>
      </c>
      <c r="H37" s="22">
        <f>G37-D37</f>
        <v>0</v>
      </c>
      <c r="I37" s="23">
        <f t="shared" si="8"/>
        <v>0</v>
      </c>
      <c r="J37" s="23">
        <f t="shared" si="9"/>
        <v>8.9206237403587456E-3</v>
      </c>
      <c r="K37" s="108">
        <f t="shared" si="10"/>
        <v>8.6685321341848573E-3</v>
      </c>
    </row>
    <row r="38" spans="1:11" x14ac:dyDescent="0.2">
      <c r="A38" s="107" t="s">
        <v>96</v>
      </c>
      <c r="B38" s="73">
        <f>B8</f>
        <v>497.25</v>
      </c>
      <c r="C38" s="34">
        <v>0</v>
      </c>
      <c r="D38" s="22">
        <f>B38*C38</f>
        <v>0</v>
      </c>
      <c r="E38" s="73">
        <f t="shared" si="6"/>
        <v>497.25</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2.1357044076608838E-3</v>
      </c>
      <c r="K39" s="108">
        <f t="shared" si="10"/>
        <v>2.0753506510054966E-3</v>
      </c>
    </row>
    <row r="40" spans="1:11" s="1" customFormat="1" x14ac:dyDescent="0.2">
      <c r="A40" s="110" t="s">
        <v>45</v>
      </c>
      <c r="B40" s="74"/>
      <c r="C40" s="35"/>
      <c r="D40" s="35">
        <f>SUM(D36:D39)</f>
        <v>3.0843249999999998</v>
      </c>
      <c r="E40" s="73"/>
      <c r="F40" s="35"/>
      <c r="G40" s="35">
        <f>SUM(G36:G39)</f>
        <v>3.0843249999999998</v>
      </c>
      <c r="H40" s="35">
        <f t="shared" si="1"/>
        <v>0</v>
      </c>
      <c r="I40" s="36">
        <f t="shared" si="8"/>
        <v>0</v>
      </c>
      <c r="J40" s="36">
        <f t="shared" si="9"/>
        <v>2.6348825988634621E-2</v>
      </c>
      <c r="K40" s="111">
        <f t="shared" si="10"/>
        <v>2.5604223586650109E-2</v>
      </c>
    </row>
    <row r="41" spans="1:11" s="1" customFormat="1" ht="13.5" thickBot="1" x14ac:dyDescent="0.25">
      <c r="A41" s="112" t="s">
        <v>46</v>
      </c>
      <c r="B41" s="113">
        <f>B4</f>
        <v>450</v>
      </c>
      <c r="C41" s="114">
        <v>0</v>
      </c>
      <c r="D41" s="115">
        <f>B41*C41</f>
        <v>0</v>
      </c>
      <c r="E41" s="116">
        <f t="shared" si="6"/>
        <v>450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103.79323580790395</v>
      </c>
      <c r="E42" s="38"/>
      <c r="F42" s="39"/>
      <c r="G42" s="39">
        <f>SUM(G14,G25,G26,G27,G33,G40,G41)</f>
        <v>111.48323580790392</v>
      </c>
      <c r="H42" s="39">
        <f t="shared" si="1"/>
        <v>7.6899999999999693</v>
      </c>
      <c r="I42" s="40">
        <f t="shared" si="8"/>
        <v>7.4089606515710615E-2</v>
      </c>
      <c r="J42" s="40">
        <f t="shared" si="9"/>
        <v>0.95238095238095244</v>
      </c>
      <c r="K42" s="41"/>
    </row>
    <row r="43" spans="1:11" x14ac:dyDescent="0.2">
      <c r="A43" s="153" t="s">
        <v>102</v>
      </c>
      <c r="B43" s="43"/>
      <c r="C43" s="26">
        <v>0.13</v>
      </c>
      <c r="D43" s="26">
        <f>D42*C43</f>
        <v>13.493120655027514</v>
      </c>
      <c r="E43" s="26"/>
      <c r="F43" s="26">
        <f>C43</f>
        <v>0.13</v>
      </c>
      <c r="G43" s="26">
        <f>G42*F43</f>
        <v>14.492820655027511</v>
      </c>
      <c r="H43" s="26">
        <f t="shared" si="1"/>
        <v>0.99969999999999715</v>
      </c>
      <c r="I43" s="44">
        <f t="shared" si="8"/>
        <v>7.4089606515710699E-2</v>
      </c>
      <c r="J43" s="44">
        <f t="shared" si="9"/>
        <v>0.12380952380952383</v>
      </c>
      <c r="K43" s="45"/>
    </row>
    <row r="44" spans="1:11" s="1" customFormat="1" x14ac:dyDescent="0.2">
      <c r="A44" s="46" t="s">
        <v>103</v>
      </c>
      <c r="B44" s="24"/>
      <c r="C44" s="25"/>
      <c r="D44" s="25">
        <f>SUM(D42:D43)</f>
        <v>117.28635646293147</v>
      </c>
      <c r="E44" s="25"/>
      <c r="F44" s="25"/>
      <c r="G44" s="25">
        <f>SUM(G42:G43)</f>
        <v>125.97605646293144</v>
      </c>
      <c r="H44" s="25">
        <f t="shared" si="1"/>
        <v>8.6896999999999736</v>
      </c>
      <c r="I44" s="27">
        <f t="shared" si="8"/>
        <v>7.4089606515710685E-2</v>
      </c>
      <c r="J44" s="27">
        <f t="shared" si="9"/>
        <v>1.0761904761904761</v>
      </c>
      <c r="K44" s="47"/>
    </row>
    <row r="45" spans="1:11" x14ac:dyDescent="0.2">
      <c r="A45" s="42" t="s">
        <v>104</v>
      </c>
      <c r="B45" s="43"/>
      <c r="C45" s="26">
        <v>-0.08</v>
      </c>
      <c r="D45" s="26">
        <f>D42*C45</f>
        <v>-8.3034588646323169</v>
      </c>
      <c r="E45" s="26"/>
      <c r="F45" s="26">
        <f>C45</f>
        <v>-0.08</v>
      </c>
      <c r="G45" s="26">
        <f>G42*F45</f>
        <v>-8.9186588646323148</v>
      </c>
      <c r="H45" s="26">
        <f t="shared" si="1"/>
        <v>-0.61519999999999797</v>
      </c>
      <c r="I45" s="44">
        <f t="shared" si="8"/>
        <v>-7.4089606515710657E-2</v>
      </c>
      <c r="J45" s="44">
        <f t="shared" si="9"/>
        <v>-7.6190476190476197E-2</v>
      </c>
      <c r="K45" s="45"/>
    </row>
    <row r="46" spans="1:11" s="1" customFormat="1" ht="13.5" thickBot="1" x14ac:dyDescent="0.25">
      <c r="A46" s="48" t="s">
        <v>105</v>
      </c>
      <c r="B46" s="49"/>
      <c r="C46" s="50"/>
      <c r="D46" s="50">
        <f>SUM(D44:D45)</f>
        <v>108.98289759829915</v>
      </c>
      <c r="E46" s="50"/>
      <c r="F46" s="50"/>
      <c r="G46" s="50">
        <f>SUM(G44:G45)</f>
        <v>117.05739759829912</v>
      </c>
      <c r="H46" s="50">
        <f t="shared" si="1"/>
        <v>8.074499999999972</v>
      </c>
      <c r="I46" s="51">
        <f t="shared" si="8"/>
        <v>7.4089606515710657E-2</v>
      </c>
      <c r="J46" s="51">
        <f t="shared" si="9"/>
        <v>1</v>
      </c>
      <c r="K46" s="52"/>
    </row>
    <row r="47" spans="1:11" x14ac:dyDescent="0.2">
      <c r="A47" s="53" t="s">
        <v>106</v>
      </c>
      <c r="B47" s="54"/>
      <c r="C47" s="55"/>
      <c r="D47" s="55">
        <f>SUM(D18,D25,D26,D28,D33,D40,D41)</f>
        <v>107.03530580790394</v>
      </c>
      <c r="E47" s="55"/>
      <c r="F47" s="55"/>
      <c r="G47" s="55">
        <f>SUM(G18,G25,G26,G28,G33,G40,G41)</f>
        <v>114.72530580790394</v>
      </c>
      <c r="H47" s="55">
        <f>G47-D47</f>
        <v>7.6899999999999977</v>
      </c>
      <c r="I47" s="56">
        <f t="shared" si="8"/>
        <v>7.1845452693910419E-2</v>
      </c>
      <c r="J47" s="56"/>
      <c r="K47" s="57">
        <f>G47/$G$51</f>
        <v>0.95238095238095244</v>
      </c>
    </row>
    <row r="48" spans="1:11" x14ac:dyDescent="0.2">
      <c r="A48" s="154" t="s">
        <v>102</v>
      </c>
      <c r="B48" s="59"/>
      <c r="C48" s="31">
        <v>0.13</v>
      </c>
      <c r="D48" s="31">
        <f>D47*C48</f>
        <v>13.914589755027512</v>
      </c>
      <c r="E48" s="31"/>
      <c r="F48" s="31">
        <f>C48</f>
        <v>0.13</v>
      </c>
      <c r="G48" s="31">
        <f>G47*F48</f>
        <v>14.914289755027513</v>
      </c>
      <c r="H48" s="31">
        <f>G48-D48</f>
        <v>0.9997000000000007</v>
      </c>
      <c r="I48" s="32">
        <f t="shared" si="8"/>
        <v>7.1845452693910489E-2</v>
      </c>
      <c r="J48" s="32"/>
      <c r="K48" s="60">
        <f>G48/$G$51</f>
        <v>0.12380952380952381</v>
      </c>
    </row>
    <row r="49" spans="1:11" x14ac:dyDescent="0.2">
      <c r="A49" s="61" t="s">
        <v>107</v>
      </c>
      <c r="B49" s="29"/>
      <c r="C49" s="30"/>
      <c r="D49" s="30">
        <f>SUM(D47:D48)</f>
        <v>120.94989556293145</v>
      </c>
      <c r="E49" s="30"/>
      <c r="F49" s="30"/>
      <c r="G49" s="30">
        <f>SUM(G47:G48)</f>
        <v>129.63959556293145</v>
      </c>
      <c r="H49" s="30">
        <f>G49-D49</f>
        <v>8.689700000000002</v>
      </c>
      <c r="I49" s="33">
        <f t="shared" si="8"/>
        <v>7.1845452693910461E-2</v>
      </c>
      <c r="J49" s="33"/>
      <c r="K49" s="62">
        <f>G49/$G$51</f>
        <v>1.0761904761904761</v>
      </c>
    </row>
    <row r="50" spans="1:11" x14ac:dyDescent="0.2">
      <c r="A50" s="58" t="s">
        <v>104</v>
      </c>
      <c r="B50" s="59"/>
      <c r="C50" s="31">
        <v>-0.08</v>
      </c>
      <c r="D50" s="31">
        <f>D47*C50</f>
        <v>-8.5628244646323157</v>
      </c>
      <c r="E50" s="31"/>
      <c r="F50" s="31">
        <f>C50</f>
        <v>-0.08</v>
      </c>
      <c r="G50" s="31">
        <f>G47*F50</f>
        <v>-9.1780244646323155</v>
      </c>
      <c r="H50" s="31">
        <f>G50-D50</f>
        <v>-0.61519999999999975</v>
      </c>
      <c r="I50" s="32">
        <f t="shared" si="8"/>
        <v>-7.1845452693910405E-2</v>
      </c>
      <c r="J50" s="32"/>
      <c r="K50" s="60">
        <f>G50/$G$51</f>
        <v>-7.6190476190476197E-2</v>
      </c>
    </row>
    <row r="51" spans="1:11" ht="13.5" thickBot="1" x14ac:dyDescent="0.25">
      <c r="A51" s="63" t="s">
        <v>116</v>
      </c>
      <c r="B51" s="64"/>
      <c r="C51" s="65"/>
      <c r="D51" s="65">
        <f>SUM(D49:D50)</f>
        <v>112.38707109829913</v>
      </c>
      <c r="E51" s="65"/>
      <c r="F51" s="65"/>
      <c r="G51" s="65">
        <f>SUM(G49:G50)</f>
        <v>120.46157109829913</v>
      </c>
      <c r="H51" s="65">
        <f>G51-D51</f>
        <v>8.0745000000000005</v>
      </c>
      <c r="I51" s="66">
        <f t="shared" si="8"/>
        <v>7.1845452693910447E-2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1" tint="0.499984740745262"/>
    <pageSetUpPr fitToPage="1"/>
  </sheetPr>
  <dimension ref="A1:K68"/>
  <sheetViews>
    <sheetView tabSelected="1" view="pageLayout"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118</v>
      </c>
      <c r="B1" s="189"/>
      <c r="C1" s="189"/>
      <c r="D1" s="189"/>
      <c r="E1" s="189"/>
      <c r="F1" s="189"/>
      <c r="G1" s="189"/>
      <c r="H1" s="189"/>
      <c r="I1" s="189"/>
      <c r="J1" s="189"/>
      <c r="K1" s="190"/>
    </row>
    <row r="3" spans="1:11" x14ac:dyDescent="0.2">
      <c r="A3" s="13" t="s">
        <v>13</v>
      </c>
      <c r="B3" s="13" t="s">
        <v>2</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7">
        <f>B4*B6</f>
        <v>828.75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0.32674771058886437</v>
      </c>
      <c r="K12" s="106"/>
    </row>
    <row r="13" spans="1:11" x14ac:dyDescent="0.2">
      <c r="A13" s="107" t="s">
        <v>32</v>
      </c>
      <c r="B13" s="73">
        <f>IF(B4&gt;B7,(B4)-B7,0)</f>
        <v>150</v>
      </c>
      <c r="C13" s="21">
        <v>0.106</v>
      </c>
      <c r="D13" s="22">
        <f>B13*C13</f>
        <v>15.9</v>
      </c>
      <c r="E13" s="73">
        <f>B13</f>
        <v>150</v>
      </c>
      <c r="F13" s="21">
        <f>C13</f>
        <v>0.106</v>
      </c>
      <c r="G13" s="22">
        <f>E13*F13</f>
        <v>15.9</v>
      </c>
      <c r="H13" s="22">
        <f t="shared" ref="H13:H46" si="1">G13-D13</f>
        <v>0</v>
      </c>
      <c r="I13" s="23">
        <f t="shared" si="0"/>
        <v>0</v>
      </c>
      <c r="J13" s="23">
        <f>G13/$G$46</f>
        <v>9.5151805830823152E-2</v>
      </c>
      <c r="K13" s="108"/>
    </row>
    <row r="14" spans="1:11" s="1" customFormat="1" x14ac:dyDescent="0.2">
      <c r="A14" s="46" t="s">
        <v>33</v>
      </c>
      <c r="B14" s="24"/>
      <c r="C14" s="25"/>
      <c r="D14" s="25">
        <f>SUM(D12:D13)</f>
        <v>70.5</v>
      </c>
      <c r="E14" s="76"/>
      <c r="F14" s="25"/>
      <c r="G14" s="25">
        <f>SUM(G12:G13)</f>
        <v>70.5</v>
      </c>
      <c r="H14" s="25">
        <f t="shared" si="1"/>
        <v>0</v>
      </c>
      <c r="I14" s="27">
        <f t="shared" si="0"/>
        <v>0</v>
      </c>
      <c r="J14" s="27">
        <f>G14/$G$46</f>
        <v>0.42189951641968754</v>
      </c>
      <c r="K14" s="108"/>
    </row>
    <row r="15" spans="1:11" s="1" customFormat="1" x14ac:dyDescent="0.2">
      <c r="A15" s="109" t="s">
        <v>34</v>
      </c>
      <c r="B15" s="75">
        <f>B4*0.65</f>
        <v>487.5</v>
      </c>
      <c r="C15" s="28">
        <v>7.6999999999999999E-2</v>
      </c>
      <c r="D15" s="22">
        <f>B15*C15</f>
        <v>37.537500000000001</v>
      </c>
      <c r="E15" s="73">
        <f t="shared" ref="E15:F17" si="2">B15</f>
        <v>487.5</v>
      </c>
      <c r="F15" s="28">
        <f t="shared" si="2"/>
        <v>7.6999999999999999E-2</v>
      </c>
      <c r="G15" s="22">
        <f>E15*F15</f>
        <v>37.537500000000001</v>
      </c>
      <c r="H15" s="22">
        <f t="shared" si="1"/>
        <v>0</v>
      </c>
      <c r="I15" s="23">
        <f t="shared" si="0"/>
        <v>0</v>
      </c>
      <c r="J15" s="23"/>
      <c r="K15" s="108">
        <f t="shared" ref="K15:K26" si="3">G15/$G$51</f>
        <v>0.22188928029441815</v>
      </c>
    </row>
    <row r="16" spans="1:11" s="1" customFormat="1" x14ac:dyDescent="0.2">
      <c r="A16" s="109" t="s">
        <v>35</v>
      </c>
      <c r="B16" s="75">
        <f>B4*0.17</f>
        <v>127.50000000000001</v>
      </c>
      <c r="C16" s="28">
        <v>0.113</v>
      </c>
      <c r="D16" s="22">
        <f>B16*C16</f>
        <v>14.407500000000002</v>
      </c>
      <c r="E16" s="73">
        <f t="shared" si="2"/>
        <v>127.50000000000001</v>
      </c>
      <c r="F16" s="28">
        <f t="shared" si="2"/>
        <v>0.113</v>
      </c>
      <c r="G16" s="22">
        <f>E16*F16</f>
        <v>14.407500000000002</v>
      </c>
      <c r="H16" s="22">
        <f t="shared" si="1"/>
        <v>0</v>
      </c>
      <c r="I16" s="23">
        <f t="shared" si="0"/>
        <v>0</v>
      </c>
      <c r="J16" s="23"/>
      <c r="K16" s="108">
        <f t="shared" si="3"/>
        <v>8.516469679232315E-2</v>
      </c>
    </row>
    <row r="17" spans="1:11" s="1" customFormat="1" x14ac:dyDescent="0.2">
      <c r="A17" s="109" t="s">
        <v>36</v>
      </c>
      <c r="B17" s="75">
        <f>B4*0.18</f>
        <v>135</v>
      </c>
      <c r="C17" s="28">
        <v>0.157</v>
      </c>
      <c r="D17" s="22">
        <f>B17*C17</f>
        <v>21.195</v>
      </c>
      <c r="E17" s="73">
        <f t="shared" si="2"/>
        <v>135</v>
      </c>
      <c r="F17" s="28">
        <f t="shared" si="2"/>
        <v>0.157</v>
      </c>
      <c r="G17" s="22">
        <f>E17*F17</f>
        <v>21.195</v>
      </c>
      <c r="H17" s="22">
        <f t="shared" si="1"/>
        <v>0</v>
      </c>
      <c r="I17" s="23">
        <f t="shared" si="0"/>
        <v>0</v>
      </c>
      <c r="J17" s="23"/>
      <c r="K17" s="108">
        <f t="shared" si="3"/>
        <v>0.12528653468771742</v>
      </c>
    </row>
    <row r="18" spans="1:11" s="1" customFormat="1" x14ac:dyDescent="0.2">
      <c r="A18" s="61" t="s">
        <v>37</v>
      </c>
      <c r="B18" s="29"/>
      <c r="C18" s="30"/>
      <c r="D18" s="30">
        <f>SUM(D15:D17)</f>
        <v>73.140000000000015</v>
      </c>
      <c r="E18" s="77"/>
      <c r="F18" s="30"/>
      <c r="G18" s="30">
        <f>SUM(G15:G17)</f>
        <v>73.140000000000015</v>
      </c>
      <c r="H18" s="31">
        <f t="shared" si="1"/>
        <v>0</v>
      </c>
      <c r="I18" s="32">
        <f t="shared" si="0"/>
        <v>0</v>
      </c>
      <c r="J18" s="33">
        <f t="shared" ref="J18:J26" si="4">G18/$G$46</f>
        <v>0.43769830682178656</v>
      </c>
      <c r="K18" s="62">
        <f t="shared" si="3"/>
        <v>0.43234051177445881</v>
      </c>
    </row>
    <row r="19" spans="1:11" x14ac:dyDescent="0.2">
      <c r="A19" s="107" t="s">
        <v>112</v>
      </c>
      <c r="B19" s="73">
        <v>1</v>
      </c>
      <c r="C19" s="121">
        <f>VLOOKUP($B$3,'Data for Bill Impacts'!$A$3:$Y$15,7,0)</f>
        <v>34.089678307903938</v>
      </c>
      <c r="D19" s="22">
        <f t="shared" ref="D19:D24" si="5">B19*C19</f>
        <v>34.089678307903938</v>
      </c>
      <c r="E19" s="73">
        <f t="shared" ref="E19:E41" si="6">B19</f>
        <v>1</v>
      </c>
      <c r="F19" s="121">
        <f>VLOOKUP($B$3,'Data for Bill Impacts'!$A$3:$Y$15,17,0)</f>
        <v>44.119678307903925</v>
      </c>
      <c r="G19" s="22">
        <f t="shared" ref="G19:G24" si="7">E19*F19</f>
        <v>44.119678307903925</v>
      </c>
      <c r="H19" s="22">
        <f t="shared" si="1"/>
        <v>10.029999999999987</v>
      </c>
      <c r="I19" s="23">
        <f>IF(ISERROR(H19/ABS(D19)),"N/A",(H19/ABS(D19)))</f>
        <v>0.29422395569143456</v>
      </c>
      <c r="J19" s="23">
        <f t="shared" si="4"/>
        <v>0.2640293750737141</v>
      </c>
      <c r="K19" s="108">
        <f t="shared" si="3"/>
        <v>0.26079743367464681</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-2.1000000000000001E-2</v>
      </c>
      <c r="D22" s="22">
        <f t="shared" si="5"/>
        <v>-2.1000000000000001E-2</v>
      </c>
      <c r="E22" s="73">
        <f t="shared" si="6"/>
        <v>1</v>
      </c>
      <c r="F22" s="121">
        <f>VLOOKUP($B$3,'Data for Bill Impacts'!$A$3:$Y$15,22,0)</f>
        <v>-2.1000000000000001E-2</v>
      </c>
      <c r="G22" s="22">
        <f t="shared" si="7"/>
        <v>-2.1000000000000001E-2</v>
      </c>
      <c r="H22" s="22">
        <f t="shared" si="1"/>
        <v>0</v>
      </c>
      <c r="I22" s="23">
        <f t="shared" ref="I22:I51" si="8">IF(ISERROR(H22/ABS(D22)),"N/A",(H22/ABS(D22)))</f>
        <v>0</v>
      </c>
      <c r="J22" s="23">
        <f t="shared" si="4"/>
        <v>-1.2567219638033247E-4</v>
      </c>
      <c r="K22" s="108">
        <f t="shared" si="3"/>
        <v>-1.2413386310177241E-4</v>
      </c>
    </row>
    <row r="23" spans="1:11" x14ac:dyDescent="0.2">
      <c r="A23" s="107" t="s">
        <v>39</v>
      </c>
      <c r="B23" s="73">
        <f>IF($B$9="kWh",$B$4,$B$5)</f>
        <v>750</v>
      </c>
      <c r="C23" s="78">
        <f>VLOOKUP($B$3,'Data for Bill Impacts'!$A$3:$Y$15,10,0)</f>
        <v>3.2099999999999997E-2</v>
      </c>
      <c r="D23" s="22">
        <f t="shared" si="5"/>
        <v>24.074999999999996</v>
      </c>
      <c r="E23" s="73">
        <f t="shared" si="6"/>
        <v>750</v>
      </c>
      <c r="F23" s="78">
        <f>VLOOKUP($B$3,'Data for Bill Impacts'!$A$3:$Y$15,19,0)</f>
        <v>2.69E-2</v>
      </c>
      <c r="G23" s="22">
        <f t="shared" si="7"/>
        <v>20.175000000000001</v>
      </c>
      <c r="H23" s="22">
        <f t="shared" si="1"/>
        <v>-3.899999999999995</v>
      </c>
      <c r="I23" s="23">
        <f t="shared" si="8"/>
        <v>-0.16199376947040481</v>
      </c>
      <c r="J23" s="23">
        <f t="shared" si="4"/>
        <v>0.12073507437967654</v>
      </c>
      <c r="K23" s="108">
        <f t="shared" si="3"/>
        <v>0.1192571756227742</v>
      </c>
    </row>
    <row r="24" spans="1:11" x14ac:dyDescent="0.2">
      <c r="A24" s="107" t="s">
        <v>121</v>
      </c>
      <c r="B24" s="73">
        <f>IF($B$9="kWh",$B$4,$B$5)</f>
        <v>750</v>
      </c>
      <c r="C24" s="125">
        <f>VLOOKUP($B$3,'Data for Bill Impacts'!$A$3:$Y$15,14,0)</f>
        <v>1.0000000000000003E-5</v>
      </c>
      <c r="D24" s="22">
        <f t="shared" si="5"/>
        <v>7.5000000000000015E-3</v>
      </c>
      <c r="E24" s="73">
        <f>B24</f>
        <v>750</v>
      </c>
      <c r="F24" s="125">
        <f>VLOOKUP($B$3,'Data for Bill Impacts'!$A$3:$Y$15,23,0)</f>
        <v>1.0000000000000003E-5</v>
      </c>
      <c r="G24" s="22">
        <f t="shared" si="7"/>
        <v>7.5000000000000015E-3</v>
      </c>
      <c r="H24" s="22">
        <f>G24-D24</f>
        <v>0</v>
      </c>
      <c r="I24" s="23">
        <f t="shared" si="8"/>
        <v>0</v>
      </c>
      <c r="J24" s="23">
        <f t="shared" si="4"/>
        <v>4.4882927278690175E-5</v>
      </c>
      <c r="K24" s="108">
        <f t="shared" si="3"/>
        <v>4.4333522536347292E-5</v>
      </c>
    </row>
    <row r="25" spans="1:11" s="1" customFormat="1" x14ac:dyDescent="0.2">
      <c r="A25" s="110" t="s">
        <v>72</v>
      </c>
      <c r="B25" s="74"/>
      <c r="C25" s="35"/>
      <c r="D25" s="35">
        <f>SUM(D19:D24)</f>
        <v>58.151178307903933</v>
      </c>
      <c r="E25" s="73"/>
      <c r="F25" s="35"/>
      <c r="G25" s="35">
        <f>SUM(G19:G24)</f>
        <v>64.281178307903915</v>
      </c>
      <c r="H25" s="35">
        <f t="shared" si="1"/>
        <v>6.1299999999999812</v>
      </c>
      <c r="I25" s="36">
        <f t="shared" si="8"/>
        <v>0.10541488888741553</v>
      </c>
      <c r="J25" s="36">
        <f t="shared" si="4"/>
        <v>0.38468366018428896</v>
      </c>
      <c r="K25" s="111">
        <f t="shared" si="3"/>
        <v>0.37997480895685548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4.7276683400220305E-3</v>
      </c>
      <c r="K26" s="108">
        <f t="shared" si="3"/>
        <v>4.6697977071619139E-3</v>
      </c>
    </row>
    <row r="27" spans="1:11" s="1" customFormat="1" x14ac:dyDescent="0.2">
      <c r="A27" s="119" t="s">
        <v>75</v>
      </c>
      <c r="B27" s="120">
        <f>B8-B4</f>
        <v>78.75</v>
      </c>
      <c r="C27" s="172">
        <f>IF(B4&gt;B7,C13,C12)</f>
        <v>0.106</v>
      </c>
      <c r="D27" s="22">
        <f>B27*C27</f>
        <v>8.3475000000000001</v>
      </c>
      <c r="E27" s="73">
        <f>B27</f>
        <v>78.75</v>
      </c>
      <c r="F27" s="172">
        <f>C27</f>
        <v>0.106</v>
      </c>
      <c r="G27" s="22">
        <f>E27*F27</f>
        <v>8.3475000000000001</v>
      </c>
      <c r="H27" s="22">
        <f t="shared" si="1"/>
        <v>0</v>
      </c>
      <c r="I27" s="23">
        <f t="shared" si="8"/>
        <v>0</v>
      </c>
      <c r="J27" s="23">
        <f t="shared" ref="J27:J46" si="9">G27/$G$46</f>
        <v>4.9954698061182155E-2</v>
      </c>
      <c r="K27" s="108">
        <f t="shared" ref="K27:K41" si="10">G27/$G$51</f>
        <v>4.9343210582954523E-2</v>
      </c>
    </row>
    <row r="28" spans="1:11" s="1" customFormat="1" x14ac:dyDescent="0.2">
      <c r="A28" s="119" t="s">
        <v>74</v>
      </c>
      <c r="B28" s="120">
        <f>B8-B4</f>
        <v>78.75</v>
      </c>
      <c r="C28" s="172">
        <f>0.65*C15+0.17*C16+0.18*C17</f>
        <v>9.7519999999999996E-2</v>
      </c>
      <c r="D28" s="22">
        <f>B28*C28</f>
        <v>7.6796999999999995</v>
      </c>
      <c r="E28" s="73">
        <f>B28</f>
        <v>78.75</v>
      </c>
      <c r="F28" s="172">
        <f>C28</f>
        <v>9.7519999999999996E-2</v>
      </c>
      <c r="G28" s="22">
        <f>E28*F28</f>
        <v>7.6796999999999995</v>
      </c>
      <c r="H28" s="22">
        <f t="shared" si="1"/>
        <v>0</v>
      </c>
      <c r="I28" s="23">
        <f t="shared" si="8"/>
        <v>0</v>
      </c>
      <c r="J28" s="23">
        <f t="shared" si="9"/>
        <v>4.5958322216287574E-2</v>
      </c>
      <c r="K28" s="108">
        <f t="shared" si="10"/>
        <v>4.5395753736318163E-2</v>
      </c>
    </row>
    <row r="29" spans="1:11" s="1" customFormat="1" x14ac:dyDescent="0.2">
      <c r="A29" s="110" t="s">
        <v>78</v>
      </c>
      <c r="B29" s="74"/>
      <c r="C29" s="35"/>
      <c r="D29" s="35">
        <f>SUM(D25,D26:D27)</f>
        <v>67.288678307903936</v>
      </c>
      <c r="E29" s="73"/>
      <c r="F29" s="35"/>
      <c r="G29" s="35">
        <f>SUM(G25,G26:G27)</f>
        <v>73.418678307903917</v>
      </c>
      <c r="H29" s="35">
        <f t="shared" si="1"/>
        <v>6.1299999999999812</v>
      </c>
      <c r="I29" s="36">
        <f t="shared" si="8"/>
        <v>9.1100020897273773E-2</v>
      </c>
      <c r="J29" s="36">
        <f t="shared" si="9"/>
        <v>0.43936602658549312</v>
      </c>
      <c r="K29" s="111">
        <f t="shared" si="10"/>
        <v>0.43398781724697194</v>
      </c>
    </row>
    <row r="30" spans="1:11" s="1" customFormat="1" x14ac:dyDescent="0.2">
      <c r="A30" s="110" t="s">
        <v>77</v>
      </c>
      <c r="B30" s="74"/>
      <c r="C30" s="35"/>
      <c r="D30" s="35">
        <f>SUM(D25,D26,D28)</f>
        <v>66.620878307903936</v>
      </c>
      <c r="E30" s="73"/>
      <c r="F30" s="35"/>
      <c r="G30" s="35">
        <f>SUM(G25,G26,G28)</f>
        <v>72.750878307903918</v>
      </c>
      <c r="H30" s="35">
        <f t="shared" si="1"/>
        <v>6.1299999999999812</v>
      </c>
      <c r="I30" s="36">
        <f t="shared" si="8"/>
        <v>9.2013196999126246E-2</v>
      </c>
      <c r="J30" s="36">
        <f t="shared" si="9"/>
        <v>0.43536965074059858</v>
      </c>
      <c r="K30" s="111">
        <f t="shared" si="10"/>
        <v>0.43004036040033561</v>
      </c>
    </row>
    <row r="31" spans="1:11" x14ac:dyDescent="0.2">
      <c r="A31" s="107" t="s">
        <v>40</v>
      </c>
      <c r="B31" s="73">
        <f>B8</f>
        <v>828.75</v>
      </c>
      <c r="C31" s="125">
        <f>VLOOKUP($B$3,'Data for Bill Impacts'!$A$3:$Y$15,15,0)</f>
        <v>6.7400000000000003E-3</v>
      </c>
      <c r="D31" s="22">
        <f>B31*C31</f>
        <v>5.5857749999999999</v>
      </c>
      <c r="E31" s="73">
        <f t="shared" si="6"/>
        <v>828.75</v>
      </c>
      <c r="F31" s="125">
        <f>VLOOKUP($B$3,'Data for Bill Impacts'!$A$3:$Y$15,24,0)</f>
        <v>6.7400000000000003E-3</v>
      </c>
      <c r="G31" s="22">
        <f>E31*F31</f>
        <v>5.5857749999999999</v>
      </c>
      <c r="H31" s="22">
        <f t="shared" si="1"/>
        <v>0</v>
      </c>
      <c r="I31" s="23">
        <f t="shared" si="8"/>
        <v>0</v>
      </c>
      <c r="J31" s="23">
        <f t="shared" si="9"/>
        <v>3.3427457749350076E-2</v>
      </c>
      <c r="K31" s="108">
        <f t="shared" si="10"/>
        <v>3.3018277579395364E-2</v>
      </c>
    </row>
    <row r="32" spans="1:11" x14ac:dyDescent="0.2">
      <c r="A32" s="107" t="s">
        <v>41</v>
      </c>
      <c r="B32" s="73">
        <f>B8</f>
        <v>828.75</v>
      </c>
      <c r="C32" s="125">
        <f>VLOOKUP($B$3,'Data for Bill Impacts'!$A$3:$Y$15,16,0)</f>
        <v>5.6299999999999996E-3</v>
      </c>
      <c r="D32" s="22">
        <f>B32*C32</f>
        <v>4.6658624999999994</v>
      </c>
      <c r="E32" s="73">
        <f t="shared" si="6"/>
        <v>828.75</v>
      </c>
      <c r="F32" s="125">
        <f>VLOOKUP($B$3,'Data for Bill Impacts'!$A$3:$Y$15,25,0)</f>
        <v>5.6299999999999996E-3</v>
      </c>
      <c r="G32" s="22">
        <f>E32*F32</f>
        <v>4.6658624999999994</v>
      </c>
      <c r="H32" s="22">
        <f t="shared" si="1"/>
        <v>0</v>
      </c>
      <c r="I32" s="23">
        <f t="shared" si="8"/>
        <v>0</v>
      </c>
      <c r="J32" s="23">
        <f t="shared" si="9"/>
        <v>2.7922342303982328E-2</v>
      </c>
      <c r="K32" s="108">
        <f t="shared" si="10"/>
        <v>2.7580549372699686E-2</v>
      </c>
    </row>
    <row r="33" spans="1:11" s="1" customFormat="1" x14ac:dyDescent="0.2">
      <c r="A33" s="110" t="s">
        <v>76</v>
      </c>
      <c r="B33" s="74"/>
      <c r="C33" s="35"/>
      <c r="D33" s="35">
        <f>SUM(D31:D32)</f>
        <v>10.251637499999999</v>
      </c>
      <c r="E33" s="73"/>
      <c r="F33" s="35"/>
      <c r="G33" s="35">
        <f>SUM(G31:G32)</f>
        <v>10.251637499999999</v>
      </c>
      <c r="H33" s="35">
        <f t="shared" si="1"/>
        <v>0</v>
      </c>
      <c r="I33" s="36">
        <f t="shared" si="8"/>
        <v>0</v>
      </c>
      <c r="J33" s="36">
        <f t="shared" si="9"/>
        <v>6.1349800053332397E-2</v>
      </c>
      <c r="K33" s="111">
        <f t="shared" si="10"/>
        <v>6.059882695209505E-2</v>
      </c>
    </row>
    <row r="34" spans="1:11" s="1" customFormat="1" x14ac:dyDescent="0.2">
      <c r="A34" s="110" t="s">
        <v>91</v>
      </c>
      <c r="B34" s="74"/>
      <c r="C34" s="35"/>
      <c r="D34" s="35">
        <f>D29+D33</f>
        <v>77.540315807903937</v>
      </c>
      <c r="E34" s="73"/>
      <c r="F34" s="35"/>
      <c r="G34" s="35">
        <f>G29+G33</f>
        <v>83.670315807903918</v>
      </c>
      <c r="H34" s="35">
        <f t="shared" si="1"/>
        <v>6.1299999999999812</v>
      </c>
      <c r="I34" s="36">
        <f t="shared" si="8"/>
        <v>7.9055649130785846E-2</v>
      </c>
      <c r="J34" s="36">
        <f t="shared" si="9"/>
        <v>0.50071582663882552</v>
      </c>
      <c r="K34" s="111">
        <f t="shared" si="10"/>
        <v>0.494586644199067</v>
      </c>
    </row>
    <row r="35" spans="1:11" s="1" customFormat="1" x14ac:dyDescent="0.2">
      <c r="A35" s="110" t="s">
        <v>92</v>
      </c>
      <c r="B35" s="74"/>
      <c r="C35" s="35"/>
      <c r="D35" s="35">
        <f>D30+D33</f>
        <v>76.872515807903937</v>
      </c>
      <c r="E35" s="73"/>
      <c r="F35" s="35"/>
      <c r="G35" s="35">
        <f>G30+G33</f>
        <v>83.002515807903919</v>
      </c>
      <c r="H35" s="35">
        <f t="shared" si="1"/>
        <v>6.1299999999999812</v>
      </c>
      <c r="I35" s="36">
        <f t="shared" si="8"/>
        <v>7.9742414250083674E-2</v>
      </c>
      <c r="J35" s="36">
        <f t="shared" si="9"/>
        <v>0.49671945079393098</v>
      </c>
      <c r="K35" s="111">
        <f t="shared" si="10"/>
        <v>0.49063918735243067</v>
      </c>
    </row>
    <row r="36" spans="1:11" x14ac:dyDescent="0.2">
      <c r="A36" s="107" t="s">
        <v>42</v>
      </c>
      <c r="B36" s="73">
        <f>B8</f>
        <v>828.75</v>
      </c>
      <c r="C36" s="34">
        <v>3.5999999999999999E-3</v>
      </c>
      <c r="D36" s="22">
        <f>B36*C36</f>
        <v>2.9834999999999998</v>
      </c>
      <c r="E36" s="73">
        <f t="shared" si="6"/>
        <v>828.75</v>
      </c>
      <c r="F36" s="34">
        <v>3.5999999999999999E-3</v>
      </c>
      <c r="G36" s="22">
        <f>E36*F36</f>
        <v>2.9834999999999998</v>
      </c>
      <c r="H36" s="22">
        <f t="shared" si="1"/>
        <v>0</v>
      </c>
      <c r="I36" s="23">
        <f t="shared" si="8"/>
        <v>0</v>
      </c>
      <c r="J36" s="23">
        <f t="shared" si="9"/>
        <v>1.7854428471462947E-2</v>
      </c>
      <c r="K36" s="108">
        <f t="shared" si="10"/>
        <v>1.7635875264958949E-2</v>
      </c>
    </row>
    <row r="37" spans="1:11" x14ac:dyDescent="0.2">
      <c r="A37" s="107" t="s">
        <v>43</v>
      </c>
      <c r="B37" s="73">
        <f>B8</f>
        <v>828.75</v>
      </c>
      <c r="C37" s="34">
        <v>2.0999999999999999E-3</v>
      </c>
      <c r="D37" s="22">
        <f>B37*C37</f>
        <v>1.7403749999999998</v>
      </c>
      <c r="E37" s="73">
        <f t="shared" si="6"/>
        <v>828.75</v>
      </c>
      <c r="F37" s="34">
        <v>2.0999999999999999E-3</v>
      </c>
      <c r="G37" s="22">
        <f>E37*F37</f>
        <v>1.7403749999999998</v>
      </c>
      <c r="H37" s="22">
        <f>G37-D37</f>
        <v>0</v>
      </c>
      <c r="I37" s="23">
        <f t="shared" si="8"/>
        <v>0</v>
      </c>
      <c r="J37" s="23">
        <f t="shared" si="9"/>
        <v>1.041508327502005E-2</v>
      </c>
      <c r="K37" s="108">
        <f t="shared" si="10"/>
        <v>1.0287593904559385E-2</v>
      </c>
    </row>
    <row r="38" spans="1:11" x14ac:dyDescent="0.2">
      <c r="A38" s="107" t="s">
        <v>96</v>
      </c>
      <c r="B38" s="73">
        <f>B8</f>
        <v>828.75</v>
      </c>
      <c r="C38" s="34">
        <v>0</v>
      </c>
      <c r="D38" s="22">
        <f>B38*C38</f>
        <v>0</v>
      </c>
      <c r="E38" s="73">
        <f t="shared" si="6"/>
        <v>828.75</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1.4960975759563389E-3</v>
      </c>
      <c r="K39" s="108">
        <f t="shared" si="10"/>
        <v>1.4777840845449095E-3</v>
      </c>
    </row>
    <row r="40" spans="1:11" s="1" customFormat="1" x14ac:dyDescent="0.2">
      <c r="A40" s="110" t="s">
        <v>45</v>
      </c>
      <c r="B40" s="74"/>
      <c r="C40" s="35"/>
      <c r="D40" s="35">
        <f>SUM(D36:D39)</f>
        <v>4.9738749999999996</v>
      </c>
      <c r="E40" s="73"/>
      <c r="F40" s="35"/>
      <c r="G40" s="35">
        <f>SUM(G36:G39)</f>
        <v>4.9738749999999996</v>
      </c>
      <c r="H40" s="35">
        <f t="shared" si="1"/>
        <v>0</v>
      </c>
      <c r="I40" s="36">
        <f t="shared" si="8"/>
        <v>0</v>
      </c>
      <c r="J40" s="36">
        <f t="shared" si="9"/>
        <v>2.9765609322439334E-2</v>
      </c>
      <c r="K40" s="111">
        <f t="shared" si="10"/>
        <v>2.9401253254063241E-2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153.0141908079039</v>
      </c>
      <c r="E42" s="38"/>
      <c r="F42" s="39"/>
      <c r="G42" s="39">
        <f>SUM(G14,G25,G26,G27,G33,G40,G41)</f>
        <v>159.1441908079039</v>
      </c>
      <c r="H42" s="39">
        <f t="shared" si="1"/>
        <v>6.1299999999999955</v>
      </c>
      <c r="I42" s="40">
        <f t="shared" si="8"/>
        <v>4.0061643744505243E-2</v>
      </c>
      <c r="J42" s="40">
        <f t="shared" si="9"/>
        <v>0.95238095238095233</v>
      </c>
      <c r="K42" s="41"/>
    </row>
    <row r="43" spans="1:11" x14ac:dyDescent="0.2">
      <c r="A43" s="153" t="s">
        <v>102</v>
      </c>
      <c r="B43" s="43"/>
      <c r="C43" s="26">
        <v>0.13</v>
      </c>
      <c r="D43" s="26">
        <f>D42*C43</f>
        <v>19.891844805027507</v>
      </c>
      <c r="E43" s="26"/>
      <c r="F43" s="26">
        <f>C43</f>
        <v>0.13</v>
      </c>
      <c r="G43" s="26">
        <f>G42*F43</f>
        <v>20.688744805027508</v>
      </c>
      <c r="H43" s="26">
        <f t="shared" si="1"/>
        <v>0.79690000000000083</v>
      </c>
      <c r="I43" s="44">
        <f t="shared" si="8"/>
        <v>4.0061643744505319E-2</v>
      </c>
      <c r="J43" s="44">
        <f t="shared" si="9"/>
        <v>0.1238095238095238</v>
      </c>
      <c r="K43" s="45"/>
    </row>
    <row r="44" spans="1:11" s="1" customFormat="1" x14ac:dyDescent="0.2">
      <c r="A44" s="46" t="s">
        <v>103</v>
      </c>
      <c r="B44" s="24"/>
      <c r="C44" s="25"/>
      <c r="D44" s="25">
        <f>SUM(D42:D43)</f>
        <v>172.90603561293142</v>
      </c>
      <c r="E44" s="25"/>
      <c r="F44" s="25"/>
      <c r="G44" s="25">
        <f>SUM(G42:G43)</f>
        <v>179.83293561293141</v>
      </c>
      <c r="H44" s="25">
        <f t="shared" si="1"/>
        <v>6.9268999999999892</v>
      </c>
      <c r="I44" s="27">
        <f t="shared" si="8"/>
        <v>4.0061643744505208E-2</v>
      </c>
      <c r="J44" s="27">
        <f t="shared" si="9"/>
        <v>1.0761904761904761</v>
      </c>
      <c r="K44" s="47"/>
    </row>
    <row r="45" spans="1:11" x14ac:dyDescent="0.2">
      <c r="A45" s="42" t="s">
        <v>104</v>
      </c>
      <c r="B45" s="43"/>
      <c r="C45" s="26">
        <v>-0.08</v>
      </c>
      <c r="D45" s="26">
        <f>D42*C45</f>
        <v>-12.241135264632312</v>
      </c>
      <c r="E45" s="26"/>
      <c r="F45" s="26">
        <f>C45</f>
        <v>-0.08</v>
      </c>
      <c r="G45" s="26">
        <f>G42*F45</f>
        <v>-12.731535264632312</v>
      </c>
      <c r="H45" s="26">
        <f t="shared" si="1"/>
        <v>-0.49039999999999928</v>
      </c>
      <c r="I45" s="44">
        <f t="shared" si="8"/>
        <v>-4.0061643744505215E-2</v>
      </c>
      <c r="J45" s="44">
        <f t="shared" si="9"/>
        <v>-7.6190476190476183E-2</v>
      </c>
      <c r="K45" s="45"/>
    </row>
    <row r="46" spans="1:11" s="1" customFormat="1" ht="13.5" thickBot="1" x14ac:dyDescent="0.25">
      <c r="A46" s="48" t="s">
        <v>105</v>
      </c>
      <c r="B46" s="49"/>
      <c r="C46" s="50"/>
      <c r="D46" s="50">
        <f>SUM(D44:D45)</f>
        <v>160.66490034829911</v>
      </c>
      <c r="E46" s="50"/>
      <c r="F46" s="50"/>
      <c r="G46" s="50">
        <f>SUM(G44:G45)</f>
        <v>167.10140034829911</v>
      </c>
      <c r="H46" s="50">
        <f t="shared" si="1"/>
        <v>6.4364999999999952</v>
      </c>
      <c r="I46" s="51">
        <f t="shared" si="8"/>
        <v>4.0061643744505243E-2</v>
      </c>
      <c r="J46" s="51">
        <f t="shared" si="9"/>
        <v>1</v>
      </c>
      <c r="K46" s="52"/>
    </row>
    <row r="47" spans="1:11" x14ac:dyDescent="0.2">
      <c r="A47" s="53" t="s">
        <v>106</v>
      </c>
      <c r="B47" s="54"/>
      <c r="C47" s="55"/>
      <c r="D47" s="55">
        <f>SUM(D18,D25,D26,D28,D33,D40,D41)</f>
        <v>154.98639080790392</v>
      </c>
      <c r="E47" s="55"/>
      <c r="F47" s="55"/>
      <c r="G47" s="55">
        <f>SUM(G18,G25,G26,G28,G33,G40,G41)</f>
        <v>161.11639080790388</v>
      </c>
      <c r="H47" s="55">
        <f>G47-D47</f>
        <v>6.129999999999967</v>
      </c>
      <c r="I47" s="56">
        <f t="shared" si="8"/>
        <v>3.9551859799082129E-2</v>
      </c>
      <c r="J47" s="56"/>
      <c r="K47" s="57">
        <f>G47/$G$51</f>
        <v>0.95238095238095244</v>
      </c>
    </row>
    <row r="48" spans="1:11" x14ac:dyDescent="0.2">
      <c r="A48" s="58" t="s">
        <v>102</v>
      </c>
      <c r="B48" s="59"/>
      <c r="C48" s="31">
        <v>0.13</v>
      </c>
      <c r="D48" s="31">
        <f>D47*C48</f>
        <v>20.148230805027509</v>
      </c>
      <c r="E48" s="31"/>
      <c r="F48" s="31">
        <f>C48</f>
        <v>0.13</v>
      </c>
      <c r="G48" s="31">
        <f>G47*F48</f>
        <v>20.945130805027507</v>
      </c>
      <c r="H48" s="31">
        <f>G48-D48</f>
        <v>0.79689999999999728</v>
      </c>
      <c r="I48" s="32">
        <f t="shared" si="8"/>
        <v>3.9551859799082205E-2</v>
      </c>
      <c r="J48" s="32"/>
      <c r="K48" s="60">
        <f>G48/$G$51</f>
        <v>0.12380952380952383</v>
      </c>
    </row>
    <row r="49" spans="1:11" x14ac:dyDescent="0.2">
      <c r="A49" s="61" t="s">
        <v>107</v>
      </c>
      <c r="B49" s="29"/>
      <c r="C49" s="30"/>
      <c r="D49" s="30">
        <f>SUM(D47:D48)</f>
        <v>175.13462161293143</v>
      </c>
      <c r="E49" s="30"/>
      <c r="F49" s="30"/>
      <c r="G49" s="30">
        <f>SUM(G47:G48)</f>
        <v>182.06152161293139</v>
      </c>
      <c r="H49" s="30">
        <f>G49-D49</f>
        <v>6.9268999999999608</v>
      </c>
      <c r="I49" s="33">
        <f t="shared" si="8"/>
        <v>3.9551859799082122E-2</v>
      </c>
      <c r="J49" s="33"/>
      <c r="K49" s="62">
        <f>G49/$G$51</f>
        <v>1.0761904761904761</v>
      </c>
    </row>
    <row r="50" spans="1:11" x14ac:dyDescent="0.2">
      <c r="A50" s="58" t="s">
        <v>104</v>
      </c>
      <c r="B50" s="59"/>
      <c r="C50" s="31">
        <v>-0.08</v>
      </c>
      <c r="D50" s="31">
        <f>D47*C50</f>
        <v>-12.398911264632314</v>
      </c>
      <c r="E50" s="31"/>
      <c r="F50" s="31">
        <f>C50</f>
        <v>-0.08</v>
      </c>
      <c r="G50" s="31">
        <f>G47*F50</f>
        <v>-12.889311264632312</v>
      </c>
      <c r="H50" s="31">
        <f>G50-D50</f>
        <v>-0.4903999999999975</v>
      </c>
      <c r="I50" s="32">
        <f t="shared" si="8"/>
        <v>-3.9551859799082136E-2</v>
      </c>
      <c r="J50" s="32"/>
      <c r="K50" s="60">
        <f>G50/$G$51</f>
        <v>-7.6190476190476197E-2</v>
      </c>
    </row>
    <row r="51" spans="1:11" ht="13.5" thickBot="1" x14ac:dyDescent="0.25">
      <c r="A51" s="63" t="s">
        <v>116</v>
      </c>
      <c r="B51" s="64"/>
      <c r="C51" s="65"/>
      <c r="D51" s="65">
        <f>SUM(D49:D50)</f>
        <v>162.73571034829911</v>
      </c>
      <c r="E51" s="65"/>
      <c r="F51" s="65"/>
      <c r="G51" s="65">
        <f>SUM(G49:G50)</f>
        <v>169.17221034829907</v>
      </c>
      <c r="H51" s="65">
        <f>G51-D51</f>
        <v>6.4364999999999668</v>
      </c>
      <c r="I51" s="66">
        <f t="shared" si="8"/>
        <v>3.9551859799082142E-2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pageSetUpPr fitToPage="1"/>
  </sheetPr>
  <dimension ref="A1:K68"/>
  <sheetViews>
    <sheetView tabSelected="1" view="pageLayout" topLeftCell="A10"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119</v>
      </c>
      <c r="B1" s="189"/>
      <c r="C1" s="189"/>
      <c r="D1" s="189"/>
      <c r="E1" s="189"/>
      <c r="F1" s="189"/>
      <c r="G1" s="189"/>
      <c r="H1" s="189"/>
      <c r="I1" s="189"/>
      <c r="J1" s="189"/>
      <c r="K1" s="190"/>
    </row>
    <row r="3" spans="1:11" x14ac:dyDescent="0.2">
      <c r="A3" s="13" t="s">
        <v>13</v>
      </c>
      <c r="B3" s="13" t="s">
        <v>2</v>
      </c>
    </row>
    <row r="4" spans="1:11" x14ac:dyDescent="0.2">
      <c r="A4" s="15" t="s">
        <v>62</v>
      </c>
      <c r="B4" s="15">
        <f>VLOOKUP(B3,'Data for Bill Impacts'!A19:D31,3,FALSE)</f>
        <v>1152</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7">
        <f>B4*B6</f>
        <v>1272.96</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0.23103395038424587</v>
      </c>
      <c r="K12" s="106"/>
    </row>
    <row r="13" spans="1:11" x14ac:dyDescent="0.2">
      <c r="A13" s="107" t="s">
        <v>32</v>
      </c>
      <c r="B13" s="73">
        <f>IF(B4&gt;B7,(B4)-B7,0)</f>
        <v>552</v>
      </c>
      <c r="C13" s="21">
        <v>0.106</v>
      </c>
      <c r="D13" s="22">
        <f>B13*C13</f>
        <v>58.512</v>
      </c>
      <c r="E13" s="73">
        <f>B13</f>
        <v>552</v>
      </c>
      <c r="F13" s="21">
        <f>C13</f>
        <v>0.106</v>
      </c>
      <c r="G13" s="22">
        <f>E13*F13</f>
        <v>58.512</v>
      </c>
      <c r="H13" s="22">
        <f t="shared" ref="H13:H46" si="1">G13-D13</f>
        <v>0</v>
      </c>
      <c r="I13" s="23">
        <f t="shared" si="0"/>
        <v>0</v>
      </c>
      <c r="J13" s="23">
        <f>G13/$G$46</f>
        <v>0.24758715210408413</v>
      </c>
      <c r="K13" s="108"/>
    </row>
    <row r="14" spans="1:11" s="1" customFormat="1" x14ac:dyDescent="0.2">
      <c r="A14" s="46" t="s">
        <v>33</v>
      </c>
      <c r="B14" s="24"/>
      <c r="C14" s="25"/>
      <c r="D14" s="25">
        <f>SUM(D12:D13)</f>
        <v>113.11199999999999</v>
      </c>
      <c r="E14" s="76"/>
      <c r="F14" s="25"/>
      <c r="G14" s="25">
        <f>SUM(G12:G13)</f>
        <v>113.11199999999999</v>
      </c>
      <c r="H14" s="25">
        <f t="shared" si="1"/>
        <v>0</v>
      </c>
      <c r="I14" s="27">
        <f t="shared" si="0"/>
        <v>0</v>
      </c>
      <c r="J14" s="27">
        <f>G14/$G$46</f>
        <v>0.47862110248832995</v>
      </c>
      <c r="K14" s="108"/>
    </row>
    <row r="15" spans="1:11" s="1" customFormat="1" x14ac:dyDescent="0.2">
      <c r="A15" s="109" t="s">
        <v>34</v>
      </c>
      <c r="B15" s="75">
        <f>B4*0.65</f>
        <v>748.80000000000007</v>
      </c>
      <c r="C15" s="28">
        <v>7.6999999999999999E-2</v>
      </c>
      <c r="D15" s="22">
        <f>B15*C15</f>
        <v>57.657600000000002</v>
      </c>
      <c r="E15" s="73">
        <f t="shared" ref="E15:F17" si="2">B15</f>
        <v>748.80000000000007</v>
      </c>
      <c r="F15" s="28">
        <f t="shared" si="2"/>
        <v>7.6999999999999999E-2</v>
      </c>
      <c r="G15" s="22">
        <f>E15*F15</f>
        <v>57.657600000000002</v>
      </c>
      <c r="H15" s="22">
        <f t="shared" si="1"/>
        <v>0</v>
      </c>
      <c r="I15" s="23">
        <f t="shared" si="0"/>
        <v>0</v>
      </c>
      <c r="J15" s="23"/>
      <c r="K15" s="108">
        <f t="shared" ref="K15:K26" si="3">G15/$G$51</f>
        <v>0.24593286739390013</v>
      </c>
    </row>
    <row r="16" spans="1:11" s="1" customFormat="1" x14ac:dyDescent="0.2">
      <c r="A16" s="109" t="s">
        <v>35</v>
      </c>
      <c r="B16" s="75">
        <f>B4*0.17</f>
        <v>195.84</v>
      </c>
      <c r="C16" s="28">
        <v>0.113</v>
      </c>
      <c r="D16" s="22">
        <f>B16*C16</f>
        <v>22.129920000000002</v>
      </c>
      <c r="E16" s="73">
        <f t="shared" si="2"/>
        <v>195.84</v>
      </c>
      <c r="F16" s="28">
        <f t="shared" si="2"/>
        <v>0.113</v>
      </c>
      <c r="G16" s="22">
        <f>E16*F16</f>
        <v>22.129920000000002</v>
      </c>
      <c r="H16" s="22">
        <f t="shared" si="1"/>
        <v>0</v>
      </c>
      <c r="I16" s="23">
        <f t="shared" si="0"/>
        <v>0</v>
      </c>
      <c r="J16" s="23"/>
      <c r="K16" s="108">
        <f t="shared" si="3"/>
        <v>9.4393014638098335E-2</v>
      </c>
    </row>
    <row r="17" spans="1:11" s="1" customFormat="1" x14ac:dyDescent="0.2">
      <c r="A17" s="109" t="s">
        <v>36</v>
      </c>
      <c r="B17" s="75">
        <f>B4*0.18</f>
        <v>207.35999999999999</v>
      </c>
      <c r="C17" s="28">
        <v>0.157</v>
      </c>
      <c r="D17" s="22">
        <f>B17*C17</f>
        <v>32.555520000000001</v>
      </c>
      <c r="E17" s="73">
        <f t="shared" si="2"/>
        <v>207.35999999999999</v>
      </c>
      <c r="F17" s="28">
        <f t="shared" si="2"/>
        <v>0.157</v>
      </c>
      <c r="G17" s="22">
        <f>E17*F17</f>
        <v>32.555520000000001</v>
      </c>
      <c r="H17" s="22">
        <f t="shared" si="1"/>
        <v>0</v>
      </c>
      <c r="I17" s="23">
        <f t="shared" si="0"/>
        <v>0</v>
      </c>
      <c r="J17" s="23"/>
      <c r="K17" s="108">
        <f t="shared" si="3"/>
        <v>0.13886239425677557</v>
      </c>
    </row>
    <row r="18" spans="1:11" s="1" customFormat="1" x14ac:dyDescent="0.2">
      <c r="A18" s="61" t="s">
        <v>37</v>
      </c>
      <c r="B18" s="29"/>
      <c r="C18" s="30"/>
      <c r="D18" s="30">
        <f>SUM(D15:D17)</f>
        <v>112.34304</v>
      </c>
      <c r="E18" s="77"/>
      <c r="F18" s="30"/>
      <c r="G18" s="30">
        <f>SUM(G15:G17)</f>
        <v>112.34304</v>
      </c>
      <c r="H18" s="31">
        <f t="shared" si="1"/>
        <v>0</v>
      </c>
      <c r="I18" s="32">
        <f t="shared" si="0"/>
        <v>0</v>
      </c>
      <c r="J18" s="33">
        <f t="shared" ref="J18:J26" si="4">G18/$G$46</f>
        <v>0.47536733203984155</v>
      </c>
      <c r="K18" s="62">
        <f t="shared" si="3"/>
        <v>0.47918827628877408</v>
      </c>
    </row>
    <row r="19" spans="1:11" x14ac:dyDescent="0.2">
      <c r="A19" s="107" t="s">
        <v>112</v>
      </c>
      <c r="B19" s="73">
        <v>1</v>
      </c>
      <c r="C19" s="121">
        <f>VLOOKUP($B$3,'Data for Bill Impacts'!$A$3:$Y$15,7,0)</f>
        <v>34.089678307903938</v>
      </c>
      <c r="D19" s="22">
        <f t="shared" ref="D19:D24" si="5">B19*C19</f>
        <v>34.089678307903938</v>
      </c>
      <c r="E19" s="73">
        <f t="shared" ref="E19:E41" si="6">B19</f>
        <v>1</v>
      </c>
      <c r="F19" s="121">
        <f>VLOOKUP($B$3,'Data for Bill Impacts'!$A$3:$Y$15,17,0)</f>
        <v>44.119678307903925</v>
      </c>
      <c r="G19" s="22">
        <f t="shared" ref="G19:G24" si="7">E19*F19</f>
        <v>44.119678307903925</v>
      </c>
      <c r="H19" s="22">
        <f t="shared" si="1"/>
        <v>10.029999999999987</v>
      </c>
      <c r="I19" s="23">
        <f>IF(ISERROR(H19/ABS(D19)),"N/A",(H19/ABS(D19)))</f>
        <v>0.29422395569143456</v>
      </c>
      <c r="J19" s="23">
        <f t="shared" si="4"/>
        <v>0.18668761115672461</v>
      </c>
      <c r="K19" s="108">
        <f t="shared" si="3"/>
        <v>0.18818818325353931</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-2.1000000000000001E-2</v>
      </c>
      <c r="D22" s="22">
        <f t="shared" si="5"/>
        <v>-2.1000000000000001E-2</v>
      </c>
      <c r="E22" s="73">
        <f t="shared" si="6"/>
        <v>1</v>
      </c>
      <c r="F22" s="121">
        <f>VLOOKUP($B$3,'Data for Bill Impacts'!$A$3:$Y$15,22,0)</f>
        <v>-2.1000000000000001E-2</v>
      </c>
      <c r="G22" s="22">
        <f t="shared" si="7"/>
        <v>-2.1000000000000001E-2</v>
      </c>
      <c r="H22" s="22">
        <f t="shared" si="1"/>
        <v>0</v>
      </c>
      <c r="I22" s="23">
        <f t="shared" ref="I22:I51" si="8">IF(ISERROR(H22/ABS(D22)),"N/A",(H22/ABS(D22)))</f>
        <v>0</v>
      </c>
      <c r="J22" s="23">
        <f t="shared" si="4"/>
        <v>-8.8859211686248416E-5</v>
      </c>
      <c r="K22" s="108">
        <f t="shared" si="3"/>
        <v>-8.9573451119573193E-5</v>
      </c>
    </row>
    <row r="23" spans="1:11" x14ac:dyDescent="0.2">
      <c r="A23" s="107" t="s">
        <v>39</v>
      </c>
      <c r="B23" s="73">
        <f>IF($B$9="kWh",$B$4,$B$5)</f>
        <v>1152</v>
      </c>
      <c r="C23" s="78">
        <f>VLOOKUP($B$3,'Data for Bill Impacts'!$A$3:$Y$15,10,0)</f>
        <v>3.2099999999999997E-2</v>
      </c>
      <c r="D23" s="22">
        <f t="shared" si="5"/>
        <v>36.979199999999999</v>
      </c>
      <c r="E23" s="73">
        <f t="shared" si="6"/>
        <v>1152</v>
      </c>
      <c r="F23" s="78">
        <f>VLOOKUP($B$3,'Data for Bill Impacts'!$A$3:$Y$15,19,0)</f>
        <v>2.69E-2</v>
      </c>
      <c r="G23" s="22">
        <f t="shared" si="7"/>
        <v>30.988800000000001</v>
      </c>
      <c r="H23" s="22">
        <f t="shared" si="1"/>
        <v>-5.9903999999999975</v>
      </c>
      <c r="I23" s="23">
        <f t="shared" si="8"/>
        <v>-0.16199376947040492</v>
      </c>
      <c r="J23" s="23">
        <f t="shared" si="4"/>
        <v>0.13112573043346737</v>
      </c>
      <c r="K23" s="108">
        <f t="shared" si="3"/>
        <v>0.13217970295496331</v>
      </c>
    </row>
    <row r="24" spans="1:11" x14ac:dyDescent="0.2">
      <c r="A24" s="107" t="s">
        <v>121</v>
      </c>
      <c r="B24" s="73">
        <f>IF($B$9="kWh",$B$4,$B$5)</f>
        <v>1152</v>
      </c>
      <c r="C24" s="125">
        <f>VLOOKUP($B$3,'Data for Bill Impacts'!$A$3:$Y$15,14,0)</f>
        <v>1.0000000000000003E-5</v>
      </c>
      <c r="D24" s="22">
        <f t="shared" si="5"/>
        <v>1.1520000000000002E-2</v>
      </c>
      <c r="E24" s="73">
        <f>B24</f>
        <v>1152</v>
      </c>
      <c r="F24" s="125">
        <f>VLOOKUP($B$3,'Data for Bill Impacts'!$A$3:$Y$15,23,0)</f>
        <v>1.0000000000000003E-5</v>
      </c>
      <c r="G24" s="22">
        <f t="shared" si="7"/>
        <v>1.1520000000000002E-2</v>
      </c>
      <c r="H24" s="22">
        <f>G24-D24</f>
        <v>0</v>
      </c>
      <c r="I24" s="23">
        <f t="shared" si="8"/>
        <v>0</v>
      </c>
      <c r="J24" s="23">
        <f t="shared" si="4"/>
        <v>4.8745624696456282E-5</v>
      </c>
      <c r="K24" s="108">
        <f t="shared" si="3"/>
        <v>4.9137436042737298E-5</v>
      </c>
    </row>
    <row r="25" spans="1:11" s="1" customFormat="1" x14ac:dyDescent="0.2">
      <c r="A25" s="110" t="s">
        <v>72</v>
      </c>
      <c r="B25" s="74"/>
      <c r="C25" s="35"/>
      <c r="D25" s="35">
        <f>SUM(D19:D24)</f>
        <v>71.059398307903948</v>
      </c>
      <c r="E25" s="73"/>
      <c r="F25" s="35"/>
      <c r="G25" s="35">
        <f>SUM(G19:G24)</f>
        <v>75.098998307903926</v>
      </c>
      <c r="H25" s="35">
        <f t="shared" si="1"/>
        <v>4.0395999999999788</v>
      </c>
      <c r="I25" s="36">
        <f t="shared" si="8"/>
        <v>5.6848215664537273E-2</v>
      </c>
      <c r="J25" s="36">
        <f t="shared" si="4"/>
        <v>0.31777322800320218</v>
      </c>
      <c r="K25" s="111">
        <f t="shared" si="3"/>
        <v>0.32032745019342579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3.3427989158160117E-3</v>
      </c>
      <c r="K26" s="108">
        <f t="shared" si="3"/>
        <v>3.3696679230696578E-3</v>
      </c>
    </row>
    <row r="27" spans="1:11" s="1" customFormat="1" x14ac:dyDescent="0.2">
      <c r="A27" s="119" t="s">
        <v>75</v>
      </c>
      <c r="B27" s="120">
        <f>B8-B4</f>
        <v>120.96000000000004</v>
      </c>
      <c r="C27" s="172">
        <f>IF(B4&gt;B7,C13,C12)</f>
        <v>0.106</v>
      </c>
      <c r="D27" s="22">
        <f>B27*C27</f>
        <v>12.821760000000003</v>
      </c>
      <c r="E27" s="73">
        <f>B27</f>
        <v>120.96000000000004</v>
      </c>
      <c r="F27" s="172">
        <f>C27</f>
        <v>0.106</v>
      </c>
      <c r="G27" s="22">
        <f>E27*F27</f>
        <v>12.821760000000003</v>
      </c>
      <c r="H27" s="22">
        <f t="shared" si="1"/>
        <v>0</v>
      </c>
      <c r="I27" s="23">
        <f t="shared" si="8"/>
        <v>0</v>
      </c>
      <c r="J27" s="23">
        <f t="shared" ref="J27:J46" si="9">G27/$G$46</f>
        <v>5.4253880287155838E-2</v>
      </c>
      <c r="K27" s="108">
        <f t="shared" ref="K27:K41" si="10">G27/$G$51</f>
        <v>5.4689966315566614E-2</v>
      </c>
    </row>
    <row r="28" spans="1:11" s="1" customFormat="1" x14ac:dyDescent="0.2">
      <c r="A28" s="119" t="s">
        <v>74</v>
      </c>
      <c r="B28" s="120">
        <f>B8-B4</f>
        <v>120.96000000000004</v>
      </c>
      <c r="C28" s="172">
        <f>0.65*C15+0.17*C16+0.18*C17</f>
        <v>9.7519999999999996E-2</v>
      </c>
      <c r="D28" s="22">
        <f>B28*C28</f>
        <v>11.796019200000003</v>
      </c>
      <c r="E28" s="73">
        <f>B28</f>
        <v>120.96000000000004</v>
      </c>
      <c r="F28" s="172">
        <f>C28</f>
        <v>9.7519999999999996E-2</v>
      </c>
      <c r="G28" s="22">
        <f>E28*F28</f>
        <v>11.796019200000003</v>
      </c>
      <c r="H28" s="22">
        <f t="shared" si="1"/>
        <v>0</v>
      </c>
      <c r="I28" s="23">
        <f t="shared" si="8"/>
        <v>0</v>
      </c>
      <c r="J28" s="23">
        <f t="shared" si="9"/>
        <v>4.9913569864183376E-2</v>
      </c>
      <c r="K28" s="108">
        <f t="shared" si="10"/>
        <v>5.0314769010321288E-2</v>
      </c>
    </row>
    <row r="29" spans="1:11" s="1" customFormat="1" x14ac:dyDescent="0.2">
      <c r="A29" s="110" t="s">
        <v>78</v>
      </c>
      <c r="B29" s="74"/>
      <c r="C29" s="35"/>
      <c r="D29" s="35">
        <f>SUM(D25,D26:D27)</f>
        <v>84.671158307903951</v>
      </c>
      <c r="E29" s="73"/>
      <c r="F29" s="35"/>
      <c r="G29" s="35">
        <f>SUM(G25,G26:G27)</f>
        <v>88.71075830790393</v>
      </c>
      <c r="H29" s="35">
        <f t="shared" si="1"/>
        <v>4.0395999999999788</v>
      </c>
      <c r="I29" s="36">
        <f t="shared" si="8"/>
        <v>4.7709280004297368E-2</v>
      </c>
      <c r="J29" s="36">
        <f t="shared" si="9"/>
        <v>0.37536990720617402</v>
      </c>
      <c r="K29" s="111">
        <f t="shared" si="10"/>
        <v>0.37838708443206209</v>
      </c>
    </row>
    <row r="30" spans="1:11" s="1" customFormat="1" x14ac:dyDescent="0.2">
      <c r="A30" s="110" t="s">
        <v>77</v>
      </c>
      <c r="B30" s="74"/>
      <c r="C30" s="35"/>
      <c r="D30" s="35">
        <f>SUM(D25,D26,D28)</f>
        <v>83.645417507903957</v>
      </c>
      <c r="E30" s="73"/>
      <c r="F30" s="35"/>
      <c r="G30" s="35">
        <f>SUM(G25,G26,G28)</f>
        <v>87.685017507903936</v>
      </c>
      <c r="H30" s="35">
        <f t="shared" si="1"/>
        <v>4.0395999999999788</v>
      </c>
      <c r="I30" s="36">
        <f t="shared" si="8"/>
        <v>4.8294337219588417E-2</v>
      </c>
      <c r="J30" s="36">
        <f t="shared" si="9"/>
        <v>0.37102959678320158</v>
      </c>
      <c r="K30" s="111">
        <f t="shared" si="10"/>
        <v>0.37401188712681677</v>
      </c>
    </row>
    <row r="31" spans="1:11" x14ac:dyDescent="0.2">
      <c r="A31" s="107" t="s">
        <v>40</v>
      </c>
      <c r="B31" s="73">
        <f>B8</f>
        <v>1272.96</v>
      </c>
      <c r="C31" s="125">
        <f>VLOOKUP($B$3,'Data for Bill Impacts'!$A$3:$Y$15,15,0)</f>
        <v>6.7400000000000003E-3</v>
      </c>
      <c r="D31" s="22">
        <f>B31*C31</f>
        <v>8.5797504</v>
      </c>
      <c r="E31" s="73">
        <f t="shared" si="6"/>
        <v>1272.96</v>
      </c>
      <c r="F31" s="125">
        <f>VLOOKUP($B$3,'Data for Bill Impacts'!$A$3:$Y$15,24,0)</f>
        <v>6.7400000000000003E-3</v>
      </c>
      <c r="G31" s="22">
        <f>E31*F31</f>
        <v>8.5797504</v>
      </c>
      <c r="H31" s="22">
        <f t="shared" si="1"/>
        <v>0</v>
      </c>
      <c r="I31" s="23">
        <f t="shared" si="8"/>
        <v>0</v>
      </c>
      <c r="J31" s="23">
        <f t="shared" si="9"/>
        <v>3.6304278905179732E-2</v>
      </c>
      <c r="K31" s="108">
        <f t="shared" si="10"/>
        <v>3.6596088241549453E-2</v>
      </c>
    </row>
    <row r="32" spans="1:11" x14ac:dyDescent="0.2">
      <c r="A32" s="107" t="s">
        <v>41</v>
      </c>
      <c r="B32" s="73">
        <f>B8</f>
        <v>1272.96</v>
      </c>
      <c r="C32" s="125">
        <f>VLOOKUP($B$3,'Data for Bill Impacts'!$A$3:$Y$15,16,0)</f>
        <v>5.6299999999999996E-3</v>
      </c>
      <c r="D32" s="22">
        <f>B32*C32</f>
        <v>7.1667647999999993</v>
      </c>
      <c r="E32" s="73">
        <f t="shared" si="6"/>
        <v>1272.96</v>
      </c>
      <c r="F32" s="125">
        <f>VLOOKUP($B$3,'Data for Bill Impacts'!$A$3:$Y$15,25,0)</f>
        <v>5.6299999999999996E-3</v>
      </c>
      <c r="G32" s="22">
        <f>E32*F32</f>
        <v>7.1667647999999993</v>
      </c>
      <c r="H32" s="22">
        <f t="shared" si="1"/>
        <v>0</v>
      </c>
      <c r="I32" s="23">
        <f t="shared" si="8"/>
        <v>0</v>
      </c>
      <c r="J32" s="23">
        <f t="shared" si="9"/>
        <v>3.0325384308035889E-2</v>
      </c>
      <c r="K32" s="108">
        <f t="shared" si="10"/>
        <v>3.0569136023727506E-2</v>
      </c>
    </row>
    <row r="33" spans="1:11" s="1" customFormat="1" x14ac:dyDescent="0.2">
      <c r="A33" s="110" t="s">
        <v>76</v>
      </c>
      <c r="B33" s="74"/>
      <c r="C33" s="35"/>
      <c r="D33" s="35">
        <f>SUM(D31:D32)</f>
        <v>15.746515199999999</v>
      </c>
      <c r="E33" s="73"/>
      <c r="F33" s="35"/>
      <c r="G33" s="35">
        <f>SUM(G31:G32)</f>
        <v>15.746515199999999</v>
      </c>
      <c r="H33" s="35">
        <f t="shared" si="1"/>
        <v>0</v>
      </c>
      <c r="I33" s="36">
        <f t="shared" si="8"/>
        <v>0</v>
      </c>
      <c r="J33" s="36">
        <f t="shared" si="9"/>
        <v>6.6629663213215617E-2</v>
      </c>
      <c r="K33" s="111">
        <f t="shared" si="10"/>
        <v>6.7165224265276963E-2</v>
      </c>
    </row>
    <row r="34" spans="1:11" s="1" customFormat="1" x14ac:dyDescent="0.2">
      <c r="A34" s="110" t="s">
        <v>91</v>
      </c>
      <c r="B34" s="74"/>
      <c r="C34" s="35"/>
      <c r="D34" s="35">
        <f>D29+D33</f>
        <v>100.41767350790396</v>
      </c>
      <c r="E34" s="73"/>
      <c r="F34" s="35"/>
      <c r="G34" s="35">
        <f>G29+G33</f>
        <v>104.45727350790393</v>
      </c>
      <c r="H34" s="35">
        <f t="shared" si="1"/>
        <v>4.0395999999999788</v>
      </c>
      <c r="I34" s="36">
        <f t="shared" si="8"/>
        <v>4.022797839149319E-2</v>
      </c>
      <c r="J34" s="36">
        <f t="shared" si="9"/>
        <v>0.4419995704193897</v>
      </c>
      <c r="K34" s="111">
        <f t="shared" si="10"/>
        <v>0.44555230869733903</v>
      </c>
    </row>
    <row r="35" spans="1:11" s="1" customFormat="1" x14ac:dyDescent="0.2">
      <c r="A35" s="110" t="s">
        <v>92</v>
      </c>
      <c r="B35" s="74"/>
      <c r="C35" s="35"/>
      <c r="D35" s="35">
        <f>D30+D33</f>
        <v>99.391932707903962</v>
      </c>
      <c r="E35" s="73"/>
      <c r="F35" s="35"/>
      <c r="G35" s="35">
        <f>G30+G33</f>
        <v>103.43153270790394</v>
      </c>
      <c r="H35" s="35">
        <f t="shared" si="1"/>
        <v>4.0395999999999788</v>
      </c>
      <c r="I35" s="36">
        <f t="shared" si="8"/>
        <v>4.0643137626387431E-2</v>
      </c>
      <c r="J35" s="36">
        <f t="shared" si="9"/>
        <v>0.43765925999641725</v>
      </c>
      <c r="K35" s="111">
        <f t="shared" si="10"/>
        <v>0.44117711139209376</v>
      </c>
    </row>
    <row r="36" spans="1:11" x14ac:dyDescent="0.2">
      <c r="A36" s="107" t="s">
        <v>42</v>
      </c>
      <c r="B36" s="73">
        <f>B8</f>
        <v>1272.96</v>
      </c>
      <c r="C36" s="34">
        <v>3.5999999999999999E-3</v>
      </c>
      <c r="D36" s="22">
        <f>B36*C36</f>
        <v>4.5826560000000001</v>
      </c>
      <c r="E36" s="73">
        <f t="shared" si="6"/>
        <v>1272.96</v>
      </c>
      <c r="F36" s="34">
        <v>3.5999999999999999E-3</v>
      </c>
      <c r="G36" s="22">
        <f>E36*F36</f>
        <v>4.5826560000000001</v>
      </c>
      <c r="H36" s="22">
        <f t="shared" si="1"/>
        <v>0</v>
      </c>
      <c r="I36" s="23">
        <f t="shared" si="8"/>
        <v>0</v>
      </c>
      <c r="J36" s="23">
        <f t="shared" si="9"/>
        <v>1.9391009504250305E-2</v>
      </c>
      <c r="K36" s="108">
        <f t="shared" si="10"/>
        <v>1.9546872057800892E-2</v>
      </c>
    </row>
    <row r="37" spans="1:11" x14ac:dyDescent="0.2">
      <c r="A37" s="107" t="s">
        <v>43</v>
      </c>
      <c r="B37" s="73">
        <f>B8</f>
        <v>1272.96</v>
      </c>
      <c r="C37" s="34">
        <v>2.0999999999999999E-3</v>
      </c>
      <c r="D37" s="22">
        <f>B37*C37</f>
        <v>2.673216</v>
      </c>
      <c r="E37" s="73">
        <f t="shared" si="6"/>
        <v>1272.96</v>
      </c>
      <c r="F37" s="34">
        <v>2.0999999999999999E-3</v>
      </c>
      <c r="G37" s="22">
        <f>E37*F37</f>
        <v>2.673216</v>
      </c>
      <c r="H37" s="22">
        <f>G37-D37</f>
        <v>0</v>
      </c>
      <c r="I37" s="23">
        <f t="shared" si="8"/>
        <v>0</v>
      </c>
      <c r="J37" s="23">
        <f t="shared" si="9"/>
        <v>1.1311422210812678E-2</v>
      </c>
      <c r="K37" s="108">
        <f t="shared" si="10"/>
        <v>1.1402342033717188E-2</v>
      </c>
    </row>
    <row r="38" spans="1:11" x14ac:dyDescent="0.2">
      <c r="A38" s="107" t="s">
        <v>96</v>
      </c>
      <c r="B38" s="73">
        <f>B8</f>
        <v>1272.96</v>
      </c>
      <c r="C38" s="34">
        <v>0</v>
      </c>
      <c r="D38" s="22">
        <f>B38*C38</f>
        <v>0</v>
      </c>
      <c r="E38" s="73">
        <f t="shared" si="6"/>
        <v>1272.96</v>
      </c>
      <c r="F38" s="34">
        <v>0</v>
      </c>
      <c r="G38" s="22">
        <f>E38*F38</f>
        <v>0</v>
      </c>
      <c r="H38" s="22">
        <f>G38-D38</f>
        <v>0</v>
      </c>
      <c r="I38" s="23" t="str">
        <f t="shared" si="8"/>
        <v>N/A</v>
      </c>
      <c r="J38" s="23">
        <f t="shared" si="9"/>
        <v>0</v>
      </c>
      <c r="K38" s="108">
        <f t="shared" si="10"/>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1.0578477581696239E-3</v>
      </c>
      <c r="K39" s="108">
        <f t="shared" si="10"/>
        <v>1.0663506085663475E-3</v>
      </c>
    </row>
    <row r="40" spans="1:11" s="1" customFormat="1" x14ac:dyDescent="0.2">
      <c r="A40" s="110" t="s">
        <v>45</v>
      </c>
      <c r="B40" s="74"/>
      <c r="C40" s="35"/>
      <c r="D40" s="35">
        <f>SUM(D36:D39)</f>
        <v>7.5058720000000001</v>
      </c>
      <c r="E40" s="73"/>
      <c r="F40" s="35"/>
      <c r="G40" s="35">
        <f>SUM(G36:G39)</f>
        <v>7.5058720000000001</v>
      </c>
      <c r="H40" s="35">
        <f t="shared" si="1"/>
        <v>0</v>
      </c>
      <c r="I40" s="36">
        <f t="shared" si="8"/>
        <v>0</v>
      </c>
      <c r="J40" s="36">
        <f t="shared" si="9"/>
        <v>3.1760279473232608E-2</v>
      </c>
      <c r="K40" s="111">
        <f t="shared" si="10"/>
        <v>3.2015564700084431E-2</v>
      </c>
    </row>
    <row r="41" spans="1:11" s="1" customFormat="1" ht="13.5" thickBot="1" x14ac:dyDescent="0.25">
      <c r="A41" s="112" t="s">
        <v>46</v>
      </c>
      <c r="B41" s="113">
        <f>B4</f>
        <v>1152</v>
      </c>
      <c r="C41" s="114">
        <v>0</v>
      </c>
      <c r="D41" s="115">
        <f>B41*C41</f>
        <v>0</v>
      </c>
      <c r="E41" s="116">
        <f t="shared" si="6"/>
        <v>1152</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221.03554550790395</v>
      </c>
      <c r="E42" s="38"/>
      <c r="F42" s="39"/>
      <c r="G42" s="39">
        <f>SUM(G14,G25,G26,G27,G33,G40,G41)</f>
        <v>225.07514550790395</v>
      </c>
      <c r="H42" s="39">
        <f t="shared" si="1"/>
        <v>4.0396000000000072</v>
      </c>
      <c r="I42" s="40">
        <f t="shared" si="8"/>
        <v>1.8275793563961217E-2</v>
      </c>
      <c r="J42" s="40">
        <f t="shared" si="9"/>
        <v>0.95238095238095233</v>
      </c>
      <c r="K42" s="41"/>
    </row>
    <row r="43" spans="1:11" x14ac:dyDescent="0.2">
      <c r="A43" s="153" t="s">
        <v>102</v>
      </c>
      <c r="B43" s="43"/>
      <c r="C43" s="26">
        <v>0.13</v>
      </c>
      <c r="D43" s="26">
        <f>D42*C43</f>
        <v>28.734620916027513</v>
      </c>
      <c r="E43" s="26"/>
      <c r="F43" s="26">
        <f>C43</f>
        <v>0.13</v>
      </c>
      <c r="G43" s="26">
        <f>G42*F43</f>
        <v>29.259768916027515</v>
      </c>
      <c r="H43" s="26">
        <f t="shared" si="1"/>
        <v>0.5251480000000015</v>
      </c>
      <c r="I43" s="44">
        <f t="shared" si="8"/>
        <v>1.8275793563961234E-2</v>
      </c>
      <c r="J43" s="44">
        <f t="shared" si="9"/>
        <v>0.12380952380952381</v>
      </c>
      <c r="K43" s="45"/>
    </row>
    <row r="44" spans="1:11" s="1" customFormat="1" x14ac:dyDescent="0.2">
      <c r="A44" s="46" t="s">
        <v>103</v>
      </c>
      <c r="B44" s="24"/>
      <c r="C44" s="25"/>
      <c r="D44" s="25">
        <f>SUM(D42:D43)</f>
        <v>249.77016642393147</v>
      </c>
      <c r="E44" s="25"/>
      <c r="F44" s="25"/>
      <c r="G44" s="25">
        <f>SUM(G42:G43)</f>
        <v>254.33491442393148</v>
      </c>
      <c r="H44" s="25">
        <f t="shared" si="1"/>
        <v>4.5647480000000087</v>
      </c>
      <c r="I44" s="27">
        <f t="shared" si="8"/>
        <v>1.8275793563961217E-2</v>
      </c>
      <c r="J44" s="27">
        <f t="shared" si="9"/>
        <v>1.0761904761904761</v>
      </c>
      <c r="K44" s="47"/>
    </row>
    <row r="45" spans="1:11" x14ac:dyDescent="0.2">
      <c r="A45" s="42" t="s">
        <v>104</v>
      </c>
      <c r="B45" s="43"/>
      <c r="C45" s="26">
        <v>-0.08</v>
      </c>
      <c r="D45" s="26">
        <f>D42*C45</f>
        <v>-17.682843640632317</v>
      </c>
      <c r="E45" s="26"/>
      <c r="F45" s="26">
        <f>C45</f>
        <v>-0.08</v>
      </c>
      <c r="G45" s="26">
        <f>G42*F45</f>
        <v>-18.006011640632316</v>
      </c>
      <c r="H45" s="26">
        <f t="shared" si="1"/>
        <v>-0.32316799999999901</v>
      </c>
      <c r="I45" s="44">
        <f t="shared" si="8"/>
        <v>-1.8275793563961126E-2</v>
      </c>
      <c r="J45" s="44">
        <f t="shared" si="9"/>
        <v>-7.6190476190476183E-2</v>
      </c>
      <c r="K45" s="45"/>
    </row>
    <row r="46" spans="1:11" s="1" customFormat="1" ht="13.5" thickBot="1" x14ac:dyDescent="0.25">
      <c r="A46" s="48" t="s">
        <v>105</v>
      </c>
      <c r="B46" s="49"/>
      <c r="C46" s="50"/>
      <c r="D46" s="50">
        <f>SUM(D44:D45)</f>
        <v>232.08732278329916</v>
      </c>
      <c r="E46" s="50"/>
      <c r="F46" s="50"/>
      <c r="G46" s="50">
        <f>SUM(G44:G45)</f>
        <v>236.32890278329916</v>
      </c>
      <c r="H46" s="50">
        <f t="shared" si="1"/>
        <v>4.241579999999999</v>
      </c>
      <c r="I46" s="51">
        <f t="shared" si="8"/>
        <v>1.8275793563961178E-2</v>
      </c>
      <c r="J46" s="51">
        <f t="shared" si="9"/>
        <v>1</v>
      </c>
      <c r="K46" s="52"/>
    </row>
    <row r="47" spans="1:11" x14ac:dyDescent="0.2">
      <c r="A47" s="53" t="s">
        <v>106</v>
      </c>
      <c r="B47" s="54"/>
      <c r="C47" s="55"/>
      <c r="D47" s="55">
        <f>SUM(D18,D25,D26,D28,D33,D40,D41)</f>
        <v>219.24084470790396</v>
      </c>
      <c r="E47" s="55"/>
      <c r="F47" s="55"/>
      <c r="G47" s="55">
        <f>SUM(G18,G25,G26,G28,G33,G40,G41)</f>
        <v>223.28044470790397</v>
      </c>
      <c r="H47" s="55">
        <f>G47-D47</f>
        <v>4.0396000000000072</v>
      </c>
      <c r="I47" s="56">
        <f t="shared" si="8"/>
        <v>1.8425398813720104E-2</v>
      </c>
      <c r="J47" s="56"/>
      <c r="K47" s="57">
        <f>G47/$G$51</f>
        <v>0.95238095238095233</v>
      </c>
    </row>
    <row r="48" spans="1:11" x14ac:dyDescent="0.2">
      <c r="A48" s="58" t="s">
        <v>102</v>
      </c>
      <c r="B48" s="59"/>
      <c r="C48" s="31">
        <v>0.13</v>
      </c>
      <c r="D48" s="31">
        <f>D47*C48</f>
        <v>28.501309812027515</v>
      </c>
      <c r="E48" s="31"/>
      <c r="F48" s="31">
        <f>C48</f>
        <v>0.13</v>
      </c>
      <c r="G48" s="31">
        <f>G47*F48</f>
        <v>29.026457812027516</v>
      </c>
      <c r="H48" s="31">
        <f>G48-D48</f>
        <v>0.5251480000000015</v>
      </c>
      <c r="I48" s="32">
        <f t="shared" si="8"/>
        <v>1.8425398813720125E-2</v>
      </c>
      <c r="J48" s="32"/>
      <c r="K48" s="60">
        <f>G48/$G$51</f>
        <v>0.1238095238095238</v>
      </c>
    </row>
    <row r="49" spans="1:11" x14ac:dyDescent="0.2">
      <c r="A49" s="61" t="s">
        <v>107</v>
      </c>
      <c r="B49" s="29"/>
      <c r="C49" s="30"/>
      <c r="D49" s="30">
        <f>SUM(D47:D48)</f>
        <v>247.74215451993149</v>
      </c>
      <c r="E49" s="30"/>
      <c r="F49" s="30"/>
      <c r="G49" s="30">
        <f>SUM(G47:G48)</f>
        <v>252.3069025199315</v>
      </c>
      <c r="H49" s="30">
        <f>G49-D49</f>
        <v>4.5647480000000087</v>
      </c>
      <c r="I49" s="33">
        <f t="shared" si="8"/>
        <v>1.8425398813720104E-2</v>
      </c>
      <c r="J49" s="33"/>
      <c r="K49" s="62">
        <f>G49/$G$51</f>
        <v>1.0761904761904761</v>
      </c>
    </row>
    <row r="50" spans="1:11" x14ac:dyDescent="0.2">
      <c r="A50" s="58" t="s">
        <v>104</v>
      </c>
      <c r="B50" s="59"/>
      <c r="C50" s="31">
        <v>-0.08</v>
      </c>
      <c r="D50" s="31">
        <f>D47*C50</f>
        <v>-17.539267576632316</v>
      </c>
      <c r="E50" s="31"/>
      <c r="F50" s="31">
        <f>C50</f>
        <v>-0.08</v>
      </c>
      <c r="G50" s="31">
        <f>G47*F50</f>
        <v>-17.862435576632318</v>
      </c>
      <c r="H50" s="31">
        <f>G50-D50</f>
        <v>-0.32316800000000256</v>
      </c>
      <c r="I50" s="32">
        <f t="shared" si="8"/>
        <v>-1.8425398813720219E-2</v>
      </c>
      <c r="J50" s="32"/>
      <c r="K50" s="60">
        <f>G50/$G$51</f>
        <v>-7.6190476190476197E-2</v>
      </c>
    </row>
    <row r="51" spans="1:11" ht="13.5" thickBot="1" x14ac:dyDescent="0.25">
      <c r="A51" s="63" t="s">
        <v>116</v>
      </c>
      <c r="B51" s="64"/>
      <c r="C51" s="65"/>
      <c r="D51" s="65">
        <f>SUM(D49:D50)</f>
        <v>230.20288694329918</v>
      </c>
      <c r="E51" s="65"/>
      <c r="F51" s="65"/>
      <c r="G51" s="65">
        <f>SUM(G49:G50)</f>
        <v>234.44446694329918</v>
      </c>
      <c r="H51" s="65">
        <f>G51-D51</f>
        <v>4.241579999999999</v>
      </c>
      <c r="I51" s="66">
        <f t="shared" si="8"/>
        <v>1.8425398813720066E-2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1" tint="0.499984740745262"/>
    <pageSetUpPr fitToPage="1"/>
  </sheetPr>
  <dimension ref="A1:K68"/>
  <sheetViews>
    <sheetView tabSelected="1" view="pageLayout" topLeftCell="A7"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120</v>
      </c>
      <c r="B1" s="189"/>
      <c r="C1" s="189"/>
      <c r="D1" s="189"/>
      <c r="E1" s="189"/>
      <c r="F1" s="189"/>
      <c r="G1" s="189"/>
      <c r="H1" s="189"/>
      <c r="I1" s="189"/>
      <c r="J1" s="189"/>
      <c r="K1" s="190"/>
    </row>
    <row r="3" spans="1:11" x14ac:dyDescent="0.2">
      <c r="A3" s="13" t="s">
        <v>13</v>
      </c>
      <c r="B3" s="13" t="s">
        <v>2</v>
      </c>
    </row>
    <row r="4" spans="1:11" x14ac:dyDescent="0.2">
      <c r="A4" s="15" t="s">
        <v>62</v>
      </c>
      <c r="B4" s="15">
        <v>2300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7">
        <f>B4*B6</f>
        <v>2541.5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0.12579967974272113</v>
      </c>
      <c r="K12" s="106"/>
    </row>
    <row r="13" spans="1:11" x14ac:dyDescent="0.2">
      <c r="A13" s="107" t="s">
        <v>32</v>
      </c>
      <c r="B13" s="73">
        <f>IF(B4&gt;B7,(B4)-B7,0)</f>
        <v>1700</v>
      </c>
      <c r="C13" s="21">
        <v>0.106</v>
      </c>
      <c r="D13" s="22">
        <f>B13*C13</f>
        <v>180.2</v>
      </c>
      <c r="E13" s="73">
        <f>B13</f>
        <v>1700</v>
      </c>
      <c r="F13" s="21">
        <f>C13</f>
        <v>0.106</v>
      </c>
      <c r="G13" s="22">
        <f>E13*F13</f>
        <v>180.2</v>
      </c>
      <c r="H13" s="22">
        <f t="shared" ref="H13:H46" si="1">G13-D13</f>
        <v>0</v>
      </c>
      <c r="I13" s="23">
        <f t="shared" si="0"/>
        <v>0</v>
      </c>
      <c r="J13" s="23">
        <f>G13/$G$46</f>
        <v>0.41518502361974996</v>
      </c>
      <c r="K13" s="108"/>
    </row>
    <row r="14" spans="1:11" s="1" customFormat="1" x14ac:dyDescent="0.2">
      <c r="A14" s="46" t="s">
        <v>33</v>
      </c>
      <c r="B14" s="24"/>
      <c r="C14" s="25"/>
      <c r="D14" s="25">
        <f>SUM(D12:D13)</f>
        <v>234.79999999999998</v>
      </c>
      <c r="E14" s="76"/>
      <c r="F14" s="25"/>
      <c r="G14" s="25">
        <f>SUM(G12:G13)</f>
        <v>234.79999999999998</v>
      </c>
      <c r="H14" s="25">
        <f t="shared" si="1"/>
        <v>0</v>
      </c>
      <c r="I14" s="27">
        <f t="shared" si="0"/>
        <v>0</v>
      </c>
      <c r="J14" s="27">
        <f>G14/$G$46</f>
        <v>0.54098470336247106</v>
      </c>
      <c r="K14" s="108"/>
    </row>
    <row r="15" spans="1:11" s="1" customFormat="1" x14ac:dyDescent="0.2">
      <c r="A15" s="109" t="s">
        <v>34</v>
      </c>
      <c r="B15" s="75">
        <f>B4*0.65</f>
        <v>1495</v>
      </c>
      <c r="C15" s="28">
        <v>7.6999999999999999E-2</v>
      </c>
      <c r="D15" s="22">
        <f>B15*C15</f>
        <v>115.11499999999999</v>
      </c>
      <c r="E15" s="73">
        <f t="shared" ref="E15:F17" si="2">B15</f>
        <v>1495</v>
      </c>
      <c r="F15" s="28">
        <f t="shared" si="2"/>
        <v>7.6999999999999999E-2</v>
      </c>
      <c r="G15" s="22">
        <f>E15*F15</f>
        <v>115.11499999999999</v>
      </c>
      <c r="H15" s="22">
        <f t="shared" si="1"/>
        <v>0</v>
      </c>
      <c r="I15" s="23">
        <f t="shared" si="0"/>
        <v>0</v>
      </c>
      <c r="J15" s="23"/>
      <c r="K15" s="108">
        <f t="shared" ref="K15:K26" si="3">G15/$G$51</f>
        <v>0.27353376071593238</v>
      </c>
    </row>
    <row r="16" spans="1:11" s="1" customFormat="1" x14ac:dyDescent="0.2">
      <c r="A16" s="109" t="s">
        <v>35</v>
      </c>
      <c r="B16" s="75">
        <f>B4*0.17</f>
        <v>391</v>
      </c>
      <c r="C16" s="28">
        <v>0.113</v>
      </c>
      <c r="D16" s="22">
        <f>B16*C16</f>
        <v>44.183</v>
      </c>
      <c r="E16" s="73">
        <f t="shared" si="2"/>
        <v>391</v>
      </c>
      <c r="F16" s="28">
        <f t="shared" si="2"/>
        <v>0.113</v>
      </c>
      <c r="G16" s="22">
        <f>E16*F16</f>
        <v>44.183</v>
      </c>
      <c r="H16" s="22">
        <f t="shared" si="1"/>
        <v>0</v>
      </c>
      <c r="I16" s="23">
        <f t="shared" si="0"/>
        <v>0</v>
      </c>
      <c r="J16" s="23"/>
      <c r="K16" s="108">
        <f t="shared" si="3"/>
        <v>0.10498668418287835</v>
      </c>
    </row>
    <row r="17" spans="1:11" s="1" customFormat="1" x14ac:dyDescent="0.2">
      <c r="A17" s="109" t="s">
        <v>36</v>
      </c>
      <c r="B17" s="75">
        <f>B4*0.18</f>
        <v>414</v>
      </c>
      <c r="C17" s="28">
        <v>0.157</v>
      </c>
      <c r="D17" s="22">
        <f>B17*C17</f>
        <v>64.998000000000005</v>
      </c>
      <c r="E17" s="73">
        <f t="shared" si="2"/>
        <v>414</v>
      </c>
      <c r="F17" s="28">
        <f t="shared" si="2"/>
        <v>0.157</v>
      </c>
      <c r="G17" s="22">
        <f>E17*F17</f>
        <v>64.998000000000005</v>
      </c>
      <c r="H17" s="22">
        <f t="shared" si="1"/>
        <v>0</v>
      </c>
      <c r="I17" s="23">
        <f t="shared" si="0"/>
        <v>0</v>
      </c>
      <c r="J17" s="23"/>
      <c r="K17" s="108">
        <f t="shared" si="3"/>
        <v>0.15444683472192308</v>
      </c>
    </row>
    <row r="18" spans="1:11" s="1" customFormat="1" x14ac:dyDescent="0.2">
      <c r="A18" s="61" t="s">
        <v>37</v>
      </c>
      <c r="B18" s="29"/>
      <c r="C18" s="30"/>
      <c r="D18" s="30">
        <f>SUM(D15:D17)</f>
        <v>224.29599999999999</v>
      </c>
      <c r="E18" s="77"/>
      <c r="F18" s="30"/>
      <c r="G18" s="30">
        <f>SUM(G15:G17)</f>
        <v>224.29599999999999</v>
      </c>
      <c r="H18" s="31">
        <f t="shared" si="1"/>
        <v>0</v>
      </c>
      <c r="I18" s="32">
        <f t="shared" si="0"/>
        <v>0</v>
      </c>
      <c r="J18" s="33">
        <f t="shared" ref="J18:J26" si="4">G18/$G$46</f>
        <v>0.5167832411643476</v>
      </c>
      <c r="K18" s="62">
        <f t="shared" si="3"/>
        <v>0.53296727962073376</v>
      </c>
    </row>
    <row r="19" spans="1:11" x14ac:dyDescent="0.2">
      <c r="A19" s="107" t="s">
        <v>112</v>
      </c>
      <c r="B19" s="73">
        <v>1</v>
      </c>
      <c r="C19" s="121">
        <f>VLOOKUP($B$3,'Data for Bill Impacts'!$A$3:$Y$15,7,0)</f>
        <v>34.089678307903938</v>
      </c>
      <c r="D19" s="22">
        <f t="shared" ref="D19:D24" si="5">B19*C19</f>
        <v>34.089678307903938</v>
      </c>
      <c r="E19" s="73">
        <f t="shared" ref="E19:E41" si="6">B19</f>
        <v>1</v>
      </c>
      <c r="F19" s="121">
        <f>VLOOKUP($B$3,'Data for Bill Impacts'!$A$3:$Y$15,17,0)</f>
        <v>44.119678307903925</v>
      </c>
      <c r="G19" s="22">
        <f t="shared" ref="G19:G24" si="7">E19*F19</f>
        <v>44.119678307903925</v>
      </c>
      <c r="H19" s="22">
        <f t="shared" si="1"/>
        <v>10.029999999999987</v>
      </c>
      <c r="I19" s="23">
        <f>IF(ISERROR(H19/ABS(D19)),"N/A",(H19/ABS(D19)))</f>
        <v>0.29422395569143456</v>
      </c>
      <c r="J19" s="23">
        <f t="shared" si="4"/>
        <v>0.10165277292099258</v>
      </c>
      <c r="K19" s="108">
        <f t="shared" si="3"/>
        <v>0.10483622055455941</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-2.1000000000000001E-2</v>
      </c>
      <c r="D22" s="22">
        <f t="shared" si="5"/>
        <v>-2.1000000000000001E-2</v>
      </c>
      <c r="E22" s="73">
        <f t="shared" si="6"/>
        <v>1</v>
      </c>
      <c r="F22" s="121">
        <f>VLOOKUP($B$3,'Data for Bill Impacts'!$A$3:$Y$15,22,0)</f>
        <v>-2.1000000000000001E-2</v>
      </c>
      <c r="G22" s="22">
        <f t="shared" si="7"/>
        <v>-2.1000000000000001E-2</v>
      </c>
      <c r="H22" s="22">
        <f t="shared" si="1"/>
        <v>0</v>
      </c>
      <c r="I22" s="23">
        <f t="shared" ref="I22:I51" si="8">IF(ISERROR(H22/ABS(D22)),"N/A",(H22/ABS(D22)))</f>
        <v>0</v>
      </c>
      <c r="J22" s="23">
        <f t="shared" si="4"/>
        <v>-4.8384492208738899E-5</v>
      </c>
      <c r="K22" s="108">
        <f t="shared" si="3"/>
        <v>-4.9899743517652616E-5</v>
      </c>
    </row>
    <row r="23" spans="1:11" x14ac:dyDescent="0.2">
      <c r="A23" s="107" t="s">
        <v>39</v>
      </c>
      <c r="B23" s="73">
        <f>IF($B$9="kWh",$B$4,$B$5)</f>
        <v>2300</v>
      </c>
      <c r="C23" s="78">
        <f>VLOOKUP($B$3,'Data for Bill Impacts'!$A$3:$Y$15,10,0)</f>
        <v>3.2099999999999997E-2</v>
      </c>
      <c r="D23" s="22">
        <f t="shared" si="5"/>
        <v>73.83</v>
      </c>
      <c r="E23" s="73">
        <f t="shared" si="6"/>
        <v>2300</v>
      </c>
      <c r="F23" s="78">
        <f>VLOOKUP($B$3,'Data for Bill Impacts'!$A$3:$Y$15,19,0)</f>
        <v>2.69E-2</v>
      </c>
      <c r="G23" s="22">
        <f t="shared" si="7"/>
        <v>61.87</v>
      </c>
      <c r="H23" s="22">
        <f t="shared" si="1"/>
        <v>-11.96</v>
      </c>
      <c r="I23" s="23">
        <f t="shared" si="8"/>
        <v>-0.161993769470405</v>
      </c>
      <c r="J23" s="23">
        <f t="shared" si="4"/>
        <v>0.14254993014069883</v>
      </c>
      <c r="K23" s="108">
        <f t="shared" si="3"/>
        <v>0.14701414911605556</v>
      </c>
    </row>
    <row r="24" spans="1:11" x14ac:dyDescent="0.2">
      <c r="A24" s="107" t="s">
        <v>121</v>
      </c>
      <c r="B24" s="73">
        <f>IF($B$9="kWh",$B$4,$B$5)</f>
        <v>2300</v>
      </c>
      <c r="C24" s="125">
        <f>VLOOKUP($B$3,'Data for Bill Impacts'!$A$3:$Y$15,14,0)</f>
        <v>1.0000000000000003E-5</v>
      </c>
      <c r="D24" s="22">
        <f t="shared" si="5"/>
        <v>2.3000000000000007E-2</v>
      </c>
      <c r="E24" s="73">
        <f>B24</f>
        <v>2300</v>
      </c>
      <c r="F24" s="125">
        <f>VLOOKUP($B$3,'Data for Bill Impacts'!$A$3:$Y$15,23,0)</f>
        <v>1.0000000000000003E-5</v>
      </c>
      <c r="G24" s="22">
        <f t="shared" si="7"/>
        <v>2.3000000000000007E-2</v>
      </c>
      <c r="H24" s="22">
        <f>G24-D24</f>
        <v>0</v>
      </c>
      <c r="I24" s="23">
        <f t="shared" si="8"/>
        <v>0</v>
      </c>
      <c r="J24" s="23">
        <f t="shared" si="4"/>
        <v>5.2992539085761664E-5</v>
      </c>
      <c r="K24" s="108">
        <f t="shared" si="3"/>
        <v>5.465210004314335E-5</v>
      </c>
    </row>
    <row r="25" spans="1:11" s="1" customFormat="1" x14ac:dyDescent="0.2">
      <c r="A25" s="110" t="s">
        <v>72</v>
      </c>
      <c r="B25" s="74"/>
      <c r="C25" s="35"/>
      <c r="D25" s="35">
        <f>SUM(D19:D24)</f>
        <v>107.92167830790393</v>
      </c>
      <c r="E25" s="73"/>
      <c r="F25" s="35"/>
      <c r="G25" s="35">
        <f>SUM(G19:G24)</f>
        <v>105.99167830790392</v>
      </c>
      <c r="H25" s="35">
        <f t="shared" si="1"/>
        <v>-1.9300000000000068</v>
      </c>
      <c r="I25" s="36">
        <f t="shared" si="8"/>
        <v>-1.7883339383341097E-2</v>
      </c>
      <c r="J25" s="36">
        <f t="shared" si="4"/>
        <v>0.24420731110856844</v>
      </c>
      <c r="K25" s="111">
        <f t="shared" si="3"/>
        <v>0.25185512202714044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1.8201785164239871E-3</v>
      </c>
      <c r="K26" s="108">
        <f t="shared" si="3"/>
        <v>1.8771808275688364E-3</v>
      </c>
    </row>
    <row r="27" spans="1:11" s="1" customFormat="1" x14ac:dyDescent="0.2">
      <c r="A27" s="119" t="s">
        <v>75</v>
      </c>
      <c r="B27" s="120">
        <f>B8-B4</f>
        <v>241.5</v>
      </c>
      <c r="C27" s="172">
        <f>IF(B4&gt;B7,C13,C12)</f>
        <v>0.106</v>
      </c>
      <c r="D27" s="22">
        <f>B27*C27</f>
        <v>25.599</v>
      </c>
      <c r="E27" s="73">
        <f>B27</f>
        <v>241.5</v>
      </c>
      <c r="F27" s="172">
        <f>C27</f>
        <v>0.106</v>
      </c>
      <c r="G27" s="22">
        <f>E27*F27</f>
        <v>25.599</v>
      </c>
      <c r="H27" s="22">
        <f t="shared" si="1"/>
        <v>0</v>
      </c>
      <c r="I27" s="23">
        <f t="shared" si="8"/>
        <v>0</v>
      </c>
      <c r="J27" s="23">
        <f t="shared" ref="J27:J46" si="9">G27/$G$46</f>
        <v>5.8980696002452718E-2</v>
      </c>
      <c r="K27" s="108">
        <f t="shared" ref="K27:K41" si="10">G27/$G$51</f>
        <v>6.0827787348018532E-2</v>
      </c>
    </row>
    <row r="28" spans="1:11" s="1" customFormat="1" x14ac:dyDescent="0.2">
      <c r="A28" s="119" t="s">
        <v>74</v>
      </c>
      <c r="B28" s="120">
        <f>B8-B4</f>
        <v>241.5</v>
      </c>
      <c r="C28" s="172">
        <f>0.65*C15+0.17*C16+0.18*C17</f>
        <v>9.7519999999999996E-2</v>
      </c>
      <c r="D28" s="22">
        <f>B28*C28</f>
        <v>23.551079999999999</v>
      </c>
      <c r="E28" s="73">
        <f>B28</f>
        <v>241.5</v>
      </c>
      <c r="F28" s="172">
        <f>C28</f>
        <v>9.7519999999999996E-2</v>
      </c>
      <c r="G28" s="22">
        <f>E28*F28</f>
        <v>23.551079999999999</v>
      </c>
      <c r="H28" s="22">
        <f t="shared" si="1"/>
        <v>0</v>
      </c>
      <c r="I28" s="23">
        <f t="shared" si="8"/>
        <v>0</v>
      </c>
      <c r="J28" s="23">
        <f t="shared" si="9"/>
        <v>5.4262240322256496E-2</v>
      </c>
      <c r="K28" s="108">
        <f t="shared" si="10"/>
        <v>5.5961564360177046E-2</v>
      </c>
    </row>
    <row r="29" spans="1:11" s="1" customFormat="1" x14ac:dyDescent="0.2">
      <c r="A29" s="110" t="s">
        <v>78</v>
      </c>
      <c r="B29" s="74"/>
      <c r="C29" s="35"/>
      <c r="D29" s="35">
        <f>SUM(D25,D26:D27)</f>
        <v>134.31067830790394</v>
      </c>
      <c r="E29" s="73"/>
      <c r="F29" s="35"/>
      <c r="G29" s="35">
        <f>SUM(G25,G26:G27)</f>
        <v>132.38067830790393</v>
      </c>
      <c r="H29" s="35">
        <f t="shared" si="1"/>
        <v>-1.9300000000000068</v>
      </c>
      <c r="I29" s="36">
        <f t="shared" si="8"/>
        <v>-1.4369669071103409E-2</v>
      </c>
      <c r="J29" s="36">
        <f t="shared" si="9"/>
        <v>0.30500818562744514</v>
      </c>
      <c r="K29" s="111">
        <f t="shared" si="10"/>
        <v>0.31456009020272785</v>
      </c>
    </row>
    <row r="30" spans="1:11" s="1" customFormat="1" x14ac:dyDescent="0.2">
      <c r="A30" s="110" t="s">
        <v>77</v>
      </c>
      <c r="B30" s="74"/>
      <c r="C30" s="35"/>
      <c r="D30" s="35">
        <f>SUM(D25,D26,D28)</f>
        <v>132.26275830790394</v>
      </c>
      <c r="E30" s="73"/>
      <c r="F30" s="35"/>
      <c r="G30" s="35">
        <f>SUM(G25,G26,G28)</f>
        <v>130.33275830790393</v>
      </c>
      <c r="H30" s="35">
        <f t="shared" si="1"/>
        <v>-1.9300000000000068</v>
      </c>
      <c r="I30" s="36">
        <f t="shared" si="8"/>
        <v>-1.459216505606984E-2</v>
      </c>
      <c r="J30" s="36">
        <f t="shared" si="9"/>
        <v>0.30028972994724895</v>
      </c>
      <c r="K30" s="111">
        <f t="shared" si="10"/>
        <v>0.30969386721488634</v>
      </c>
    </row>
    <row r="31" spans="1:11" x14ac:dyDescent="0.2">
      <c r="A31" s="107" t="s">
        <v>40</v>
      </c>
      <c r="B31" s="73">
        <f>B8</f>
        <v>2541.5</v>
      </c>
      <c r="C31" s="125">
        <f>VLOOKUP($B$3,'Data for Bill Impacts'!$A$3:$Y$15,15,0)</f>
        <v>6.7400000000000003E-3</v>
      </c>
      <c r="D31" s="22">
        <f>B31*C31</f>
        <v>17.129709999999999</v>
      </c>
      <c r="E31" s="73">
        <f t="shared" si="6"/>
        <v>2541.5</v>
      </c>
      <c r="F31" s="125">
        <f>VLOOKUP($B$3,'Data for Bill Impacts'!$A$3:$Y$15,24,0)</f>
        <v>6.7400000000000003E-3</v>
      </c>
      <c r="G31" s="22">
        <f>E31*F31</f>
        <v>17.129709999999999</v>
      </c>
      <c r="H31" s="22">
        <f t="shared" si="1"/>
        <v>0</v>
      </c>
      <c r="I31" s="23">
        <f t="shared" si="8"/>
        <v>0</v>
      </c>
      <c r="J31" s="23">
        <f t="shared" si="9"/>
        <v>3.9467253334902704E-2</v>
      </c>
      <c r="K31" s="108">
        <f t="shared" si="10"/>
        <v>4.0703244549131858E-2</v>
      </c>
    </row>
    <row r="32" spans="1:11" x14ac:dyDescent="0.2">
      <c r="A32" s="107" t="s">
        <v>41</v>
      </c>
      <c r="B32" s="73">
        <f>B8</f>
        <v>2541.5</v>
      </c>
      <c r="C32" s="125">
        <f>VLOOKUP($B$3,'Data for Bill Impacts'!$A$3:$Y$15,16,0)</f>
        <v>5.6299999999999996E-3</v>
      </c>
      <c r="D32" s="22">
        <f>B32*C32</f>
        <v>14.308644999999999</v>
      </c>
      <c r="E32" s="73">
        <f t="shared" si="6"/>
        <v>2541.5</v>
      </c>
      <c r="F32" s="125">
        <f>VLOOKUP($B$3,'Data for Bill Impacts'!$A$3:$Y$15,25,0)</f>
        <v>5.6299999999999996E-3</v>
      </c>
      <c r="G32" s="22">
        <f>E32*F32</f>
        <v>14.308644999999999</v>
      </c>
      <c r="H32" s="22">
        <f t="shared" si="1"/>
        <v>0</v>
      </c>
      <c r="I32" s="23">
        <f t="shared" si="8"/>
        <v>0</v>
      </c>
      <c r="J32" s="23">
        <f t="shared" si="9"/>
        <v>3.2967453453338603E-2</v>
      </c>
      <c r="K32" s="108">
        <f t="shared" si="10"/>
        <v>3.3999891218340114E-2</v>
      </c>
    </row>
    <row r="33" spans="1:11" s="1" customFormat="1" x14ac:dyDescent="0.2">
      <c r="A33" s="110" t="s">
        <v>76</v>
      </c>
      <c r="B33" s="74"/>
      <c r="C33" s="35"/>
      <c r="D33" s="35">
        <f>SUM(D31:D32)</f>
        <v>31.438354999999998</v>
      </c>
      <c r="E33" s="73"/>
      <c r="F33" s="35"/>
      <c r="G33" s="35">
        <f>SUM(G31:G32)</f>
        <v>31.438354999999998</v>
      </c>
      <c r="H33" s="35">
        <f t="shared" si="1"/>
        <v>0</v>
      </c>
      <c r="I33" s="36">
        <f t="shared" si="8"/>
        <v>0</v>
      </c>
      <c r="J33" s="36">
        <f t="shared" si="9"/>
        <v>7.2434706788241307E-2</v>
      </c>
      <c r="K33" s="111">
        <f t="shared" si="10"/>
        <v>7.4703135767471979E-2</v>
      </c>
    </row>
    <row r="34" spans="1:11" s="1" customFormat="1" x14ac:dyDescent="0.2">
      <c r="A34" s="110" t="s">
        <v>91</v>
      </c>
      <c r="B34" s="74"/>
      <c r="C34" s="35"/>
      <c r="D34" s="35">
        <f>D29+D33</f>
        <v>165.74903330790394</v>
      </c>
      <c r="E34" s="73"/>
      <c r="F34" s="35"/>
      <c r="G34" s="35">
        <f>G29+G33</f>
        <v>163.81903330790394</v>
      </c>
      <c r="H34" s="35">
        <f t="shared" si="1"/>
        <v>-1.9300000000000068</v>
      </c>
      <c r="I34" s="36">
        <f t="shared" si="8"/>
        <v>-1.1644110143404211E-2</v>
      </c>
      <c r="J34" s="36">
        <f t="shared" si="9"/>
        <v>0.37744289241568646</v>
      </c>
      <c r="K34" s="111">
        <f t="shared" si="10"/>
        <v>0.38926322597019986</v>
      </c>
    </row>
    <row r="35" spans="1:11" s="1" customFormat="1" x14ac:dyDescent="0.2">
      <c r="A35" s="110" t="s">
        <v>92</v>
      </c>
      <c r="B35" s="74"/>
      <c r="C35" s="35"/>
      <c r="D35" s="35">
        <f>D30+D33</f>
        <v>163.70111330790394</v>
      </c>
      <c r="E35" s="73"/>
      <c r="F35" s="35"/>
      <c r="G35" s="35">
        <f>G30+G33</f>
        <v>161.77111330790393</v>
      </c>
      <c r="H35" s="35">
        <f t="shared" si="1"/>
        <v>-1.9300000000000068</v>
      </c>
      <c r="I35" s="36">
        <f t="shared" si="8"/>
        <v>-1.1789779317932233E-2</v>
      </c>
      <c r="J35" s="36">
        <f t="shared" si="9"/>
        <v>0.37272443673549022</v>
      </c>
      <c r="K35" s="111">
        <f t="shared" si="10"/>
        <v>0.38439700298235835</v>
      </c>
    </row>
    <row r="36" spans="1:11" x14ac:dyDescent="0.2">
      <c r="A36" s="107" t="s">
        <v>42</v>
      </c>
      <c r="B36" s="73">
        <f>B8</f>
        <v>2541.5</v>
      </c>
      <c r="C36" s="34">
        <v>3.5999999999999999E-3</v>
      </c>
      <c r="D36" s="22">
        <f>B36*C36</f>
        <v>9.1494</v>
      </c>
      <c r="E36" s="73">
        <f t="shared" si="6"/>
        <v>2541.5</v>
      </c>
      <c r="F36" s="34">
        <v>3.5999999999999999E-3</v>
      </c>
      <c r="G36" s="22">
        <f>E36*F36</f>
        <v>9.1494</v>
      </c>
      <c r="H36" s="22">
        <f t="shared" si="1"/>
        <v>0</v>
      </c>
      <c r="I36" s="23">
        <f t="shared" si="8"/>
        <v>0</v>
      </c>
      <c r="J36" s="23">
        <f t="shared" si="9"/>
        <v>2.1080432048315983E-2</v>
      </c>
      <c r="K36" s="108">
        <f t="shared" si="10"/>
        <v>2.1740605397162421E-2</v>
      </c>
    </row>
    <row r="37" spans="1:11" x14ac:dyDescent="0.2">
      <c r="A37" s="107" t="s">
        <v>43</v>
      </c>
      <c r="B37" s="73">
        <f>B8</f>
        <v>2541.5</v>
      </c>
      <c r="C37" s="34">
        <v>2.0999999999999999E-3</v>
      </c>
      <c r="D37" s="22">
        <f>B37*C37</f>
        <v>5.3371499999999994</v>
      </c>
      <c r="E37" s="73">
        <f t="shared" si="6"/>
        <v>2541.5</v>
      </c>
      <c r="F37" s="34">
        <v>2.0999999999999999E-3</v>
      </c>
      <c r="G37" s="22">
        <f>E37*F37</f>
        <v>5.3371499999999994</v>
      </c>
      <c r="H37" s="22">
        <f>G37-D37</f>
        <v>0</v>
      </c>
      <c r="I37" s="23">
        <f t="shared" si="8"/>
        <v>0</v>
      </c>
      <c r="J37" s="23">
        <f t="shared" si="9"/>
        <v>1.229691869485099E-2</v>
      </c>
      <c r="K37" s="108">
        <f t="shared" si="10"/>
        <v>1.268201981501141E-2</v>
      </c>
    </row>
    <row r="38" spans="1:11" x14ac:dyDescent="0.2">
      <c r="A38" s="107" t="s">
        <v>96</v>
      </c>
      <c r="B38" s="73">
        <f>B8</f>
        <v>2541.5</v>
      </c>
      <c r="C38" s="34">
        <v>0</v>
      </c>
      <c r="D38" s="22">
        <f>B38*C38</f>
        <v>0</v>
      </c>
      <c r="E38" s="73">
        <f t="shared" si="6"/>
        <v>2541.5</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5.7600585962784404E-4</v>
      </c>
      <c r="K39" s="108">
        <f t="shared" si="10"/>
        <v>5.940445656863406E-4</v>
      </c>
    </row>
    <row r="40" spans="1:11" s="1" customFormat="1" x14ac:dyDescent="0.2">
      <c r="A40" s="110" t="s">
        <v>45</v>
      </c>
      <c r="B40" s="74"/>
      <c r="C40" s="35"/>
      <c r="D40" s="35">
        <f>SUM(D36:D39)</f>
        <v>14.736549999999999</v>
      </c>
      <c r="E40" s="73"/>
      <c r="F40" s="35"/>
      <c r="G40" s="35">
        <f>SUM(G36:G39)</f>
        <v>14.736549999999999</v>
      </c>
      <c r="H40" s="35">
        <f t="shared" si="1"/>
        <v>0</v>
      </c>
      <c r="I40" s="36">
        <f t="shared" si="8"/>
        <v>0</v>
      </c>
      <c r="J40" s="36">
        <f t="shared" si="9"/>
        <v>3.3953356602794818E-2</v>
      </c>
      <c r="K40" s="111">
        <f t="shared" si="10"/>
        <v>3.5016669777860172E-2</v>
      </c>
    </row>
    <row r="41" spans="1:11" s="1" customFormat="1" ht="13.5" thickBot="1" x14ac:dyDescent="0.25">
      <c r="A41" s="112" t="s">
        <v>46</v>
      </c>
      <c r="B41" s="113">
        <f>B4</f>
        <v>2300</v>
      </c>
      <c r="C41" s="114">
        <v>0</v>
      </c>
      <c r="D41" s="115">
        <f>B41*C41</f>
        <v>0</v>
      </c>
      <c r="E41" s="116">
        <f t="shared" si="6"/>
        <v>2300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415.28558330790395</v>
      </c>
      <c r="E42" s="38"/>
      <c r="F42" s="39"/>
      <c r="G42" s="39">
        <f>SUM(G14,G25,G26,G27,G33,G40,G41)</f>
        <v>413.35558330790394</v>
      </c>
      <c r="H42" s="39">
        <f t="shared" si="1"/>
        <v>-1.9300000000000068</v>
      </c>
      <c r="I42" s="40">
        <f t="shared" si="8"/>
        <v>-4.6474042865317878E-3</v>
      </c>
      <c r="J42" s="40">
        <f t="shared" si="9"/>
        <v>0.95238095238095244</v>
      </c>
      <c r="K42" s="41"/>
    </row>
    <row r="43" spans="1:11" x14ac:dyDescent="0.2">
      <c r="A43" s="153" t="s">
        <v>102</v>
      </c>
      <c r="B43" s="43"/>
      <c r="C43" s="26">
        <v>0.13</v>
      </c>
      <c r="D43" s="26">
        <f>D42*C43</f>
        <v>53.987125830027516</v>
      </c>
      <c r="E43" s="26"/>
      <c r="F43" s="26">
        <f>C43</f>
        <v>0.13</v>
      </c>
      <c r="G43" s="26">
        <f>G42*F43</f>
        <v>53.736225830027514</v>
      </c>
      <c r="H43" s="26">
        <f t="shared" si="1"/>
        <v>-0.25090000000000146</v>
      </c>
      <c r="I43" s="44">
        <f t="shared" si="8"/>
        <v>-4.6474042865317982E-3</v>
      </c>
      <c r="J43" s="44">
        <f t="shared" si="9"/>
        <v>0.12380952380952381</v>
      </c>
      <c r="K43" s="45"/>
    </row>
    <row r="44" spans="1:11" s="1" customFormat="1" x14ac:dyDescent="0.2">
      <c r="A44" s="46" t="s">
        <v>103</v>
      </c>
      <c r="B44" s="24"/>
      <c r="C44" s="25"/>
      <c r="D44" s="25">
        <f>SUM(D42:D43)</f>
        <v>469.27270913793149</v>
      </c>
      <c r="E44" s="25"/>
      <c r="F44" s="25"/>
      <c r="G44" s="25">
        <f>SUM(G42:G43)</f>
        <v>467.09180913793148</v>
      </c>
      <c r="H44" s="25">
        <f t="shared" si="1"/>
        <v>-2.1809000000000083</v>
      </c>
      <c r="I44" s="27">
        <f t="shared" si="8"/>
        <v>-4.6474042865317896E-3</v>
      </c>
      <c r="J44" s="27">
        <f t="shared" si="9"/>
        <v>1.0761904761904764</v>
      </c>
      <c r="K44" s="47"/>
    </row>
    <row r="45" spans="1:11" x14ac:dyDescent="0.2">
      <c r="A45" s="42" t="s">
        <v>104</v>
      </c>
      <c r="B45" s="43"/>
      <c r="C45" s="26">
        <v>-0.08</v>
      </c>
      <c r="D45" s="26">
        <f>D42*C45</f>
        <v>-33.222846664632314</v>
      </c>
      <c r="E45" s="26"/>
      <c r="F45" s="26">
        <f>C45</f>
        <v>-0.08</v>
      </c>
      <c r="G45" s="26">
        <f>G42*F45</f>
        <v>-33.068446664632319</v>
      </c>
      <c r="H45" s="26">
        <f t="shared" si="1"/>
        <v>0.15439999999999543</v>
      </c>
      <c r="I45" s="44">
        <f t="shared" si="8"/>
        <v>4.6474042865316343E-3</v>
      </c>
      <c r="J45" s="44">
        <f t="shared" si="9"/>
        <v>-7.6190476190476197E-2</v>
      </c>
      <c r="K45" s="45"/>
    </row>
    <row r="46" spans="1:11" s="1" customFormat="1" ht="13.5" thickBot="1" x14ac:dyDescent="0.25">
      <c r="A46" s="48" t="s">
        <v>105</v>
      </c>
      <c r="B46" s="49"/>
      <c r="C46" s="50"/>
      <c r="D46" s="50">
        <f>SUM(D44:D45)</f>
        <v>436.04986247329919</v>
      </c>
      <c r="E46" s="50"/>
      <c r="F46" s="50"/>
      <c r="G46" s="50">
        <f>SUM(G44:G45)</f>
        <v>434.02336247329913</v>
      </c>
      <c r="H46" s="50">
        <f t="shared" si="1"/>
        <v>-2.0265000000000555</v>
      </c>
      <c r="I46" s="51">
        <f t="shared" si="8"/>
        <v>-4.6474042865318988E-3</v>
      </c>
      <c r="J46" s="51">
        <f t="shared" si="9"/>
        <v>1</v>
      </c>
      <c r="K46" s="52"/>
    </row>
    <row r="47" spans="1:11" x14ac:dyDescent="0.2">
      <c r="A47" s="53" t="s">
        <v>106</v>
      </c>
      <c r="B47" s="54"/>
      <c r="C47" s="55"/>
      <c r="D47" s="55">
        <f>SUM(D18,D25,D26,D28,D33,D40,D41)</f>
        <v>402.73366330790401</v>
      </c>
      <c r="E47" s="55"/>
      <c r="F47" s="55"/>
      <c r="G47" s="55">
        <f>SUM(G18,G25,G26,G28,G33,G40,G41)</f>
        <v>400.80366330790395</v>
      </c>
      <c r="H47" s="55">
        <f>G47-D47</f>
        <v>-1.9300000000000637</v>
      </c>
      <c r="I47" s="56">
        <f t="shared" si="8"/>
        <v>-4.7922490117855163E-3</v>
      </c>
      <c r="J47" s="56"/>
      <c r="K47" s="57">
        <f>G47/$G$51</f>
        <v>0.95238095238095233</v>
      </c>
    </row>
    <row r="48" spans="1:11" x14ac:dyDescent="0.2">
      <c r="A48" s="58" t="s">
        <v>102</v>
      </c>
      <c r="B48" s="59"/>
      <c r="C48" s="31">
        <v>0.13</v>
      </c>
      <c r="D48" s="31">
        <f>D47*C48</f>
        <v>52.355376230027524</v>
      </c>
      <c r="E48" s="31"/>
      <c r="F48" s="31">
        <f>C48</f>
        <v>0.13</v>
      </c>
      <c r="G48" s="31">
        <f>G47*F48</f>
        <v>52.104476230027515</v>
      </c>
      <c r="H48" s="31">
        <f>G48-D48</f>
        <v>-0.25090000000000856</v>
      </c>
      <c r="I48" s="32">
        <f t="shared" si="8"/>
        <v>-4.7922490117855206E-3</v>
      </c>
      <c r="J48" s="32"/>
      <c r="K48" s="60">
        <f>G48/$G$51</f>
        <v>0.12380952380952381</v>
      </c>
    </row>
    <row r="49" spans="1:11" x14ac:dyDescent="0.2">
      <c r="A49" s="61" t="s">
        <v>107</v>
      </c>
      <c r="B49" s="29"/>
      <c r="C49" s="30"/>
      <c r="D49" s="30">
        <f>SUM(D47:D48)</f>
        <v>455.08903953793151</v>
      </c>
      <c r="E49" s="30"/>
      <c r="F49" s="30"/>
      <c r="G49" s="30">
        <f>SUM(G47:G48)</f>
        <v>452.90813953793145</v>
      </c>
      <c r="H49" s="30">
        <f>G49-D49</f>
        <v>-2.1809000000000651</v>
      </c>
      <c r="I49" s="33">
        <f t="shared" si="8"/>
        <v>-4.7922490117855007E-3</v>
      </c>
      <c r="J49" s="33"/>
      <c r="K49" s="62">
        <f>G49/$G$51</f>
        <v>1.0761904761904761</v>
      </c>
    </row>
    <row r="50" spans="1:11" x14ac:dyDescent="0.2">
      <c r="A50" s="58" t="s">
        <v>104</v>
      </c>
      <c r="B50" s="59"/>
      <c r="C50" s="31">
        <v>-0.08</v>
      </c>
      <c r="D50" s="31">
        <f>D47*C50</f>
        <v>-32.218693064632319</v>
      </c>
      <c r="E50" s="31"/>
      <c r="F50" s="31">
        <f>C50</f>
        <v>-0.08</v>
      </c>
      <c r="G50" s="31">
        <f>G47*F50</f>
        <v>-32.064293064632317</v>
      </c>
      <c r="H50" s="31">
        <f>G50-D50</f>
        <v>0.15440000000000254</v>
      </c>
      <c r="I50" s="32">
        <f t="shared" si="8"/>
        <v>4.7922490117854365E-3</v>
      </c>
      <c r="J50" s="32"/>
      <c r="K50" s="60">
        <f>G50/$G$51</f>
        <v>-7.6190476190476197E-2</v>
      </c>
    </row>
    <row r="51" spans="1:11" ht="13.5" thickBot="1" x14ac:dyDescent="0.25">
      <c r="A51" s="63" t="s">
        <v>116</v>
      </c>
      <c r="B51" s="64"/>
      <c r="C51" s="65"/>
      <c r="D51" s="65">
        <f>SUM(D49:D50)</f>
        <v>422.87034647329921</v>
      </c>
      <c r="E51" s="65"/>
      <c r="F51" s="65"/>
      <c r="G51" s="65">
        <f>SUM(G49:G50)</f>
        <v>420.84384647329915</v>
      </c>
      <c r="H51" s="65">
        <f>G51-D51</f>
        <v>-2.0265000000000555</v>
      </c>
      <c r="I51" s="66">
        <f t="shared" si="8"/>
        <v>-4.7922490117854894E-3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tint="0.499984740745262"/>
    <pageSetUpPr fitToPage="1"/>
  </sheetPr>
  <dimension ref="A1:K68"/>
  <sheetViews>
    <sheetView tabSelected="1" view="pageLayout" topLeftCell="A4"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117</v>
      </c>
      <c r="B1" s="189"/>
      <c r="C1" s="189"/>
      <c r="D1" s="189"/>
      <c r="E1" s="189"/>
      <c r="F1" s="189"/>
      <c r="G1" s="189"/>
      <c r="H1" s="189"/>
      <c r="I1" s="189"/>
      <c r="J1" s="189"/>
      <c r="K1" s="190"/>
    </row>
    <row r="3" spans="1:11" x14ac:dyDescent="0.2">
      <c r="A3" s="13" t="s">
        <v>13</v>
      </c>
      <c r="B3" s="13" t="s">
        <v>3</v>
      </c>
    </row>
    <row r="4" spans="1:11" x14ac:dyDescent="0.2">
      <c r="A4" s="15" t="s">
        <v>62</v>
      </c>
      <c r="B4" s="15">
        <v>50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5">
        <f>B4*B6</f>
        <v>55.2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50</v>
      </c>
      <c r="C12" s="103">
        <v>9.0999999999999998E-2</v>
      </c>
      <c r="D12" s="104">
        <f>B12*C12</f>
        <v>4.55</v>
      </c>
      <c r="E12" s="102">
        <f>B12</f>
        <v>50</v>
      </c>
      <c r="F12" s="103">
        <f>C12</f>
        <v>9.0999999999999998E-2</v>
      </c>
      <c r="G12" s="104">
        <f>E12*F12</f>
        <v>4.55</v>
      </c>
      <c r="H12" s="104">
        <f>G12-D12</f>
        <v>0</v>
      </c>
      <c r="I12" s="105">
        <f t="shared" ref="I12:I18" si="0">IF(ISERROR(H12/ABS(D12)),"N/A",(H12/ABS(D12)))</f>
        <v>0</v>
      </c>
      <c r="J12" s="105">
        <f>G12/$G$46</f>
        <v>7.3198605736381511E-2</v>
      </c>
      <c r="K12" s="106"/>
    </row>
    <row r="13" spans="1:11" x14ac:dyDescent="0.2">
      <c r="A13" s="107" t="s">
        <v>32</v>
      </c>
      <c r="B13" s="73">
        <f>IF(B4&gt;B7,(B4)-B7,0)</f>
        <v>0</v>
      </c>
      <c r="C13" s="21">
        <v>0.106</v>
      </c>
      <c r="D13" s="22">
        <f>B13*C13</f>
        <v>0</v>
      </c>
      <c r="E13" s="73">
        <f>B13</f>
        <v>0</v>
      </c>
      <c r="F13" s="21">
        <f>C13</f>
        <v>0.106</v>
      </c>
      <c r="G13" s="22">
        <f>E13*F13</f>
        <v>0</v>
      </c>
      <c r="H13" s="22">
        <f t="shared" ref="H13:H46" si="1">G13-D13</f>
        <v>0</v>
      </c>
      <c r="I13" s="23" t="str">
        <f t="shared" si="0"/>
        <v>N/A</v>
      </c>
      <c r="J13" s="23">
        <f>G13/$G$46</f>
        <v>0</v>
      </c>
      <c r="K13" s="108"/>
    </row>
    <row r="14" spans="1:11" s="1" customFormat="1" x14ac:dyDescent="0.2">
      <c r="A14" s="46" t="s">
        <v>33</v>
      </c>
      <c r="B14" s="24"/>
      <c r="C14" s="25"/>
      <c r="D14" s="25">
        <f>SUM(D12:D13)</f>
        <v>4.55</v>
      </c>
      <c r="E14" s="76"/>
      <c r="F14" s="25"/>
      <c r="G14" s="25">
        <f>SUM(G12:G13)</f>
        <v>4.55</v>
      </c>
      <c r="H14" s="25">
        <f t="shared" si="1"/>
        <v>0</v>
      </c>
      <c r="I14" s="27">
        <f t="shared" si="0"/>
        <v>0</v>
      </c>
      <c r="J14" s="27">
        <f>G14/$G$46</f>
        <v>7.3198605736381511E-2</v>
      </c>
      <c r="K14" s="108"/>
    </row>
    <row r="15" spans="1:11" s="1" customFormat="1" x14ac:dyDescent="0.2">
      <c r="A15" s="109" t="s">
        <v>34</v>
      </c>
      <c r="B15" s="75">
        <f>B4*0.65</f>
        <v>32.5</v>
      </c>
      <c r="C15" s="28">
        <v>7.6999999999999999E-2</v>
      </c>
      <c r="D15" s="22">
        <f>B15*C15</f>
        <v>2.5024999999999999</v>
      </c>
      <c r="E15" s="73">
        <f t="shared" ref="E15:F17" si="2">B15</f>
        <v>32.5</v>
      </c>
      <c r="F15" s="28">
        <f t="shared" si="2"/>
        <v>7.6999999999999999E-2</v>
      </c>
      <c r="G15" s="22">
        <f>E15*F15</f>
        <v>2.5024999999999999</v>
      </c>
      <c r="H15" s="22">
        <f t="shared" si="1"/>
        <v>0</v>
      </c>
      <c r="I15" s="23">
        <f t="shared" si="0"/>
        <v>0</v>
      </c>
      <c r="J15" s="23"/>
      <c r="K15" s="108">
        <f t="shared" ref="K15:K26" si="3">G15/$G$51</f>
        <v>4.0015956415788853E-2</v>
      </c>
    </row>
    <row r="16" spans="1:11" s="1" customFormat="1" x14ac:dyDescent="0.2">
      <c r="A16" s="109" t="s">
        <v>35</v>
      </c>
      <c r="B16" s="75">
        <f>B4*0.17</f>
        <v>8.5</v>
      </c>
      <c r="C16" s="28">
        <v>0.113</v>
      </c>
      <c r="D16" s="22">
        <f>B16*C16</f>
        <v>0.96050000000000002</v>
      </c>
      <c r="E16" s="73">
        <f t="shared" si="2"/>
        <v>8.5</v>
      </c>
      <c r="F16" s="28">
        <f t="shared" si="2"/>
        <v>0.113</v>
      </c>
      <c r="G16" s="22">
        <f>E16*F16</f>
        <v>0.96050000000000002</v>
      </c>
      <c r="H16" s="22">
        <f t="shared" si="1"/>
        <v>0</v>
      </c>
      <c r="I16" s="23">
        <f t="shared" si="0"/>
        <v>0</v>
      </c>
      <c r="J16" s="23"/>
      <c r="K16" s="108">
        <f t="shared" si="3"/>
        <v>1.5358771683262816E-2</v>
      </c>
    </row>
    <row r="17" spans="1:11" s="1" customFormat="1" x14ac:dyDescent="0.2">
      <c r="A17" s="109" t="s">
        <v>36</v>
      </c>
      <c r="B17" s="75">
        <f>B4*0.18</f>
        <v>9</v>
      </c>
      <c r="C17" s="28">
        <v>0.157</v>
      </c>
      <c r="D17" s="22">
        <f>B17*C17</f>
        <v>1.413</v>
      </c>
      <c r="E17" s="73">
        <f t="shared" si="2"/>
        <v>9</v>
      </c>
      <c r="F17" s="28">
        <f t="shared" si="2"/>
        <v>0.157</v>
      </c>
      <c r="G17" s="22">
        <f>E17*F17</f>
        <v>1.413</v>
      </c>
      <c r="H17" s="22">
        <f t="shared" si="1"/>
        <v>0</v>
      </c>
      <c r="I17" s="23">
        <f t="shared" si="0"/>
        <v>0</v>
      </c>
      <c r="J17" s="23"/>
      <c r="K17" s="108">
        <f t="shared" si="3"/>
        <v>2.2594424142061798E-2</v>
      </c>
    </row>
    <row r="18" spans="1:11" s="1" customFormat="1" x14ac:dyDescent="0.2">
      <c r="A18" s="61" t="s">
        <v>37</v>
      </c>
      <c r="B18" s="29"/>
      <c r="C18" s="30"/>
      <c r="D18" s="30">
        <f>SUM(D15:D17)</f>
        <v>4.8760000000000003</v>
      </c>
      <c r="E18" s="77"/>
      <c r="F18" s="30"/>
      <c r="G18" s="30">
        <f>SUM(G15:G17)</f>
        <v>4.8760000000000003</v>
      </c>
      <c r="H18" s="31">
        <f t="shared" si="1"/>
        <v>0</v>
      </c>
      <c r="I18" s="32">
        <f t="shared" si="0"/>
        <v>0</v>
      </c>
      <c r="J18" s="33">
        <f t="shared" ref="J18:J26" si="4">G18/$G$46</f>
        <v>7.8443165180350827E-2</v>
      </c>
      <c r="K18" s="62">
        <f t="shared" si="3"/>
        <v>7.7969152241113476E-2</v>
      </c>
    </row>
    <row r="19" spans="1:11" x14ac:dyDescent="0.2">
      <c r="A19" s="107" t="s">
        <v>38</v>
      </c>
      <c r="B19" s="73">
        <v>1</v>
      </c>
      <c r="C19" s="78">
        <f>VLOOKUP($B$3,'Data for Bill Impacts'!$A$3:$Y$15,7,0)</f>
        <v>45.07</v>
      </c>
      <c r="D19" s="22">
        <f t="shared" ref="D19:D24" si="5">B19*C19</f>
        <v>45.07</v>
      </c>
      <c r="E19" s="73">
        <f t="shared" ref="E19:E41" si="6">B19</f>
        <v>1</v>
      </c>
      <c r="F19" s="78">
        <f>VLOOKUP($B$3,'Data for Bill Impacts'!$A$3:$Y$15,17,0)</f>
        <v>50.05</v>
      </c>
      <c r="G19" s="22">
        <f t="shared" ref="G19:G24" si="7">E19*F19</f>
        <v>50.05</v>
      </c>
      <c r="H19" s="22">
        <f t="shared" si="1"/>
        <v>4.9799999999999969</v>
      </c>
      <c r="I19" s="23">
        <f>IF(ISERROR(H19/ABS(D19)),"N/A",(H19/ABS(D19)))</f>
        <v>0.11049478588861764</v>
      </c>
      <c r="J19" s="23">
        <f t="shared" si="4"/>
        <v>0.80518466310019654</v>
      </c>
      <c r="K19" s="108">
        <f t="shared" si="3"/>
        <v>0.80031912831577712</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-2E-3</v>
      </c>
      <c r="D22" s="22">
        <f t="shared" si="5"/>
        <v>-2E-3</v>
      </c>
      <c r="E22" s="73">
        <f t="shared" si="6"/>
        <v>1</v>
      </c>
      <c r="F22" s="121">
        <f>VLOOKUP($B$3,'Data for Bill Impacts'!$A$3:$Y$15,22,0)</f>
        <v>-2E-3</v>
      </c>
      <c r="G22" s="22">
        <f t="shared" si="7"/>
        <v>-2E-3</v>
      </c>
      <c r="H22" s="22">
        <f t="shared" si="1"/>
        <v>0</v>
      </c>
      <c r="I22" s="23">
        <f t="shared" ref="I22:I51" si="8">IF(ISERROR(H22/ABS(D22)),"N/A",(H22/ABS(D22)))</f>
        <v>0</v>
      </c>
      <c r="J22" s="23">
        <f t="shared" si="4"/>
        <v>-3.2175211312695169E-5</v>
      </c>
      <c r="K22" s="108">
        <f t="shared" si="3"/>
        <v>-3.1980784348282804E-5</v>
      </c>
    </row>
    <row r="23" spans="1:11" x14ac:dyDescent="0.2">
      <c r="A23" s="107" t="s">
        <v>39</v>
      </c>
      <c r="B23" s="73">
        <f>IF($B$9="kWh",$B$4,$B$5)</f>
        <v>50</v>
      </c>
      <c r="C23" s="78">
        <f>VLOOKUP($B$3,'Data for Bill Impacts'!$A$3:$Y$15,10,0)</f>
        <v>5.28E-2</v>
      </c>
      <c r="D23" s="22">
        <f t="shared" si="5"/>
        <v>2.64</v>
      </c>
      <c r="E23" s="73">
        <f t="shared" si="6"/>
        <v>50</v>
      </c>
      <c r="F23" s="78">
        <f>VLOOKUP($B$3,'Data for Bill Impacts'!$A$3:$Y$15,19,0)</f>
        <v>4.3900000000000002E-2</v>
      </c>
      <c r="G23" s="22">
        <f t="shared" si="7"/>
        <v>2.1950000000000003</v>
      </c>
      <c r="H23" s="22">
        <f t="shared" si="1"/>
        <v>-0.44499999999999984</v>
      </c>
      <c r="I23" s="23">
        <f t="shared" si="8"/>
        <v>-0.16856060606060599</v>
      </c>
      <c r="J23" s="23">
        <f t="shared" si="4"/>
        <v>3.5312294415682954E-2</v>
      </c>
      <c r="K23" s="108">
        <f t="shared" si="3"/>
        <v>3.5098910822240377E-2</v>
      </c>
    </row>
    <row r="24" spans="1:11" x14ac:dyDescent="0.2">
      <c r="A24" s="107" t="s">
        <v>121</v>
      </c>
      <c r="B24" s="73">
        <f>IF($B$9="kWh",$B$4,$B$5)</f>
        <v>50</v>
      </c>
      <c r="C24" s="125">
        <f>VLOOKUP($B$3,'Data for Bill Impacts'!$A$3:$Y$15,14,0)</f>
        <v>1.0000000000000003E-5</v>
      </c>
      <c r="D24" s="22">
        <f t="shared" si="5"/>
        <v>5.0000000000000012E-4</v>
      </c>
      <c r="E24" s="73">
        <f>B24</f>
        <v>50</v>
      </c>
      <c r="F24" s="125">
        <f>VLOOKUP($B$3,'Data for Bill Impacts'!$A$3:$Y$15,23,0)</f>
        <v>1.0000000000000003E-5</v>
      </c>
      <c r="G24" s="22">
        <f t="shared" si="7"/>
        <v>5.0000000000000012E-4</v>
      </c>
      <c r="H24" s="22">
        <f>G24-D24</f>
        <v>0</v>
      </c>
      <c r="I24" s="23">
        <f t="shared" si="8"/>
        <v>0</v>
      </c>
      <c r="J24" s="23">
        <f t="shared" si="4"/>
        <v>8.0438028281737939E-6</v>
      </c>
      <c r="K24" s="108">
        <f t="shared" si="3"/>
        <v>7.9951960870707027E-6</v>
      </c>
    </row>
    <row r="25" spans="1:11" s="1" customFormat="1" x14ac:dyDescent="0.2">
      <c r="A25" s="110" t="s">
        <v>72</v>
      </c>
      <c r="B25" s="74"/>
      <c r="C25" s="35"/>
      <c r="D25" s="35">
        <f>SUM(D19:D24)</f>
        <v>47.708500000000001</v>
      </c>
      <c r="E25" s="73"/>
      <c r="F25" s="35"/>
      <c r="G25" s="35">
        <f>SUM(G19:G24)</f>
        <v>52.243499999999997</v>
      </c>
      <c r="H25" s="35">
        <f t="shared" si="1"/>
        <v>4.5349999999999966</v>
      </c>
      <c r="I25" s="36">
        <f t="shared" si="8"/>
        <v>9.5056436484064616E-2</v>
      </c>
      <c r="J25" s="36">
        <f t="shared" si="4"/>
        <v>0.84047282610739493</v>
      </c>
      <c r="K25" s="111">
        <f t="shared" si="3"/>
        <v>0.83539405354975627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1.2709208468514591E-2</v>
      </c>
      <c r="K26" s="108">
        <f t="shared" si="3"/>
        <v>1.2632409817571707E-2</v>
      </c>
    </row>
    <row r="27" spans="1:11" s="1" customFormat="1" x14ac:dyDescent="0.2">
      <c r="A27" s="119" t="s">
        <v>75</v>
      </c>
      <c r="B27" s="120">
        <f>B8-B4</f>
        <v>5.2000000000000028</v>
      </c>
      <c r="C27" s="172">
        <f>IF(B4&gt;B7,C13,C12)</f>
        <v>9.0999999999999998E-2</v>
      </c>
      <c r="D27" s="22">
        <f>B27*C27</f>
        <v>0.47320000000000023</v>
      </c>
      <c r="E27" s="73">
        <f>B27</f>
        <v>5.2000000000000028</v>
      </c>
      <c r="F27" s="172">
        <f>C27</f>
        <v>9.0999999999999998E-2</v>
      </c>
      <c r="G27" s="22">
        <f>E27*F27</f>
        <v>0.47320000000000023</v>
      </c>
      <c r="H27" s="22">
        <f t="shared" si="1"/>
        <v>0</v>
      </c>
      <c r="I27" s="23">
        <f t="shared" si="8"/>
        <v>0</v>
      </c>
      <c r="J27" s="23">
        <f t="shared" ref="J27:J46" si="9">G27/$G$46</f>
        <v>7.612654996583681E-3</v>
      </c>
      <c r="K27" s="108">
        <f t="shared" ref="K27:K41" si="10">G27/$G$51</f>
        <v>7.5666535768037146E-3</v>
      </c>
    </row>
    <row r="28" spans="1:11" s="1" customFormat="1" x14ac:dyDescent="0.2">
      <c r="A28" s="119" t="s">
        <v>74</v>
      </c>
      <c r="B28" s="120">
        <f>B8-B4</f>
        <v>5.2000000000000028</v>
      </c>
      <c r="C28" s="172">
        <f>0.65*C15+0.17*C16+0.18*C17</f>
        <v>9.7519999999999996E-2</v>
      </c>
      <c r="D28" s="22">
        <f>B28*C28</f>
        <v>0.50710400000000022</v>
      </c>
      <c r="E28" s="73">
        <f>B28</f>
        <v>5.2000000000000028</v>
      </c>
      <c r="F28" s="172">
        <f>C28</f>
        <v>9.7519999999999996E-2</v>
      </c>
      <c r="G28" s="22">
        <f>E28*F28</f>
        <v>0.50710400000000022</v>
      </c>
      <c r="H28" s="22">
        <f t="shared" si="1"/>
        <v>0</v>
      </c>
      <c r="I28" s="23">
        <f t="shared" si="8"/>
        <v>0</v>
      </c>
      <c r="J28" s="23">
        <f t="shared" si="9"/>
        <v>8.1580891787564891E-3</v>
      </c>
      <c r="K28" s="108">
        <f t="shared" si="10"/>
        <v>8.1087918330758051E-3</v>
      </c>
    </row>
    <row r="29" spans="1:11" s="1" customFormat="1" x14ac:dyDescent="0.2">
      <c r="A29" s="110" t="s">
        <v>78</v>
      </c>
      <c r="B29" s="74"/>
      <c r="C29" s="35"/>
      <c r="D29" s="35">
        <f>SUM(D25,D26:D27)</f>
        <v>48.971699999999998</v>
      </c>
      <c r="E29" s="73"/>
      <c r="F29" s="35"/>
      <c r="G29" s="35">
        <f>SUM(G25,G26:G27)</f>
        <v>53.506699999999995</v>
      </c>
      <c r="H29" s="35">
        <f t="shared" si="1"/>
        <v>4.5349999999999966</v>
      </c>
      <c r="I29" s="36">
        <f t="shared" si="8"/>
        <v>9.2604504234077983E-2</v>
      </c>
      <c r="J29" s="36">
        <f t="shared" si="9"/>
        <v>0.86079468957249317</v>
      </c>
      <c r="K29" s="111">
        <f t="shared" si="10"/>
        <v>0.85559311694413165</v>
      </c>
    </row>
    <row r="30" spans="1:11" s="1" customFormat="1" x14ac:dyDescent="0.2">
      <c r="A30" s="110" t="s">
        <v>77</v>
      </c>
      <c r="B30" s="74"/>
      <c r="C30" s="35"/>
      <c r="D30" s="35">
        <f>SUM(D25,D26,D28)</f>
        <v>49.005603999999998</v>
      </c>
      <c r="E30" s="73"/>
      <c r="F30" s="35"/>
      <c r="G30" s="35">
        <f>SUM(G25,G26,G28)</f>
        <v>53.540603999999995</v>
      </c>
      <c r="H30" s="35">
        <f t="shared" si="1"/>
        <v>4.5349999999999966</v>
      </c>
      <c r="I30" s="36">
        <f t="shared" si="8"/>
        <v>9.2540436803921378E-2</v>
      </c>
      <c r="J30" s="36">
        <f t="shared" si="9"/>
        <v>0.86134012375466595</v>
      </c>
      <c r="K30" s="111">
        <f t="shared" si="10"/>
        <v>0.85613525520040368</v>
      </c>
    </row>
    <row r="31" spans="1:11" x14ac:dyDescent="0.2">
      <c r="A31" s="107" t="s">
        <v>40</v>
      </c>
      <c r="B31" s="73">
        <f>B8</f>
        <v>55.2</v>
      </c>
      <c r="C31" s="125">
        <f>VLOOKUP($B$3,'Data for Bill Impacts'!$A$3:$Y$15,15,0)</f>
        <v>5.6559999999999996E-3</v>
      </c>
      <c r="D31" s="22">
        <f>B31*C31</f>
        <v>0.31221119999999997</v>
      </c>
      <c r="E31" s="73">
        <f t="shared" si="6"/>
        <v>55.2</v>
      </c>
      <c r="F31" s="125">
        <f>VLOOKUP($B$3,'Data for Bill Impacts'!$A$3:$Y$15,24,0)</f>
        <v>5.6559999999999996E-3</v>
      </c>
      <c r="G31" s="22">
        <f>E31*F31</f>
        <v>0.31221119999999997</v>
      </c>
      <c r="H31" s="22">
        <f t="shared" si="1"/>
        <v>0</v>
      </c>
      <c r="I31" s="23">
        <f t="shared" si="8"/>
        <v>0</v>
      </c>
      <c r="J31" s="23">
        <f t="shared" si="9"/>
        <v>5.0227306670950662E-3</v>
      </c>
      <c r="K31" s="108">
        <f t="shared" si="10"/>
        <v>4.9923795291592953E-3</v>
      </c>
    </row>
    <row r="32" spans="1:11" x14ac:dyDescent="0.2">
      <c r="A32" s="107" t="s">
        <v>41</v>
      </c>
      <c r="B32" s="73">
        <f>B8</f>
        <v>55.2</v>
      </c>
      <c r="C32" s="125">
        <f>VLOOKUP($B$3,'Data for Bill Impacts'!$A$3:$Y$15,16,0)</f>
        <v>4.8209999999999998E-3</v>
      </c>
      <c r="D32" s="22">
        <f>B32*C32</f>
        <v>0.2661192</v>
      </c>
      <c r="E32" s="73">
        <f t="shared" si="6"/>
        <v>55.2</v>
      </c>
      <c r="F32" s="125">
        <f>VLOOKUP($B$3,'Data for Bill Impacts'!$A$3:$Y$15,25,0)</f>
        <v>4.8209999999999998E-3</v>
      </c>
      <c r="G32" s="22">
        <f>E32*F32</f>
        <v>0.2661192</v>
      </c>
      <c r="H32" s="22">
        <f t="shared" si="1"/>
        <v>0</v>
      </c>
      <c r="I32" s="23">
        <f t="shared" si="8"/>
        <v>0</v>
      </c>
      <c r="J32" s="23">
        <f t="shared" si="9"/>
        <v>4.2812207471826938E-3</v>
      </c>
      <c r="K32" s="108">
        <f t="shared" si="10"/>
        <v>4.2553503730687701E-3</v>
      </c>
    </row>
    <row r="33" spans="1:11" s="1" customFormat="1" x14ac:dyDescent="0.2">
      <c r="A33" s="110" t="s">
        <v>76</v>
      </c>
      <c r="B33" s="74"/>
      <c r="C33" s="35"/>
      <c r="D33" s="35">
        <f>SUM(D31:D32)</f>
        <v>0.57833040000000002</v>
      </c>
      <c r="E33" s="73"/>
      <c r="F33" s="35"/>
      <c r="G33" s="35">
        <f>SUM(G31:G32)</f>
        <v>0.57833040000000002</v>
      </c>
      <c r="H33" s="35">
        <f t="shared" si="1"/>
        <v>0</v>
      </c>
      <c r="I33" s="36">
        <f t="shared" si="8"/>
        <v>0</v>
      </c>
      <c r="J33" s="36">
        <f t="shared" si="9"/>
        <v>9.3039514142777609E-3</v>
      </c>
      <c r="K33" s="111">
        <f t="shared" si="10"/>
        <v>9.2477299022280662E-3</v>
      </c>
    </row>
    <row r="34" spans="1:11" s="1" customFormat="1" x14ac:dyDescent="0.2">
      <c r="A34" s="110" t="s">
        <v>91</v>
      </c>
      <c r="B34" s="74"/>
      <c r="C34" s="35"/>
      <c r="D34" s="35">
        <f>D29+D33</f>
        <v>49.550030399999997</v>
      </c>
      <c r="E34" s="73"/>
      <c r="F34" s="35"/>
      <c r="G34" s="35">
        <f>G29+G33</f>
        <v>54.085030399999994</v>
      </c>
      <c r="H34" s="35">
        <f t="shared" si="1"/>
        <v>4.5349999999999966</v>
      </c>
      <c r="I34" s="36">
        <f t="shared" si="8"/>
        <v>9.1523657269037662E-2</v>
      </c>
      <c r="J34" s="36">
        <f t="shared" si="9"/>
        <v>0.87009864098677092</v>
      </c>
      <c r="K34" s="111">
        <f t="shared" si="10"/>
        <v>0.86484084684635965</v>
      </c>
    </row>
    <row r="35" spans="1:11" s="1" customFormat="1" x14ac:dyDescent="0.2">
      <c r="A35" s="110" t="s">
        <v>92</v>
      </c>
      <c r="B35" s="74"/>
      <c r="C35" s="35"/>
      <c r="D35" s="35">
        <f>D30+D33</f>
        <v>49.583934399999997</v>
      </c>
      <c r="E35" s="73"/>
      <c r="F35" s="35"/>
      <c r="G35" s="35">
        <f>G30+G33</f>
        <v>54.118934399999993</v>
      </c>
      <c r="H35" s="35">
        <f t="shared" si="1"/>
        <v>4.5349999999999966</v>
      </c>
      <c r="I35" s="36">
        <f t="shared" si="8"/>
        <v>9.1461076150504042E-2</v>
      </c>
      <c r="J35" s="36">
        <f t="shared" si="9"/>
        <v>0.87064407516894371</v>
      </c>
      <c r="K35" s="111">
        <f t="shared" si="10"/>
        <v>0.86538298510263179</v>
      </c>
    </row>
    <row r="36" spans="1:11" x14ac:dyDescent="0.2">
      <c r="A36" s="107" t="s">
        <v>42</v>
      </c>
      <c r="B36" s="73">
        <f>B8</f>
        <v>55.2</v>
      </c>
      <c r="C36" s="34">
        <v>3.5999999999999999E-3</v>
      </c>
      <c r="D36" s="22">
        <f>B36*C36</f>
        <v>0.19872000000000001</v>
      </c>
      <c r="E36" s="73">
        <f t="shared" si="6"/>
        <v>55.2</v>
      </c>
      <c r="F36" s="34">
        <v>3.5999999999999999E-3</v>
      </c>
      <c r="G36" s="22">
        <f>E36*F36</f>
        <v>0.19872000000000001</v>
      </c>
      <c r="H36" s="22">
        <f t="shared" si="1"/>
        <v>0</v>
      </c>
      <c r="I36" s="23">
        <f t="shared" si="8"/>
        <v>0</v>
      </c>
      <c r="J36" s="23">
        <f t="shared" si="9"/>
        <v>3.1969289960293921E-3</v>
      </c>
      <c r="K36" s="108">
        <f t="shared" si="10"/>
        <v>3.1776107328453794E-3</v>
      </c>
    </row>
    <row r="37" spans="1:11" x14ac:dyDescent="0.2">
      <c r="A37" s="107" t="s">
        <v>43</v>
      </c>
      <c r="B37" s="73">
        <f>B8</f>
        <v>55.2</v>
      </c>
      <c r="C37" s="34">
        <v>2.0999999999999999E-3</v>
      </c>
      <c r="D37" s="22">
        <f>B37*C37</f>
        <v>0.11592</v>
      </c>
      <c r="E37" s="73">
        <f t="shared" si="6"/>
        <v>55.2</v>
      </c>
      <c r="F37" s="34">
        <v>2.0999999999999999E-3</v>
      </c>
      <c r="G37" s="22">
        <f>E37*F37</f>
        <v>0.11592</v>
      </c>
      <c r="H37" s="22">
        <f>G37-D37</f>
        <v>0</v>
      </c>
      <c r="I37" s="23">
        <f t="shared" si="8"/>
        <v>0</v>
      </c>
      <c r="J37" s="23">
        <f t="shared" si="9"/>
        <v>1.8648752476838118E-3</v>
      </c>
      <c r="K37" s="108">
        <f t="shared" si="10"/>
        <v>1.8536062608264711E-3</v>
      </c>
    </row>
    <row r="38" spans="1:11" x14ac:dyDescent="0.2">
      <c r="A38" s="107" t="s">
        <v>96</v>
      </c>
      <c r="B38" s="73">
        <f>B8</f>
        <v>55.2</v>
      </c>
      <c r="C38" s="34">
        <v>0</v>
      </c>
      <c r="D38" s="22">
        <f>B38*C38</f>
        <v>0</v>
      </c>
      <c r="E38" s="73">
        <f t="shared" si="6"/>
        <v>55.2</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4.0219014140868963E-3</v>
      </c>
      <c r="K39" s="108">
        <f t="shared" si="10"/>
        <v>3.9975980435353504E-3</v>
      </c>
    </row>
    <row r="40" spans="1:11" s="1" customFormat="1" x14ac:dyDescent="0.2">
      <c r="A40" s="110" t="s">
        <v>45</v>
      </c>
      <c r="B40" s="74"/>
      <c r="C40" s="35"/>
      <c r="D40" s="35">
        <f>SUM(D36:D39)</f>
        <v>0.56464000000000003</v>
      </c>
      <c r="E40" s="73"/>
      <c r="F40" s="35"/>
      <c r="G40" s="35">
        <f>SUM(G36:G39)</f>
        <v>0.56464000000000003</v>
      </c>
      <c r="H40" s="35">
        <f t="shared" si="1"/>
        <v>0</v>
      </c>
      <c r="I40" s="36">
        <f t="shared" si="8"/>
        <v>0</v>
      </c>
      <c r="J40" s="36">
        <f t="shared" si="9"/>
        <v>9.0837056578001001E-3</v>
      </c>
      <c r="K40" s="111">
        <f t="shared" si="10"/>
        <v>9.0288150372072017E-3</v>
      </c>
    </row>
    <row r="41" spans="1:11" s="1" customFormat="1" ht="13.5" thickBot="1" x14ac:dyDescent="0.25">
      <c r="A41" s="112" t="s">
        <v>46</v>
      </c>
      <c r="B41" s="113">
        <f>B4</f>
        <v>50</v>
      </c>
      <c r="C41" s="114">
        <v>0</v>
      </c>
      <c r="D41" s="115">
        <f>B41*C41</f>
        <v>0</v>
      </c>
      <c r="E41" s="116">
        <f t="shared" si="6"/>
        <v>50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54.664670399999991</v>
      </c>
      <c r="E42" s="38"/>
      <c r="F42" s="39"/>
      <c r="G42" s="39">
        <f>SUM(G14,G25,G26,G27,G33,G40,G41)</f>
        <v>59.199670399999988</v>
      </c>
      <c r="H42" s="39">
        <f t="shared" si="1"/>
        <v>4.5349999999999966</v>
      </c>
      <c r="I42" s="40">
        <f t="shared" si="8"/>
        <v>8.2960346542215638E-2</v>
      </c>
      <c r="J42" s="40">
        <f t="shared" si="9"/>
        <v>0.95238095238095244</v>
      </c>
      <c r="K42" s="41"/>
    </row>
    <row r="43" spans="1:11" x14ac:dyDescent="0.2">
      <c r="A43" s="153" t="s">
        <v>102</v>
      </c>
      <c r="B43" s="43"/>
      <c r="C43" s="26">
        <v>0.13</v>
      </c>
      <c r="D43" s="26">
        <f>D42*C43</f>
        <v>7.1064071519999992</v>
      </c>
      <c r="E43" s="26"/>
      <c r="F43" s="26">
        <f>C43</f>
        <v>0.13</v>
      </c>
      <c r="G43" s="26">
        <f>G42*F43</f>
        <v>7.6959571519999983</v>
      </c>
      <c r="H43" s="26">
        <f t="shared" si="1"/>
        <v>0.58954999999999913</v>
      </c>
      <c r="I43" s="44">
        <f t="shared" si="8"/>
        <v>8.2960346542215568E-2</v>
      </c>
      <c r="J43" s="44">
        <f t="shared" si="9"/>
        <v>0.12380952380952381</v>
      </c>
      <c r="K43" s="45"/>
    </row>
    <row r="44" spans="1:11" s="1" customFormat="1" x14ac:dyDescent="0.2">
      <c r="A44" s="46" t="s">
        <v>103</v>
      </c>
      <c r="B44" s="24"/>
      <c r="C44" s="25"/>
      <c r="D44" s="25">
        <f>SUM(D42:D43)</f>
        <v>61.771077551999994</v>
      </c>
      <c r="E44" s="25"/>
      <c r="F44" s="25"/>
      <c r="G44" s="25">
        <f>SUM(G42:G43)</f>
        <v>66.895627551999979</v>
      </c>
      <c r="H44" s="25">
        <f t="shared" si="1"/>
        <v>5.1245499999999851</v>
      </c>
      <c r="I44" s="27">
        <f t="shared" si="8"/>
        <v>8.2960346542215443E-2</v>
      </c>
      <c r="J44" s="27">
        <f t="shared" si="9"/>
        <v>1.0761904761904761</v>
      </c>
      <c r="K44" s="47"/>
    </row>
    <row r="45" spans="1:11" x14ac:dyDescent="0.2">
      <c r="A45" s="42" t="s">
        <v>104</v>
      </c>
      <c r="B45" s="43"/>
      <c r="C45" s="26">
        <v>-0.08</v>
      </c>
      <c r="D45" s="26">
        <f>D42*C45</f>
        <v>-4.3731736319999994</v>
      </c>
      <c r="E45" s="26"/>
      <c r="F45" s="26">
        <f>C45</f>
        <v>-0.08</v>
      </c>
      <c r="G45" s="26">
        <f>G42*F45</f>
        <v>-4.7359736319999994</v>
      </c>
      <c r="H45" s="26">
        <f t="shared" si="1"/>
        <v>-0.36280000000000001</v>
      </c>
      <c r="I45" s="44">
        <f t="shared" si="8"/>
        <v>-8.2960346542215693E-2</v>
      </c>
      <c r="J45" s="44">
        <f t="shared" si="9"/>
        <v>-7.6190476190476197E-2</v>
      </c>
      <c r="K45" s="45"/>
    </row>
    <row r="46" spans="1:11" s="1" customFormat="1" ht="13.5" thickBot="1" x14ac:dyDescent="0.25">
      <c r="A46" s="48" t="s">
        <v>105</v>
      </c>
      <c r="B46" s="49"/>
      <c r="C46" s="50"/>
      <c r="D46" s="50">
        <f>SUM(D44:D45)</f>
        <v>57.397903919999997</v>
      </c>
      <c r="E46" s="50"/>
      <c r="F46" s="50"/>
      <c r="G46" s="50">
        <f>SUM(G44:G45)</f>
        <v>62.159653919999982</v>
      </c>
      <c r="H46" s="50">
        <f t="shared" si="1"/>
        <v>4.7617499999999851</v>
      </c>
      <c r="I46" s="51">
        <f t="shared" si="8"/>
        <v>8.296034654221543E-2</v>
      </c>
      <c r="J46" s="51">
        <f t="shared" si="9"/>
        <v>1</v>
      </c>
      <c r="K46" s="52"/>
    </row>
    <row r="47" spans="1:11" x14ac:dyDescent="0.2">
      <c r="A47" s="53" t="s">
        <v>106</v>
      </c>
      <c r="B47" s="54"/>
      <c r="C47" s="55"/>
      <c r="D47" s="55">
        <f>SUM(D18,D25,D26,D28,D33,D40,D41)</f>
        <v>55.024574399999992</v>
      </c>
      <c r="E47" s="55"/>
      <c r="F47" s="55"/>
      <c r="G47" s="55">
        <f>SUM(G18,G25,G26,G28,G33,G40,G41)</f>
        <v>59.559574399999988</v>
      </c>
      <c r="H47" s="55">
        <f>G47-D47</f>
        <v>4.5349999999999966</v>
      </c>
      <c r="I47" s="56">
        <f t="shared" si="8"/>
        <v>8.2417720617571869E-2</v>
      </c>
      <c r="J47" s="56"/>
      <c r="K47" s="57">
        <f>G47/$G$51</f>
        <v>0.95238095238095233</v>
      </c>
    </row>
    <row r="48" spans="1:11" x14ac:dyDescent="0.2">
      <c r="A48" s="154" t="s">
        <v>102</v>
      </c>
      <c r="B48" s="59"/>
      <c r="C48" s="31">
        <v>0.13</v>
      </c>
      <c r="D48" s="31">
        <f>D47*C48</f>
        <v>7.1531946719999988</v>
      </c>
      <c r="E48" s="31"/>
      <c r="F48" s="31">
        <f>C48</f>
        <v>0.13</v>
      </c>
      <c r="G48" s="31">
        <f>G47*F48</f>
        <v>7.7427446719999988</v>
      </c>
      <c r="H48" s="31">
        <f>G48-D48</f>
        <v>0.58955000000000002</v>
      </c>
      <c r="I48" s="32">
        <f t="shared" si="8"/>
        <v>8.2417720617571938E-2</v>
      </c>
      <c r="J48" s="32"/>
      <c r="K48" s="60">
        <f>G48/$G$51</f>
        <v>0.12380952380952381</v>
      </c>
    </row>
    <row r="49" spans="1:11" x14ac:dyDescent="0.2">
      <c r="A49" s="61" t="s">
        <v>107</v>
      </c>
      <c r="B49" s="29"/>
      <c r="C49" s="30"/>
      <c r="D49" s="30">
        <f>SUM(D47:D48)</f>
        <v>62.17776907199999</v>
      </c>
      <c r="E49" s="30"/>
      <c r="F49" s="30"/>
      <c r="G49" s="30">
        <f>SUM(G47:G48)</f>
        <v>67.302319071999989</v>
      </c>
      <c r="H49" s="30">
        <f>G49-D49</f>
        <v>5.1245499999999993</v>
      </c>
      <c r="I49" s="33">
        <f t="shared" si="8"/>
        <v>8.2417720617571924E-2</v>
      </c>
      <c r="J49" s="33"/>
      <c r="K49" s="62">
        <f>G49/$G$51</f>
        <v>1.0761904761904761</v>
      </c>
    </row>
    <row r="50" spans="1:11" x14ac:dyDescent="0.2">
      <c r="A50" s="58" t="s">
        <v>104</v>
      </c>
      <c r="B50" s="59"/>
      <c r="C50" s="31">
        <v>-0.08</v>
      </c>
      <c r="D50" s="31">
        <f>D47*C50</f>
        <v>-4.4019659519999994</v>
      </c>
      <c r="E50" s="31"/>
      <c r="F50" s="31">
        <f>C50</f>
        <v>-0.08</v>
      </c>
      <c r="G50" s="31">
        <f>G47*F50</f>
        <v>-4.7647659519999994</v>
      </c>
      <c r="H50" s="31">
        <f>G50-D50</f>
        <v>-0.36280000000000001</v>
      </c>
      <c r="I50" s="32">
        <f t="shared" si="8"/>
        <v>-8.2417720617571938E-2</v>
      </c>
      <c r="J50" s="32"/>
      <c r="K50" s="60">
        <f>G50/$G$51</f>
        <v>-7.6190476190476197E-2</v>
      </c>
    </row>
    <row r="51" spans="1:11" ht="13.5" thickBot="1" x14ac:dyDescent="0.25">
      <c r="A51" s="63" t="s">
        <v>116</v>
      </c>
      <c r="B51" s="64"/>
      <c r="C51" s="65"/>
      <c r="D51" s="65">
        <f>SUM(D49:D50)</f>
        <v>57.775803119999992</v>
      </c>
      <c r="E51" s="65"/>
      <c r="F51" s="65"/>
      <c r="G51" s="65">
        <f>SUM(G49:G50)</f>
        <v>62.537553119999991</v>
      </c>
      <c r="H51" s="65">
        <f>G51-D51</f>
        <v>4.7617499999999993</v>
      </c>
      <c r="I51" s="66">
        <f t="shared" si="8"/>
        <v>8.2417720617571924E-2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tint="0.499984740745262"/>
    <pageSetUpPr fitToPage="1"/>
  </sheetPr>
  <dimension ref="A1:K68"/>
  <sheetViews>
    <sheetView tabSelected="1" view="pageLayout" topLeftCell="A22"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119</v>
      </c>
      <c r="B1" s="189"/>
      <c r="C1" s="189"/>
      <c r="D1" s="189"/>
      <c r="E1" s="189"/>
      <c r="F1" s="189"/>
      <c r="G1" s="189"/>
      <c r="H1" s="189"/>
      <c r="I1" s="189"/>
      <c r="J1" s="189"/>
      <c r="K1" s="190"/>
    </row>
    <row r="3" spans="1:11" x14ac:dyDescent="0.2">
      <c r="A3" s="13" t="s">
        <v>13</v>
      </c>
      <c r="B3" s="13" t="s">
        <v>3</v>
      </c>
    </row>
    <row r="4" spans="1:11" x14ac:dyDescent="0.2">
      <c r="A4" s="15" t="s">
        <v>62</v>
      </c>
      <c r="B4" s="15">
        <f>VLOOKUP(B3,'Data for Bill Impacts'!A19:D31,3,FALSE)</f>
        <v>352</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5">
        <f>B4*B6</f>
        <v>388.60800000000006</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352</v>
      </c>
      <c r="C12" s="103">
        <v>9.0999999999999998E-2</v>
      </c>
      <c r="D12" s="104">
        <f>B12*C12</f>
        <v>32.031999999999996</v>
      </c>
      <c r="E12" s="102">
        <f>B12</f>
        <v>352</v>
      </c>
      <c r="F12" s="103">
        <f>C12</f>
        <v>9.0999999999999998E-2</v>
      </c>
      <c r="G12" s="104">
        <f>E12*F12</f>
        <v>32.031999999999996</v>
      </c>
      <c r="H12" s="104">
        <f>G12-D12</f>
        <v>0</v>
      </c>
      <c r="I12" s="105">
        <f t="shared" ref="I12:I18" si="0">IF(ISERROR(H12/ABS(D12)),"N/A",(H12/ABS(D12)))</f>
        <v>0</v>
      </c>
      <c r="J12" s="105">
        <f>G12/$G$46</f>
        <v>0.28196223137126963</v>
      </c>
      <c r="K12" s="106"/>
    </row>
    <row r="13" spans="1:11" x14ac:dyDescent="0.2">
      <c r="A13" s="107" t="s">
        <v>32</v>
      </c>
      <c r="B13" s="73">
        <f>IF(B4&gt;B7,(B4)-B7,0)</f>
        <v>0</v>
      </c>
      <c r="C13" s="21">
        <v>0.106</v>
      </c>
      <c r="D13" s="22">
        <f>B13*C13</f>
        <v>0</v>
      </c>
      <c r="E13" s="73">
        <f>B13</f>
        <v>0</v>
      </c>
      <c r="F13" s="21">
        <f>C13</f>
        <v>0.106</v>
      </c>
      <c r="G13" s="22">
        <f>E13*F13</f>
        <v>0</v>
      </c>
      <c r="H13" s="22">
        <f t="shared" ref="H13:H46" si="1">G13-D13</f>
        <v>0</v>
      </c>
      <c r="I13" s="23" t="str">
        <f t="shared" si="0"/>
        <v>N/A</v>
      </c>
      <c r="J13" s="23">
        <f>G13/$G$46</f>
        <v>0</v>
      </c>
      <c r="K13" s="108"/>
    </row>
    <row r="14" spans="1:11" s="1" customFormat="1" x14ac:dyDescent="0.2">
      <c r="A14" s="46" t="s">
        <v>33</v>
      </c>
      <c r="B14" s="24"/>
      <c r="C14" s="25"/>
      <c r="D14" s="25">
        <f>SUM(D12:D13)</f>
        <v>32.031999999999996</v>
      </c>
      <c r="E14" s="76"/>
      <c r="F14" s="25"/>
      <c r="G14" s="25">
        <f>SUM(G12:G13)</f>
        <v>32.031999999999996</v>
      </c>
      <c r="H14" s="25">
        <f t="shared" si="1"/>
        <v>0</v>
      </c>
      <c r="I14" s="27">
        <f t="shared" si="0"/>
        <v>0</v>
      </c>
      <c r="J14" s="27">
        <f>G14/$G$46</f>
        <v>0.28196223137126963</v>
      </c>
      <c r="K14" s="108"/>
    </row>
    <row r="15" spans="1:11" s="1" customFormat="1" x14ac:dyDescent="0.2">
      <c r="A15" s="109" t="s">
        <v>34</v>
      </c>
      <c r="B15" s="75">
        <f>B4*0.65</f>
        <v>228.8</v>
      </c>
      <c r="C15" s="28">
        <v>7.6999999999999999E-2</v>
      </c>
      <c r="D15" s="22">
        <f>B15*C15</f>
        <v>17.617599999999999</v>
      </c>
      <c r="E15" s="73">
        <f t="shared" ref="E15:F17" si="2">B15</f>
        <v>228.8</v>
      </c>
      <c r="F15" s="28">
        <f t="shared" si="2"/>
        <v>7.6999999999999999E-2</v>
      </c>
      <c r="G15" s="22">
        <f>E15*F15</f>
        <v>17.617599999999999</v>
      </c>
      <c r="H15" s="22">
        <f t="shared" si="1"/>
        <v>0</v>
      </c>
      <c r="I15" s="23">
        <f t="shared" si="0"/>
        <v>0</v>
      </c>
      <c r="J15" s="23"/>
      <c r="K15" s="108">
        <f t="shared" ref="K15:K26" si="3">G15/$G$51</f>
        <v>0.15153063613686982</v>
      </c>
    </row>
    <row r="16" spans="1:11" s="1" customFormat="1" x14ac:dyDescent="0.2">
      <c r="A16" s="109" t="s">
        <v>35</v>
      </c>
      <c r="B16" s="75">
        <f>B4*0.17</f>
        <v>59.84</v>
      </c>
      <c r="C16" s="28">
        <v>0.113</v>
      </c>
      <c r="D16" s="22">
        <f>B16*C16</f>
        <v>6.7619200000000008</v>
      </c>
      <c r="E16" s="73">
        <f t="shared" si="2"/>
        <v>59.84</v>
      </c>
      <c r="F16" s="28">
        <f t="shared" si="2"/>
        <v>0.113</v>
      </c>
      <c r="G16" s="22">
        <f>E16*F16</f>
        <v>6.7619200000000008</v>
      </c>
      <c r="H16" s="22">
        <f t="shared" si="1"/>
        <v>0</v>
      </c>
      <c r="I16" s="23">
        <f t="shared" si="0"/>
        <v>0</v>
      </c>
      <c r="J16" s="23"/>
      <c r="K16" s="108">
        <f t="shared" si="3"/>
        <v>5.8159910493292104E-2</v>
      </c>
    </row>
    <row r="17" spans="1:11" s="1" customFormat="1" x14ac:dyDescent="0.2">
      <c r="A17" s="109" t="s">
        <v>36</v>
      </c>
      <c r="B17" s="75">
        <f>B4*0.18</f>
        <v>63.36</v>
      </c>
      <c r="C17" s="28">
        <v>0.157</v>
      </c>
      <c r="D17" s="22">
        <f>B17*C17</f>
        <v>9.9475200000000008</v>
      </c>
      <c r="E17" s="73">
        <f t="shared" si="2"/>
        <v>63.36</v>
      </c>
      <c r="F17" s="28">
        <f t="shared" si="2"/>
        <v>0.157</v>
      </c>
      <c r="G17" s="22">
        <f>E17*F17</f>
        <v>9.9475200000000008</v>
      </c>
      <c r="H17" s="22">
        <f t="shared" si="1"/>
        <v>0</v>
      </c>
      <c r="I17" s="23">
        <f t="shared" si="0"/>
        <v>0</v>
      </c>
      <c r="J17" s="23"/>
      <c r="K17" s="108">
        <f t="shared" si="3"/>
        <v>8.5559555988570263E-2</v>
      </c>
    </row>
    <row r="18" spans="1:11" s="1" customFormat="1" x14ac:dyDescent="0.2">
      <c r="A18" s="61" t="s">
        <v>37</v>
      </c>
      <c r="B18" s="29"/>
      <c r="C18" s="30"/>
      <c r="D18" s="30">
        <f>SUM(D15:D17)</f>
        <v>34.327039999999997</v>
      </c>
      <c r="E18" s="77"/>
      <c r="F18" s="30"/>
      <c r="G18" s="30">
        <f>SUM(G15:G17)</f>
        <v>34.327039999999997</v>
      </c>
      <c r="H18" s="31">
        <f t="shared" si="1"/>
        <v>0</v>
      </c>
      <c r="I18" s="32">
        <f t="shared" si="0"/>
        <v>0</v>
      </c>
      <c r="J18" s="33">
        <f t="shared" ref="J18:J26" si="4">G18/$G$46</f>
        <v>0.30216436047611223</v>
      </c>
      <c r="K18" s="62">
        <f t="shared" si="3"/>
        <v>0.29525010261873214</v>
      </c>
    </row>
    <row r="19" spans="1:11" x14ac:dyDescent="0.2">
      <c r="A19" s="107" t="s">
        <v>38</v>
      </c>
      <c r="B19" s="73">
        <v>1</v>
      </c>
      <c r="C19" s="78">
        <f>VLOOKUP($B$3,'Data for Bill Impacts'!$A$3:$Y$15,7,0)</f>
        <v>45.07</v>
      </c>
      <c r="D19" s="22">
        <f t="shared" ref="D19:D24" si="5">B19*C19</f>
        <v>45.07</v>
      </c>
      <c r="E19" s="73">
        <f t="shared" ref="E19:E41" si="6">B19</f>
        <v>1</v>
      </c>
      <c r="F19" s="78">
        <f>VLOOKUP($B$3,'Data for Bill Impacts'!$A$3:$Y$15,17,0)</f>
        <v>50.05</v>
      </c>
      <c r="G19" s="22">
        <f t="shared" ref="G19:G24" si="7">E19*F19</f>
        <v>50.05</v>
      </c>
      <c r="H19" s="22">
        <f t="shared" si="1"/>
        <v>4.9799999999999969</v>
      </c>
      <c r="I19" s="23">
        <f>IF(ISERROR(H19/ABS(D19)),"N/A",(H19/ABS(D19)))</f>
        <v>0.11049478588861764</v>
      </c>
      <c r="J19" s="23">
        <f t="shared" si="4"/>
        <v>0.44056598651760881</v>
      </c>
      <c r="K19" s="108">
        <f t="shared" si="3"/>
        <v>0.43048476175247108</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-2E-3</v>
      </c>
      <c r="D22" s="22">
        <f t="shared" si="5"/>
        <v>-2E-3</v>
      </c>
      <c r="E22" s="73">
        <f t="shared" si="6"/>
        <v>1</v>
      </c>
      <c r="F22" s="121">
        <f>VLOOKUP($B$3,'Data for Bill Impacts'!$A$3:$Y$15,22,0)</f>
        <v>-2E-3</v>
      </c>
      <c r="G22" s="22">
        <f t="shared" si="7"/>
        <v>-2E-3</v>
      </c>
      <c r="H22" s="22">
        <f t="shared" si="1"/>
        <v>0</v>
      </c>
      <c r="I22" s="23">
        <f t="shared" ref="I22:I51" si="8">IF(ISERROR(H22/ABS(D22)),"N/A",(H22/ABS(D22)))</f>
        <v>0</v>
      </c>
      <c r="J22" s="23">
        <f t="shared" si="4"/>
        <v>-1.7605034426278073E-5</v>
      </c>
      <c r="K22" s="108">
        <f t="shared" si="3"/>
        <v>-1.7202188281817026E-5</v>
      </c>
    </row>
    <row r="23" spans="1:11" x14ac:dyDescent="0.2">
      <c r="A23" s="107" t="s">
        <v>39</v>
      </c>
      <c r="B23" s="73">
        <f>IF($B$9="kWh",$B$4,$B$5)</f>
        <v>352</v>
      </c>
      <c r="C23" s="78">
        <f>VLOOKUP($B$3,'Data for Bill Impacts'!$A$3:$Y$15,10,0)</f>
        <v>5.28E-2</v>
      </c>
      <c r="D23" s="22">
        <f t="shared" si="5"/>
        <v>18.585599999999999</v>
      </c>
      <c r="E23" s="73">
        <f t="shared" si="6"/>
        <v>352</v>
      </c>
      <c r="F23" s="78">
        <f>VLOOKUP($B$3,'Data for Bill Impacts'!$A$3:$Y$15,19,0)</f>
        <v>4.3900000000000002E-2</v>
      </c>
      <c r="G23" s="22">
        <f t="shared" si="7"/>
        <v>15.4528</v>
      </c>
      <c r="H23" s="22">
        <f t="shared" si="1"/>
        <v>-3.1327999999999996</v>
      </c>
      <c r="I23" s="23">
        <f t="shared" si="8"/>
        <v>-0.16856060606060605</v>
      </c>
      <c r="J23" s="23">
        <f t="shared" si="4"/>
        <v>0.1360235379911949</v>
      </c>
      <c r="K23" s="108">
        <f t="shared" si="3"/>
        <v>0.13291098754063108</v>
      </c>
    </row>
    <row r="24" spans="1:11" x14ac:dyDescent="0.2">
      <c r="A24" s="107" t="s">
        <v>121</v>
      </c>
      <c r="B24" s="73">
        <f>IF($B$9="kWh",$B$4,$B$5)</f>
        <v>352</v>
      </c>
      <c r="C24" s="125">
        <f>VLOOKUP($B$3,'Data for Bill Impacts'!$A$3:$Y$15,14,0)</f>
        <v>1.0000000000000003E-5</v>
      </c>
      <c r="D24" s="22">
        <f t="shared" si="5"/>
        <v>3.520000000000001E-3</v>
      </c>
      <c r="E24" s="73">
        <f>B24</f>
        <v>352</v>
      </c>
      <c r="F24" s="125">
        <f>VLOOKUP($B$3,'Data for Bill Impacts'!$A$3:$Y$15,23,0)</f>
        <v>1.0000000000000003E-5</v>
      </c>
      <c r="G24" s="22">
        <f t="shared" si="7"/>
        <v>3.520000000000001E-3</v>
      </c>
      <c r="H24" s="22">
        <f>G24-D24</f>
        <v>0</v>
      </c>
      <c r="I24" s="23">
        <f t="shared" si="8"/>
        <v>0</v>
      </c>
      <c r="J24" s="23">
        <f t="shared" si="4"/>
        <v>3.098486059024942E-5</v>
      </c>
      <c r="K24" s="108">
        <f t="shared" si="3"/>
        <v>3.0275851375997978E-5</v>
      </c>
    </row>
    <row r="25" spans="1:11" s="1" customFormat="1" x14ac:dyDescent="0.2">
      <c r="A25" s="110" t="s">
        <v>72</v>
      </c>
      <c r="B25" s="74"/>
      <c r="C25" s="35"/>
      <c r="D25" s="35">
        <f>SUM(D19:D24)</f>
        <v>63.657119999999999</v>
      </c>
      <c r="E25" s="73"/>
      <c r="F25" s="35"/>
      <c r="G25" s="35">
        <f>SUM(G19:G24)</f>
        <v>65.504319999999993</v>
      </c>
      <c r="H25" s="35">
        <f t="shared" si="1"/>
        <v>1.8471999999999937</v>
      </c>
      <c r="I25" s="36">
        <f t="shared" si="8"/>
        <v>2.9017963740740921E-2</v>
      </c>
      <c r="J25" s="36">
        <f t="shared" si="4"/>
        <v>0.57660290433496764</v>
      </c>
      <c r="K25" s="111">
        <f t="shared" si="3"/>
        <v>0.56340882295619632</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6.95398859837984E-3</v>
      </c>
      <c r="K26" s="108">
        <f t="shared" si="3"/>
        <v>6.794864371317726E-3</v>
      </c>
    </row>
    <row r="27" spans="1:11" s="1" customFormat="1" x14ac:dyDescent="0.2">
      <c r="A27" s="119" t="s">
        <v>75</v>
      </c>
      <c r="B27" s="120">
        <f>B8-B4</f>
        <v>36.608000000000061</v>
      </c>
      <c r="C27" s="172">
        <f>IF(B4&gt;B7,C13,C12)</f>
        <v>9.0999999999999998E-2</v>
      </c>
      <c r="D27" s="22">
        <f>B27*C27</f>
        <v>3.3313280000000054</v>
      </c>
      <c r="E27" s="73">
        <f>B27</f>
        <v>36.608000000000061</v>
      </c>
      <c r="F27" s="172">
        <f>C27</f>
        <v>9.0999999999999998E-2</v>
      </c>
      <c r="G27" s="22">
        <f>E27*F27</f>
        <v>3.3313280000000054</v>
      </c>
      <c r="H27" s="22">
        <f t="shared" si="1"/>
        <v>0</v>
      </c>
      <c r="I27" s="23">
        <f t="shared" si="8"/>
        <v>0</v>
      </c>
      <c r="J27" s="23">
        <f t="shared" ref="J27:J46" si="9">G27/$G$46</f>
        <v>2.9324072062612089E-2</v>
      </c>
      <c r="K27" s="108">
        <f t="shared" ref="K27:K41" si="10">G27/$G$51</f>
        <v>2.8653065742244525E-2</v>
      </c>
    </row>
    <row r="28" spans="1:11" s="1" customFormat="1" x14ac:dyDescent="0.2">
      <c r="A28" s="119" t="s">
        <v>74</v>
      </c>
      <c r="B28" s="120">
        <f>B8-B4</f>
        <v>36.608000000000061</v>
      </c>
      <c r="C28" s="172">
        <f>0.65*C15+0.17*C16+0.18*C17</f>
        <v>9.7519999999999996E-2</v>
      </c>
      <c r="D28" s="22">
        <f>B28*C28</f>
        <v>3.5700121600000059</v>
      </c>
      <c r="E28" s="73">
        <f>B28</f>
        <v>36.608000000000061</v>
      </c>
      <c r="F28" s="172">
        <f>C28</f>
        <v>9.7519999999999996E-2</v>
      </c>
      <c r="G28" s="22">
        <f>E28*F28</f>
        <v>3.5700121600000059</v>
      </c>
      <c r="H28" s="22">
        <f t="shared" si="1"/>
        <v>0</v>
      </c>
      <c r="I28" s="23">
        <f t="shared" si="8"/>
        <v>0</v>
      </c>
      <c r="J28" s="23">
        <f t="shared" si="9"/>
        <v>3.1425093489515728E-2</v>
      </c>
      <c r="K28" s="108">
        <f t="shared" si="10"/>
        <v>3.0706010672348197E-2</v>
      </c>
    </row>
    <row r="29" spans="1:11" s="1" customFormat="1" x14ac:dyDescent="0.2">
      <c r="A29" s="110" t="s">
        <v>78</v>
      </c>
      <c r="B29" s="74"/>
      <c r="C29" s="35"/>
      <c r="D29" s="35">
        <f>SUM(D25,D26:D27)</f>
        <v>67.778447999999997</v>
      </c>
      <c r="E29" s="73"/>
      <c r="F29" s="35"/>
      <c r="G29" s="35">
        <f>SUM(G25,G26:G27)</f>
        <v>69.625647999999998</v>
      </c>
      <c r="H29" s="35">
        <f t="shared" si="1"/>
        <v>1.8472000000000008</v>
      </c>
      <c r="I29" s="36">
        <f t="shared" si="8"/>
        <v>2.7253500994888536E-2</v>
      </c>
      <c r="J29" s="36">
        <f t="shared" si="9"/>
        <v>0.61288096499595957</v>
      </c>
      <c r="K29" s="111">
        <f t="shared" si="10"/>
        <v>0.59885675306975861</v>
      </c>
    </row>
    <row r="30" spans="1:11" s="1" customFormat="1" x14ac:dyDescent="0.2">
      <c r="A30" s="110" t="s">
        <v>77</v>
      </c>
      <c r="B30" s="74"/>
      <c r="C30" s="35"/>
      <c r="D30" s="35">
        <f>SUM(D25,D26,D28)</f>
        <v>68.017132160000003</v>
      </c>
      <c r="E30" s="73"/>
      <c r="F30" s="35"/>
      <c r="G30" s="35">
        <f>SUM(G25,G26,G28)</f>
        <v>69.864332160000004</v>
      </c>
      <c r="H30" s="35">
        <f t="shared" si="1"/>
        <v>1.8472000000000008</v>
      </c>
      <c r="I30" s="36">
        <f t="shared" si="8"/>
        <v>2.7157863634337635E-2</v>
      </c>
      <c r="J30" s="36">
        <f t="shared" si="9"/>
        <v>0.61498198642286328</v>
      </c>
      <c r="K30" s="111">
        <f t="shared" si="10"/>
        <v>0.60090969799986227</v>
      </c>
    </row>
    <row r="31" spans="1:11" x14ac:dyDescent="0.2">
      <c r="A31" s="107" t="s">
        <v>40</v>
      </c>
      <c r="B31" s="73">
        <f>B8</f>
        <v>388.60800000000006</v>
      </c>
      <c r="C31" s="125">
        <f>VLOOKUP($B$3,'Data for Bill Impacts'!$A$3:$Y$15,15,0)</f>
        <v>5.6559999999999996E-3</v>
      </c>
      <c r="D31" s="22">
        <f>B31*C31</f>
        <v>2.1979668480000001</v>
      </c>
      <c r="E31" s="73">
        <f t="shared" si="6"/>
        <v>388.60800000000006</v>
      </c>
      <c r="F31" s="125">
        <f>VLOOKUP($B$3,'Data for Bill Impacts'!$A$3:$Y$15,24,0)</f>
        <v>5.6559999999999996E-3</v>
      </c>
      <c r="G31" s="22">
        <f>E31*F31</f>
        <v>2.1979668480000001</v>
      </c>
      <c r="H31" s="22">
        <f t="shared" si="1"/>
        <v>0</v>
      </c>
      <c r="I31" s="23">
        <f t="shared" si="8"/>
        <v>0</v>
      </c>
      <c r="J31" s="23">
        <f t="shared" si="9"/>
        <v>1.9347641013428955E-2</v>
      </c>
      <c r="K31" s="108">
        <f t="shared" si="10"/>
        <v>1.8904919778243955E-2</v>
      </c>
    </row>
    <row r="32" spans="1:11" x14ac:dyDescent="0.2">
      <c r="A32" s="107" t="s">
        <v>41</v>
      </c>
      <c r="B32" s="73">
        <f>B8</f>
        <v>388.60800000000006</v>
      </c>
      <c r="C32" s="125">
        <f>VLOOKUP($B$3,'Data for Bill Impacts'!$A$3:$Y$15,16,0)</f>
        <v>4.8209999999999998E-3</v>
      </c>
      <c r="D32" s="22">
        <f>B32*C32</f>
        <v>1.8734791680000003</v>
      </c>
      <c r="E32" s="73">
        <f t="shared" si="6"/>
        <v>388.60800000000006</v>
      </c>
      <c r="F32" s="125">
        <f>VLOOKUP($B$3,'Data for Bill Impacts'!$A$3:$Y$15,25,0)</f>
        <v>4.8209999999999998E-3</v>
      </c>
      <c r="G32" s="22">
        <f>E32*F32</f>
        <v>1.8734791680000003</v>
      </c>
      <c r="H32" s="22">
        <f t="shared" si="1"/>
        <v>0</v>
      </c>
      <c r="I32" s="23">
        <f t="shared" si="8"/>
        <v>0</v>
      </c>
      <c r="J32" s="23">
        <f t="shared" si="9"/>
        <v>1.6491332624777404E-2</v>
      </c>
      <c r="K32" s="108">
        <f t="shared" si="10"/>
        <v>1.6113970694998959E-2</v>
      </c>
    </row>
    <row r="33" spans="1:11" s="1" customFormat="1" x14ac:dyDescent="0.2">
      <c r="A33" s="110" t="s">
        <v>76</v>
      </c>
      <c r="B33" s="74"/>
      <c r="C33" s="35"/>
      <c r="D33" s="35">
        <f>SUM(D31:D32)</f>
        <v>4.0714460160000003</v>
      </c>
      <c r="E33" s="73"/>
      <c r="F33" s="35"/>
      <c r="G33" s="35">
        <f>SUM(G31:G32)</f>
        <v>4.0714460160000003</v>
      </c>
      <c r="H33" s="35">
        <f t="shared" si="1"/>
        <v>0</v>
      </c>
      <c r="I33" s="36">
        <f t="shared" si="8"/>
        <v>0</v>
      </c>
      <c r="J33" s="36">
        <f t="shared" si="9"/>
        <v>3.5838973638206359E-2</v>
      </c>
      <c r="K33" s="111">
        <f t="shared" si="10"/>
        <v>3.5018890473242914E-2</v>
      </c>
    </row>
    <row r="34" spans="1:11" s="1" customFormat="1" x14ac:dyDescent="0.2">
      <c r="A34" s="110" t="s">
        <v>91</v>
      </c>
      <c r="B34" s="74"/>
      <c r="C34" s="35"/>
      <c r="D34" s="35">
        <f>D29+D33</f>
        <v>71.849894015999993</v>
      </c>
      <c r="E34" s="73"/>
      <c r="F34" s="35"/>
      <c r="G34" s="35">
        <f>G29+G33</f>
        <v>73.697094015999994</v>
      </c>
      <c r="H34" s="35">
        <f t="shared" si="1"/>
        <v>1.8472000000000008</v>
      </c>
      <c r="I34" s="36">
        <f t="shared" si="8"/>
        <v>2.5709154137216327E-2</v>
      </c>
      <c r="J34" s="36">
        <f t="shared" si="9"/>
        <v>0.64871993863416588</v>
      </c>
      <c r="K34" s="111">
        <f t="shared" si="10"/>
        <v>0.63387564354300141</v>
      </c>
    </row>
    <row r="35" spans="1:11" s="1" customFormat="1" x14ac:dyDescent="0.2">
      <c r="A35" s="110" t="s">
        <v>92</v>
      </c>
      <c r="B35" s="74"/>
      <c r="C35" s="35"/>
      <c r="D35" s="35">
        <f>D30+D33</f>
        <v>72.088578175999999</v>
      </c>
      <c r="E35" s="73"/>
      <c r="F35" s="35"/>
      <c r="G35" s="35">
        <f>G30+G33</f>
        <v>73.935778175999999</v>
      </c>
      <c r="H35" s="35">
        <f t="shared" si="1"/>
        <v>1.8472000000000008</v>
      </c>
      <c r="I35" s="36">
        <f t="shared" si="8"/>
        <v>2.5624031528131561E-2</v>
      </c>
      <c r="J35" s="36">
        <f t="shared" si="9"/>
        <v>0.6508209600610696</v>
      </c>
      <c r="K35" s="111">
        <f t="shared" si="10"/>
        <v>0.63592858847310518</v>
      </c>
    </row>
    <row r="36" spans="1:11" x14ac:dyDescent="0.2">
      <c r="A36" s="107" t="s">
        <v>42</v>
      </c>
      <c r="B36" s="73">
        <f>B8</f>
        <v>388.60800000000006</v>
      </c>
      <c r="C36" s="34">
        <v>3.5999999999999999E-3</v>
      </c>
      <c r="D36" s="22">
        <f>B36*C36</f>
        <v>1.3989888000000001</v>
      </c>
      <c r="E36" s="73">
        <f t="shared" si="6"/>
        <v>388.60800000000006</v>
      </c>
      <c r="F36" s="34">
        <v>3.5999999999999999E-3</v>
      </c>
      <c r="G36" s="22">
        <f>E36*F36</f>
        <v>1.3989888000000001</v>
      </c>
      <c r="H36" s="22">
        <f t="shared" si="1"/>
        <v>0</v>
      </c>
      <c r="I36" s="23">
        <f t="shared" si="8"/>
        <v>0</v>
      </c>
      <c r="J36" s="23">
        <f t="shared" si="9"/>
        <v>1.2314622992988727E-2</v>
      </c>
      <c r="K36" s="108">
        <f t="shared" si="10"/>
        <v>1.2032834370876634E-2</v>
      </c>
    </row>
    <row r="37" spans="1:11" x14ac:dyDescent="0.2">
      <c r="A37" s="107" t="s">
        <v>43</v>
      </c>
      <c r="B37" s="73">
        <f>B8</f>
        <v>388.60800000000006</v>
      </c>
      <c r="C37" s="34">
        <v>2.0999999999999999E-3</v>
      </c>
      <c r="D37" s="22">
        <f>B37*C37</f>
        <v>0.81607680000000005</v>
      </c>
      <c r="E37" s="73">
        <f t="shared" si="6"/>
        <v>388.60800000000006</v>
      </c>
      <c r="F37" s="34">
        <v>2.0999999999999999E-3</v>
      </c>
      <c r="G37" s="22">
        <f>E37*F37</f>
        <v>0.81607680000000005</v>
      </c>
      <c r="H37" s="22">
        <f>G37-D37</f>
        <v>0</v>
      </c>
      <c r="I37" s="23">
        <f t="shared" si="8"/>
        <v>0</v>
      </c>
      <c r="J37" s="23">
        <f t="shared" si="9"/>
        <v>7.1835300792434239E-3</v>
      </c>
      <c r="K37" s="108">
        <f t="shared" si="10"/>
        <v>7.0191533830113693E-3</v>
      </c>
    </row>
    <row r="38" spans="1:11" x14ac:dyDescent="0.2">
      <c r="A38" s="107" t="s">
        <v>96</v>
      </c>
      <c r="B38" s="73">
        <f>B8</f>
        <v>388.60800000000006</v>
      </c>
      <c r="C38" s="34">
        <v>0</v>
      </c>
      <c r="D38" s="22">
        <f>B38*C38</f>
        <v>0</v>
      </c>
      <c r="E38" s="73">
        <f t="shared" si="6"/>
        <v>388.60800000000006</v>
      </c>
      <c r="F38" s="34">
        <v>0</v>
      </c>
      <c r="G38" s="22">
        <f>E38*F38</f>
        <v>0</v>
      </c>
      <c r="H38" s="22">
        <f>G38-D38</f>
        <v>0</v>
      </c>
      <c r="I38" s="23" t="str">
        <f t="shared" si="8"/>
        <v>N/A</v>
      </c>
      <c r="J38" s="23">
        <f t="shared" si="9"/>
        <v>0</v>
      </c>
      <c r="K38" s="108">
        <f t="shared" si="10"/>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2.2006293032847592E-3</v>
      </c>
      <c r="K39" s="108">
        <f t="shared" si="10"/>
        <v>2.1502735352271285E-3</v>
      </c>
    </row>
    <row r="40" spans="1:11" s="1" customFormat="1" x14ac:dyDescent="0.2">
      <c r="A40" s="110" t="s">
        <v>45</v>
      </c>
      <c r="B40" s="74"/>
      <c r="C40" s="35"/>
      <c r="D40" s="35">
        <f>SUM(D36:D39)</f>
        <v>2.4650656</v>
      </c>
      <c r="E40" s="73"/>
      <c r="F40" s="35"/>
      <c r="G40" s="35">
        <f>SUM(G36:G39)</f>
        <v>2.4650656</v>
      </c>
      <c r="H40" s="35">
        <f t="shared" si="1"/>
        <v>0</v>
      </c>
      <c r="I40" s="36">
        <f t="shared" si="8"/>
        <v>0</v>
      </c>
      <c r="J40" s="36">
        <f t="shared" si="9"/>
        <v>2.1698782375516909E-2</v>
      </c>
      <c r="K40" s="111">
        <f t="shared" si="10"/>
        <v>2.1202261289115131E-2</v>
      </c>
    </row>
    <row r="41" spans="1:11" s="1" customFormat="1" ht="13.5" thickBot="1" x14ac:dyDescent="0.25">
      <c r="A41" s="112" t="s">
        <v>46</v>
      </c>
      <c r="B41" s="113">
        <f>B4</f>
        <v>352</v>
      </c>
      <c r="C41" s="114">
        <v>0</v>
      </c>
      <c r="D41" s="115">
        <f>B41*C41</f>
        <v>0</v>
      </c>
      <c r="E41" s="116">
        <f t="shared" si="6"/>
        <v>352</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106.34695961600001</v>
      </c>
      <c r="E42" s="38"/>
      <c r="F42" s="39"/>
      <c r="G42" s="39">
        <f>SUM(G14,G25,G26,G27,G33,G40,G41)</f>
        <v>108.19415961599999</v>
      </c>
      <c r="H42" s="39">
        <f t="shared" si="1"/>
        <v>1.8471999999999866</v>
      </c>
      <c r="I42" s="40">
        <f t="shared" si="8"/>
        <v>1.7369560979175126E-2</v>
      </c>
      <c r="J42" s="40">
        <f t="shared" si="9"/>
        <v>0.95238095238095244</v>
      </c>
      <c r="K42" s="41"/>
    </row>
    <row r="43" spans="1:11" x14ac:dyDescent="0.2">
      <c r="A43" s="153" t="s">
        <v>102</v>
      </c>
      <c r="B43" s="43"/>
      <c r="C43" s="26">
        <v>0.13</v>
      </c>
      <c r="D43" s="26">
        <f>D42*C43</f>
        <v>13.825104750080001</v>
      </c>
      <c r="E43" s="26"/>
      <c r="F43" s="26">
        <f>C43</f>
        <v>0.13</v>
      </c>
      <c r="G43" s="26">
        <f>G42*F43</f>
        <v>14.065240750079999</v>
      </c>
      <c r="H43" s="26">
        <f t="shared" si="1"/>
        <v>0.24013599999999791</v>
      </c>
      <c r="I43" s="44">
        <f t="shared" si="8"/>
        <v>1.7369560979175098E-2</v>
      </c>
      <c r="J43" s="44">
        <f t="shared" si="9"/>
        <v>0.12380952380952381</v>
      </c>
      <c r="K43" s="45"/>
    </row>
    <row r="44" spans="1:11" s="1" customFormat="1" x14ac:dyDescent="0.2">
      <c r="A44" s="46" t="s">
        <v>103</v>
      </c>
      <c r="B44" s="24"/>
      <c r="C44" s="25"/>
      <c r="D44" s="25">
        <f>SUM(D42:D43)</f>
        <v>120.17206436608001</v>
      </c>
      <c r="E44" s="25"/>
      <c r="F44" s="25"/>
      <c r="G44" s="25">
        <f>SUM(G42:G43)</f>
        <v>122.25940036607999</v>
      </c>
      <c r="H44" s="25">
        <f t="shared" si="1"/>
        <v>2.0873359999999792</v>
      </c>
      <c r="I44" s="27">
        <f t="shared" si="8"/>
        <v>1.7369560979175077E-2</v>
      </c>
      <c r="J44" s="27">
        <f t="shared" si="9"/>
        <v>1.0761904761904761</v>
      </c>
      <c r="K44" s="47"/>
    </row>
    <row r="45" spans="1:11" x14ac:dyDescent="0.2">
      <c r="A45" s="42" t="s">
        <v>104</v>
      </c>
      <c r="B45" s="43"/>
      <c r="C45" s="26">
        <v>-0.08</v>
      </c>
      <c r="D45" s="26">
        <f>D42*C45</f>
        <v>-8.5077567692800002</v>
      </c>
      <c r="E45" s="26"/>
      <c r="F45" s="26">
        <f>C45</f>
        <v>-0.08</v>
      </c>
      <c r="G45" s="26">
        <f>G42*F45</f>
        <v>-8.6555327692799988</v>
      </c>
      <c r="H45" s="26">
        <f t="shared" si="1"/>
        <v>-0.14777599999999858</v>
      </c>
      <c r="I45" s="44">
        <f t="shared" si="8"/>
        <v>-1.7369560979175084E-2</v>
      </c>
      <c r="J45" s="44">
        <f t="shared" si="9"/>
        <v>-7.6190476190476183E-2</v>
      </c>
      <c r="K45" s="45"/>
    </row>
    <row r="46" spans="1:11" s="1" customFormat="1" ht="13.5" thickBot="1" x14ac:dyDescent="0.25">
      <c r="A46" s="48" t="s">
        <v>105</v>
      </c>
      <c r="B46" s="49"/>
      <c r="C46" s="50"/>
      <c r="D46" s="50">
        <f>SUM(D44:D45)</f>
        <v>111.6643075968</v>
      </c>
      <c r="E46" s="50"/>
      <c r="F46" s="50"/>
      <c r="G46" s="50">
        <f>SUM(G44:G45)</f>
        <v>113.60386759679999</v>
      </c>
      <c r="H46" s="50">
        <f t="shared" si="1"/>
        <v>1.939559999999986</v>
      </c>
      <c r="I46" s="51">
        <f t="shared" si="8"/>
        <v>1.7369560979175126E-2</v>
      </c>
      <c r="J46" s="51">
        <f t="shared" si="9"/>
        <v>1</v>
      </c>
      <c r="K46" s="52"/>
    </row>
    <row r="47" spans="1:11" x14ac:dyDescent="0.2">
      <c r="A47" s="53" t="s">
        <v>106</v>
      </c>
      <c r="B47" s="54"/>
      <c r="C47" s="55"/>
      <c r="D47" s="55">
        <f>SUM(D18,D25,D26,D28,D33,D40,D41)</f>
        <v>108.88068377600001</v>
      </c>
      <c r="E47" s="55"/>
      <c r="F47" s="55"/>
      <c r="G47" s="55">
        <f>SUM(G18,G25,G26,G28,G33,G40,G41)</f>
        <v>110.727883776</v>
      </c>
      <c r="H47" s="55">
        <f>G47-D47</f>
        <v>1.8471999999999866</v>
      </c>
      <c r="I47" s="56">
        <f t="shared" si="8"/>
        <v>1.6965360024742561E-2</v>
      </c>
      <c r="J47" s="56"/>
      <c r="K47" s="57">
        <f>G47/$G$51</f>
        <v>0.95238095238095244</v>
      </c>
    </row>
    <row r="48" spans="1:11" x14ac:dyDescent="0.2">
      <c r="A48" s="58" t="s">
        <v>102</v>
      </c>
      <c r="B48" s="59"/>
      <c r="C48" s="31">
        <v>0.13</v>
      </c>
      <c r="D48" s="31">
        <f>D47*C48</f>
        <v>14.154488890880002</v>
      </c>
      <c r="E48" s="31"/>
      <c r="F48" s="31">
        <f>C48</f>
        <v>0.13</v>
      </c>
      <c r="G48" s="31">
        <f>G47*F48</f>
        <v>14.394624890880001</v>
      </c>
      <c r="H48" s="31">
        <f>G48-D48</f>
        <v>0.24013599999999968</v>
      </c>
      <c r="I48" s="32">
        <f t="shared" si="8"/>
        <v>1.6965360024742662E-2</v>
      </c>
      <c r="J48" s="32"/>
      <c r="K48" s="60">
        <f>G48/$G$51</f>
        <v>0.12380952380952383</v>
      </c>
    </row>
    <row r="49" spans="1:11" x14ac:dyDescent="0.2">
      <c r="A49" s="61" t="s">
        <v>107</v>
      </c>
      <c r="B49" s="29"/>
      <c r="C49" s="30"/>
      <c r="D49" s="30">
        <f>SUM(D47:D48)</f>
        <v>123.03517266688002</v>
      </c>
      <c r="E49" s="30"/>
      <c r="F49" s="30"/>
      <c r="G49" s="30">
        <f>SUM(G47:G48)</f>
        <v>125.12250866687999</v>
      </c>
      <c r="H49" s="30">
        <f>G49-D49</f>
        <v>2.0873359999999792</v>
      </c>
      <c r="I49" s="33">
        <f t="shared" si="8"/>
        <v>1.6965360024742516E-2</v>
      </c>
      <c r="J49" s="33"/>
      <c r="K49" s="62">
        <f>G49/$G$51</f>
        <v>1.0761904761904764</v>
      </c>
    </row>
    <row r="50" spans="1:11" x14ac:dyDescent="0.2">
      <c r="A50" s="58" t="s">
        <v>104</v>
      </c>
      <c r="B50" s="59"/>
      <c r="C50" s="31">
        <v>-0.08</v>
      </c>
      <c r="D50" s="31">
        <f>D47*C50</f>
        <v>-8.7104547020800016</v>
      </c>
      <c r="E50" s="31"/>
      <c r="F50" s="31">
        <f>C50</f>
        <v>-0.08</v>
      </c>
      <c r="G50" s="31">
        <f>G47*F50</f>
        <v>-8.8582307020800002</v>
      </c>
      <c r="H50" s="31">
        <f>G50-D50</f>
        <v>-0.14777599999999858</v>
      </c>
      <c r="I50" s="32">
        <f t="shared" si="8"/>
        <v>-1.6965360024742519E-2</v>
      </c>
      <c r="J50" s="32"/>
      <c r="K50" s="60">
        <f>G50/$G$51</f>
        <v>-7.6190476190476197E-2</v>
      </c>
    </row>
    <row r="51" spans="1:11" ht="13.5" thickBot="1" x14ac:dyDescent="0.25">
      <c r="A51" s="63" t="s">
        <v>116</v>
      </c>
      <c r="B51" s="64"/>
      <c r="C51" s="65"/>
      <c r="D51" s="65">
        <f>SUM(D49:D50)</f>
        <v>114.32471796480002</v>
      </c>
      <c r="E51" s="65"/>
      <c r="F51" s="65"/>
      <c r="G51" s="65">
        <f>SUM(G49:G50)</f>
        <v>116.26427796479999</v>
      </c>
      <c r="H51" s="65">
        <f>G51-D51</f>
        <v>1.9395599999999718</v>
      </c>
      <c r="I51" s="66">
        <f t="shared" si="8"/>
        <v>1.6965360024742436E-2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1" tint="0.499984740745262"/>
    <pageSetUpPr fitToPage="1"/>
  </sheetPr>
  <dimension ref="A1:K68"/>
  <sheetViews>
    <sheetView tabSelected="1" view="pageLayout" topLeftCell="A19"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120</v>
      </c>
      <c r="B1" s="189"/>
      <c r="C1" s="189"/>
      <c r="D1" s="189"/>
      <c r="E1" s="189"/>
      <c r="F1" s="189"/>
      <c r="G1" s="189"/>
      <c r="H1" s="189"/>
      <c r="I1" s="189"/>
      <c r="J1" s="189"/>
      <c r="K1" s="190"/>
    </row>
    <row r="3" spans="1:11" x14ac:dyDescent="0.2">
      <c r="A3" s="13" t="s">
        <v>13</v>
      </c>
      <c r="B3" s="13" t="s">
        <v>3</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5">
        <f>B4*B6</f>
        <v>1104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0.23542044788124494</v>
      </c>
      <c r="K12" s="106"/>
    </row>
    <row r="13" spans="1:11" x14ac:dyDescent="0.2">
      <c r="A13" s="107" t="s">
        <v>32</v>
      </c>
      <c r="B13" s="73">
        <f>IF(B4&gt;B7,(B4)-B7,0)</f>
        <v>400</v>
      </c>
      <c r="C13" s="21">
        <v>0.106</v>
      </c>
      <c r="D13" s="22">
        <f>B13*C13</f>
        <v>42.4</v>
      </c>
      <c r="E13" s="73">
        <f>B13</f>
        <v>400</v>
      </c>
      <c r="F13" s="21">
        <f>C13</f>
        <v>0.106</v>
      </c>
      <c r="G13" s="22">
        <f>E13*F13</f>
        <v>42.4</v>
      </c>
      <c r="H13" s="22">
        <f t="shared" ref="H13:H46" si="1">G13-D13</f>
        <v>0</v>
      </c>
      <c r="I13" s="23">
        <f t="shared" si="0"/>
        <v>0</v>
      </c>
      <c r="J13" s="23">
        <f>G13/$G$46</f>
        <v>0.18281734414221218</v>
      </c>
      <c r="K13" s="108"/>
    </row>
    <row r="14" spans="1:11" s="1" customFormat="1" x14ac:dyDescent="0.2">
      <c r="A14" s="46" t="s">
        <v>33</v>
      </c>
      <c r="B14" s="24"/>
      <c r="C14" s="25"/>
      <c r="D14" s="25">
        <f>SUM(D12:D13)</f>
        <v>97</v>
      </c>
      <c r="E14" s="76"/>
      <c r="F14" s="25"/>
      <c r="G14" s="25">
        <f>SUM(G12:G13)</f>
        <v>97</v>
      </c>
      <c r="H14" s="25">
        <f t="shared" si="1"/>
        <v>0</v>
      </c>
      <c r="I14" s="27">
        <f t="shared" si="0"/>
        <v>0</v>
      </c>
      <c r="J14" s="27">
        <f>G14/$G$46</f>
        <v>0.41823779202345712</v>
      </c>
      <c r="K14" s="108"/>
    </row>
    <row r="15" spans="1:11" s="1" customFormat="1" x14ac:dyDescent="0.2">
      <c r="A15" s="109" t="s">
        <v>34</v>
      </c>
      <c r="B15" s="75">
        <f>B4*0.65</f>
        <v>650</v>
      </c>
      <c r="C15" s="28">
        <v>7.6999999999999999E-2</v>
      </c>
      <c r="D15" s="22">
        <f>B15*C15</f>
        <v>50.05</v>
      </c>
      <c r="E15" s="73">
        <f t="shared" ref="E15:F17" si="2">B15</f>
        <v>650</v>
      </c>
      <c r="F15" s="28">
        <f t="shared" si="2"/>
        <v>7.6999999999999999E-2</v>
      </c>
      <c r="G15" s="22">
        <f>E15*F15</f>
        <v>50.05</v>
      </c>
      <c r="H15" s="22">
        <f t="shared" si="1"/>
        <v>0</v>
      </c>
      <c r="I15" s="23">
        <f t="shared" si="0"/>
        <v>0</v>
      </c>
      <c r="J15" s="23"/>
      <c r="K15" s="108">
        <f t="shared" ref="K15:K26" si="3">G15/$G$51</f>
        <v>0.21615625493682747</v>
      </c>
    </row>
    <row r="16" spans="1:11" s="1" customFormat="1" x14ac:dyDescent="0.2">
      <c r="A16" s="109" t="s">
        <v>35</v>
      </c>
      <c r="B16" s="75">
        <f>B4*0.17</f>
        <v>170</v>
      </c>
      <c r="C16" s="28">
        <v>0.113</v>
      </c>
      <c r="D16" s="22">
        <f>B16*C16</f>
        <v>19.21</v>
      </c>
      <c r="E16" s="73">
        <f t="shared" si="2"/>
        <v>170</v>
      </c>
      <c r="F16" s="28">
        <f t="shared" si="2"/>
        <v>0.113</v>
      </c>
      <c r="G16" s="22">
        <f>E16*F16</f>
        <v>19.21</v>
      </c>
      <c r="H16" s="22">
        <f t="shared" si="1"/>
        <v>0</v>
      </c>
      <c r="I16" s="23">
        <f t="shared" si="0"/>
        <v>0</v>
      </c>
      <c r="J16" s="23"/>
      <c r="K16" s="108">
        <f t="shared" si="3"/>
        <v>8.2964268877851272E-2</v>
      </c>
    </row>
    <row r="17" spans="1:11" s="1" customFormat="1" x14ac:dyDescent="0.2">
      <c r="A17" s="109" t="s">
        <v>36</v>
      </c>
      <c r="B17" s="75">
        <f>B4*0.18</f>
        <v>180</v>
      </c>
      <c r="C17" s="28">
        <v>0.157</v>
      </c>
      <c r="D17" s="22">
        <f>B17*C17</f>
        <v>28.26</v>
      </c>
      <c r="E17" s="73">
        <f t="shared" si="2"/>
        <v>180</v>
      </c>
      <c r="F17" s="28">
        <f t="shared" si="2"/>
        <v>0.157</v>
      </c>
      <c r="G17" s="22">
        <f>E17*F17</f>
        <v>28.26</v>
      </c>
      <c r="H17" s="22">
        <f t="shared" si="1"/>
        <v>0</v>
      </c>
      <c r="I17" s="23">
        <f t="shared" si="0"/>
        <v>0</v>
      </c>
      <c r="J17" s="23"/>
      <c r="K17" s="108">
        <f t="shared" si="3"/>
        <v>0.12204946582447043</v>
      </c>
    </row>
    <row r="18" spans="1:11" s="1" customFormat="1" x14ac:dyDescent="0.2">
      <c r="A18" s="61" t="s">
        <v>37</v>
      </c>
      <c r="B18" s="29"/>
      <c r="C18" s="30"/>
      <c r="D18" s="30">
        <f>SUM(D15:D17)</f>
        <v>97.52</v>
      </c>
      <c r="E18" s="77"/>
      <c r="F18" s="30"/>
      <c r="G18" s="30">
        <f>SUM(G15:G17)</f>
        <v>97.52</v>
      </c>
      <c r="H18" s="31">
        <f t="shared" si="1"/>
        <v>0</v>
      </c>
      <c r="I18" s="32">
        <f t="shared" si="0"/>
        <v>0</v>
      </c>
      <c r="J18" s="33">
        <f t="shared" ref="J18:J26" si="4">G18/$G$46</f>
        <v>0.42047989152708803</v>
      </c>
      <c r="K18" s="62">
        <f t="shared" si="3"/>
        <v>0.42116998963914914</v>
      </c>
    </row>
    <row r="19" spans="1:11" x14ac:dyDescent="0.2">
      <c r="A19" s="107" t="s">
        <v>38</v>
      </c>
      <c r="B19" s="73">
        <v>1</v>
      </c>
      <c r="C19" s="78">
        <f>VLOOKUP($B$3,'Data for Bill Impacts'!$A$3:$Y$15,7,0)</f>
        <v>45.07</v>
      </c>
      <c r="D19" s="22">
        <f t="shared" ref="D19:D24" si="5">B19*C19</f>
        <v>45.07</v>
      </c>
      <c r="E19" s="73">
        <f t="shared" ref="E19:E41" si="6">B19</f>
        <v>1</v>
      </c>
      <c r="F19" s="78">
        <f>VLOOKUP($B$3,'Data for Bill Impacts'!$A$3:$Y$15,17,0)</f>
        <v>50.05</v>
      </c>
      <c r="G19" s="22">
        <f t="shared" ref="G19:G24" si="7">E19*F19</f>
        <v>50.05</v>
      </c>
      <c r="H19" s="22">
        <f t="shared" si="1"/>
        <v>4.9799999999999969</v>
      </c>
      <c r="I19" s="23">
        <f>IF(ISERROR(H19/ABS(D19)),"N/A",(H19/ABS(D19)))</f>
        <v>0.11049478588861764</v>
      </c>
      <c r="J19" s="23">
        <f t="shared" si="4"/>
        <v>0.2158020772244745</v>
      </c>
      <c r="K19" s="108">
        <f t="shared" si="3"/>
        <v>0.21615625493682747</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-2E-3</v>
      </c>
      <c r="D22" s="22">
        <f t="shared" si="5"/>
        <v>-2E-3</v>
      </c>
      <c r="E22" s="73">
        <f t="shared" si="6"/>
        <v>1</v>
      </c>
      <c r="F22" s="121">
        <f>VLOOKUP($B$3,'Data for Bill Impacts'!$A$3:$Y$15,22,0)</f>
        <v>-2E-3</v>
      </c>
      <c r="G22" s="22">
        <f t="shared" si="7"/>
        <v>-2E-3</v>
      </c>
      <c r="H22" s="22">
        <f t="shared" si="1"/>
        <v>0</v>
      </c>
      <c r="I22" s="23">
        <f t="shared" ref="I22:I51" si="8">IF(ISERROR(H22/ABS(D22)),"N/A",(H22/ABS(D22)))</f>
        <v>0</v>
      </c>
      <c r="J22" s="23">
        <f t="shared" si="4"/>
        <v>-8.6234596293496312E-6</v>
      </c>
      <c r="K22" s="108">
        <f t="shared" si="3"/>
        <v>-8.6376125848882115E-6</v>
      </c>
    </row>
    <row r="23" spans="1:11" x14ac:dyDescent="0.2">
      <c r="A23" s="107" t="s">
        <v>39</v>
      </c>
      <c r="B23" s="73">
        <f>IF($B$9="kWh",$B$4,$B$5)</f>
        <v>1000</v>
      </c>
      <c r="C23" s="78">
        <f>VLOOKUP($B$3,'Data for Bill Impacts'!$A$3:$Y$15,10,0)</f>
        <v>5.28E-2</v>
      </c>
      <c r="D23" s="22">
        <f t="shared" si="5"/>
        <v>52.8</v>
      </c>
      <c r="E23" s="73">
        <f t="shared" si="6"/>
        <v>1000</v>
      </c>
      <c r="F23" s="78">
        <f>VLOOKUP($B$3,'Data for Bill Impacts'!$A$3:$Y$15,19,0)</f>
        <v>4.3900000000000002E-2</v>
      </c>
      <c r="G23" s="22">
        <f t="shared" si="7"/>
        <v>43.9</v>
      </c>
      <c r="H23" s="22">
        <f t="shared" si="1"/>
        <v>-8.8999999999999986</v>
      </c>
      <c r="I23" s="23">
        <f t="shared" si="8"/>
        <v>-0.16856060606060605</v>
      </c>
      <c r="J23" s="23">
        <f t="shared" si="4"/>
        <v>0.1892849388642244</v>
      </c>
      <c r="K23" s="108">
        <f t="shared" si="3"/>
        <v>0.18959559623829622</v>
      </c>
    </row>
    <row r="24" spans="1:11" x14ac:dyDescent="0.2">
      <c r="A24" s="107" t="s">
        <v>121</v>
      </c>
      <c r="B24" s="73">
        <f>IF($B$9="kWh",$B$4,$B$5)</f>
        <v>1000</v>
      </c>
      <c r="C24" s="125">
        <f>VLOOKUP($B$3,'Data for Bill Impacts'!$A$3:$Y$15,14,0)</f>
        <v>1.0000000000000003E-5</v>
      </c>
      <c r="D24" s="22">
        <f t="shared" si="5"/>
        <v>1.0000000000000002E-2</v>
      </c>
      <c r="E24" s="73">
        <f>B24</f>
        <v>1000</v>
      </c>
      <c r="F24" s="125">
        <f>VLOOKUP($B$3,'Data for Bill Impacts'!$A$3:$Y$15,23,0)</f>
        <v>1.0000000000000003E-5</v>
      </c>
      <c r="G24" s="22">
        <f t="shared" si="7"/>
        <v>1.0000000000000002E-2</v>
      </c>
      <c r="H24" s="22">
        <f>G24-D24</f>
        <v>0</v>
      </c>
      <c r="I24" s="23">
        <f t="shared" si="8"/>
        <v>0</v>
      </c>
      <c r="J24" s="23">
        <f t="shared" si="4"/>
        <v>4.3117298146748169E-5</v>
      </c>
      <c r="K24" s="108">
        <f t="shared" si="3"/>
        <v>4.3188062924441062E-5</v>
      </c>
    </row>
    <row r="25" spans="1:11" s="1" customFormat="1" x14ac:dyDescent="0.2">
      <c r="A25" s="110" t="s">
        <v>72</v>
      </c>
      <c r="B25" s="74"/>
      <c r="C25" s="35"/>
      <c r="D25" s="35">
        <f>SUM(D19:D24)</f>
        <v>97.878</v>
      </c>
      <c r="E25" s="73"/>
      <c r="F25" s="35"/>
      <c r="G25" s="35">
        <f>SUM(G19:G24)</f>
        <v>93.957999999999998</v>
      </c>
      <c r="H25" s="35">
        <f t="shared" si="1"/>
        <v>-3.9200000000000017</v>
      </c>
      <c r="I25" s="36">
        <f t="shared" si="8"/>
        <v>-4.0049857986472974E-2</v>
      </c>
      <c r="J25" s="36">
        <f t="shared" si="4"/>
        <v>0.40512150992721635</v>
      </c>
      <c r="K25" s="111">
        <f t="shared" si="3"/>
        <v>0.40578640162546326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3.4062665535931048E-3</v>
      </c>
      <c r="K26" s="108">
        <f t="shared" si="3"/>
        <v>3.4118569710308434E-3</v>
      </c>
    </row>
    <row r="27" spans="1:11" s="1" customFormat="1" x14ac:dyDescent="0.2">
      <c r="A27" s="119" t="s">
        <v>75</v>
      </c>
      <c r="B27" s="120">
        <f>B8-B4</f>
        <v>104</v>
      </c>
      <c r="C27" s="172">
        <f>IF(B4&gt;B7,C13,C12)</f>
        <v>0.106</v>
      </c>
      <c r="D27" s="22">
        <f>B27*C27</f>
        <v>11.023999999999999</v>
      </c>
      <c r="E27" s="73">
        <f>B27</f>
        <v>104</v>
      </c>
      <c r="F27" s="172">
        <f>C27</f>
        <v>0.106</v>
      </c>
      <c r="G27" s="22">
        <f>E27*F27</f>
        <v>11.023999999999999</v>
      </c>
      <c r="H27" s="22">
        <f t="shared" si="1"/>
        <v>0</v>
      </c>
      <c r="I27" s="23">
        <f t="shared" si="8"/>
        <v>0</v>
      </c>
      <c r="J27" s="23">
        <f t="shared" ref="J27:J46" si="9">G27/$G$46</f>
        <v>4.7532509476975168E-2</v>
      </c>
      <c r="K27" s="108">
        <f t="shared" ref="K27:K41" si="10">G27/$G$51</f>
        <v>4.7610520567903818E-2</v>
      </c>
    </row>
    <row r="28" spans="1:11" s="1" customFormat="1" x14ac:dyDescent="0.2">
      <c r="A28" s="119" t="s">
        <v>74</v>
      </c>
      <c r="B28" s="120">
        <f>B8-B4</f>
        <v>104</v>
      </c>
      <c r="C28" s="172">
        <f>0.65*C15+0.17*C16+0.18*C17</f>
        <v>9.7519999999999996E-2</v>
      </c>
      <c r="D28" s="22">
        <f>B28*C28</f>
        <v>10.14208</v>
      </c>
      <c r="E28" s="73">
        <f>B28</f>
        <v>104</v>
      </c>
      <c r="F28" s="172">
        <f>C28</f>
        <v>9.7519999999999996E-2</v>
      </c>
      <c r="G28" s="22">
        <f>E28*F28</f>
        <v>10.14208</v>
      </c>
      <c r="H28" s="22">
        <f t="shared" si="1"/>
        <v>0</v>
      </c>
      <c r="I28" s="23">
        <f t="shared" si="8"/>
        <v>0</v>
      </c>
      <c r="J28" s="23">
        <f t="shared" si="9"/>
        <v>4.3729908718817156E-2</v>
      </c>
      <c r="K28" s="108">
        <f t="shared" si="10"/>
        <v>4.3801678922471513E-2</v>
      </c>
    </row>
    <row r="29" spans="1:11" s="1" customFormat="1" x14ac:dyDescent="0.2">
      <c r="A29" s="110" t="s">
        <v>78</v>
      </c>
      <c r="B29" s="74"/>
      <c r="C29" s="35"/>
      <c r="D29" s="35">
        <f>SUM(D25,D26:D27)</f>
        <v>109.69200000000001</v>
      </c>
      <c r="E29" s="73"/>
      <c r="F29" s="35"/>
      <c r="G29" s="35">
        <f>SUM(G25,G26:G27)</f>
        <v>105.77200000000001</v>
      </c>
      <c r="H29" s="35">
        <f t="shared" si="1"/>
        <v>-3.9200000000000017</v>
      </c>
      <c r="I29" s="36">
        <f t="shared" si="8"/>
        <v>-3.573642562812239E-2</v>
      </c>
      <c r="J29" s="36">
        <f t="shared" si="9"/>
        <v>0.45606028595778464</v>
      </c>
      <c r="K29" s="111">
        <f t="shared" si="10"/>
        <v>0.45680877916439794</v>
      </c>
    </row>
    <row r="30" spans="1:11" s="1" customFormat="1" x14ac:dyDescent="0.2">
      <c r="A30" s="110" t="s">
        <v>77</v>
      </c>
      <c r="B30" s="74"/>
      <c r="C30" s="35"/>
      <c r="D30" s="35">
        <f>SUM(D25,D26,D28)</f>
        <v>108.81008</v>
      </c>
      <c r="E30" s="73"/>
      <c r="F30" s="35"/>
      <c r="G30" s="35">
        <f>SUM(G25,G26,G28)</f>
        <v>104.89008000000001</v>
      </c>
      <c r="H30" s="35">
        <f t="shared" si="1"/>
        <v>-3.9199999999999875</v>
      </c>
      <c r="I30" s="36">
        <f t="shared" si="8"/>
        <v>-3.6026074054903622E-2</v>
      </c>
      <c r="J30" s="36">
        <f t="shared" si="9"/>
        <v>0.45225768519962667</v>
      </c>
      <c r="K30" s="111">
        <f t="shared" si="10"/>
        <v>0.45299993751896567</v>
      </c>
    </row>
    <row r="31" spans="1:11" x14ac:dyDescent="0.2">
      <c r="A31" s="107" t="s">
        <v>40</v>
      </c>
      <c r="B31" s="73">
        <f>B8</f>
        <v>1104</v>
      </c>
      <c r="C31" s="125">
        <f>VLOOKUP($B$3,'Data for Bill Impacts'!$A$3:$Y$15,15,0)</f>
        <v>5.6559999999999996E-3</v>
      </c>
      <c r="D31" s="22">
        <f>B31*C31</f>
        <v>6.2442239999999991</v>
      </c>
      <c r="E31" s="73">
        <f t="shared" si="6"/>
        <v>1104</v>
      </c>
      <c r="F31" s="125">
        <f>VLOOKUP($B$3,'Data for Bill Impacts'!$A$3:$Y$15,24,0)</f>
        <v>5.6559999999999996E-3</v>
      </c>
      <c r="G31" s="22">
        <f>E31*F31</f>
        <v>6.2442239999999991</v>
      </c>
      <c r="H31" s="22">
        <f t="shared" si="1"/>
        <v>0</v>
      </c>
      <c r="I31" s="23">
        <f t="shared" si="8"/>
        <v>0</v>
      </c>
      <c r="J31" s="23">
        <f t="shared" si="9"/>
        <v>2.6923406790308031E-2</v>
      </c>
      <c r="K31" s="108">
        <f t="shared" si="10"/>
        <v>2.69675939026305E-2</v>
      </c>
    </row>
    <row r="32" spans="1:11" x14ac:dyDescent="0.2">
      <c r="A32" s="107" t="s">
        <v>41</v>
      </c>
      <c r="B32" s="73">
        <f>B8</f>
        <v>1104</v>
      </c>
      <c r="C32" s="125">
        <f>VLOOKUP($B$3,'Data for Bill Impacts'!$A$3:$Y$15,16,0)</f>
        <v>4.8209999999999998E-3</v>
      </c>
      <c r="D32" s="22">
        <f>B32*C32</f>
        <v>5.3223839999999996</v>
      </c>
      <c r="E32" s="73">
        <f t="shared" si="6"/>
        <v>1104</v>
      </c>
      <c r="F32" s="125">
        <f>VLOOKUP($B$3,'Data for Bill Impacts'!$A$3:$Y$15,25,0)</f>
        <v>4.8209999999999998E-3</v>
      </c>
      <c r="G32" s="22">
        <f>E32*F32</f>
        <v>5.3223839999999996</v>
      </c>
      <c r="H32" s="22">
        <f t="shared" si="1"/>
        <v>0</v>
      </c>
      <c r="I32" s="23">
        <f t="shared" si="8"/>
        <v>0</v>
      </c>
      <c r="J32" s="23">
        <f t="shared" si="9"/>
        <v>2.2948681777948204E-2</v>
      </c>
      <c r="K32" s="108">
        <f t="shared" si="10"/>
        <v>2.2986345510003826E-2</v>
      </c>
    </row>
    <row r="33" spans="1:11" s="1" customFormat="1" x14ac:dyDescent="0.2">
      <c r="A33" s="110" t="s">
        <v>76</v>
      </c>
      <c r="B33" s="74"/>
      <c r="C33" s="35"/>
      <c r="D33" s="35">
        <f>SUM(D31:D32)</f>
        <v>11.566607999999999</v>
      </c>
      <c r="E33" s="73"/>
      <c r="F33" s="35"/>
      <c r="G33" s="35">
        <f>SUM(G31:G32)</f>
        <v>11.566607999999999</v>
      </c>
      <c r="H33" s="35">
        <f t="shared" si="1"/>
        <v>0</v>
      </c>
      <c r="I33" s="36">
        <f t="shared" si="8"/>
        <v>0</v>
      </c>
      <c r="J33" s="36">
        <f t="shared" si="9"/>
        <v>4.9872088568256236E-2</v>
      </c>
      <c r="K33" s="111">
        <f t="shared" si="10"/>
        <v>4.9953939412634325E-2</v>
      </c>
    </row>
    <row r="34" spans="1:11" s="1" customFormat="1" x14ac:dyDescent="0.2">
      <c r="A34" s="110" t="s">
        <v>91</v>
      </c>
      <c r="B34" s="74"/>
      <c r="C34" s="35"/>
      <c r="D34" s="35">
        <f>D29+D33</f>
        <v>121.25860800000001</v>
      </c>
      <c r="E34" s="73"/>
      <c r="F34" s="35"/>
      <c r="G34" s="35">
        <f>G29+G33</f>
        <v>117.33860800000001</v>
      </c>
      <c r="H34" s="35">
        <f t="shared" si="1"/>
        <v>-3.9200000000000017</v>
      </c>
      <c r="I34" s="36">
        <f t="shared" si="8"/>
        <v>-3.2327601847449886E-2</v>
      </c>
      <c r="J34" s="36">
        <f t="shared" si="9"/>
        <v>0.5059323745260409</v>
      </c>
      <c r="K34" s="111">
        <f t="shared" si="10"/>
        <v>0.50676271857703226</v>
      </c>
    </row>
    <row r="35" spans="1:11" s="1" customFormat="1" x14ac:dyDescent="0.2">
      <c r="A35" s="110" t="s">
        <v>92</v>
      </c>
      <c r="B35" s="74"/>
      <c r="C35" s="35"/>
      <c r="D35" s="35">
        <f>D30+D33</f>
        <v>120.376688</v>
      </c>
      <c r="E35" s="73"/>
      <c r="F35" s="35"/>
      <c r="G35" s="35">
        <f>G30+G33</f>
        <v>116.45668800000001</v>
      </c>
      <c r="H35" s="35">
        <f t="shared" si="1"/>
        <v>-3.9199999999999875</v>
      </c>
      <c r="I35" s="36">
        <f t="shared" si="8"/>
        <v>-3.2564444703778422E-2</v>
      </c>
      <c r="J35" s="36">
        <f t="shared" si="9"/>
        <v>0.50212977376788293</v>
      </c>
      <c r="K35" s="111">
        <f t="shared" si="10"/>
        <v>0.50295387693159999</v>
      </c>
    </row>
    <row r="36" spans="1:11" x14ac:dyDescent="0.2">
      <c r="A36" s="107" t="s">
        <v>42</v>
      </c>
      <c r="B36" s="73">
        <f>B8</f>
        <v>1104</v>
      </c>
      <c r="C36" s="34">
        <v>3.5999999999999999E-3</v>
      </c>
      <c r="D36" s="22">
        <f>B36*C36</f>
        <v>3.9743999999999997</v>
      </c>
      <c r="E36" s="73">
        <f t="shared" si="6"/>
        <v>1104</v>
      </c>
      <c r="F36" s="34">
        <v>3.5999999999999999E-3</v>
      </c>
      <c r="G36" s="22">
        <f>E36*F36</f>
        <v>3.9743999999999997</v>
      </c>
      <c r="H36" s="22">
        <f t="shared" si="1"/>
        <v>0</v>
      </c>
      <c r="I36" s="23">
        <f t="shared" si="8"/>
        <v>0</v>
      </c>
      <c r="J36" s="23">
        <f t="shared" si="9"/>
        <v>1.7136538975443587E-2</v>
      </c>
      <c r="K36" s="108">
        <f t="shared" si="10"/>
        <v>1.7164663728689852E-2</v>
      </c>
    </row>
    <row r="37" spans="1:11" x14ac:dyDescent="0.2">
      <c r="A37" s="107" t="s">
        <v>43</v>
      </c>
      <c r="B37" s="73">
        <f>B8</f>
        <v>1104</v>
      </c>
      <c r="C37" s="34">
        <v>2.0999999999999999E-3</v>
      </c>
      <c r="D37" s="22">
        <f>B37*C37</f>
        <v>2.3184</v>
      </c>
      <c r="E37" s="73">
        <f t="shared" si="6"/>
        <v>1104</v>
      </c>
      <c r="F37" s="34">
        <v>2.0999999999999999E-3</v>
      </c>
      <c r="G37" s="22">
        <f>E37*F37</f>
        <v>2.3184</v>
      </c>
      <c r="H37" s="22">
        <f>G37-D37</f>
        <v>0</v>
      </c>
      <c r="I37" s="23">
        <f t="shared" si="8"/>
        <v>0</v>
      </c>
      <c r="J37" s="23">
        <f t="shared" si="9"/>
        <v>9.9963144023420929E-3</v>
      </c>
      <c r="K37" s="108">
        <f t="shared" si="10"/>
        <v>1.0012720508402415E-2</v>
      </c>
    </row>
    <row r="38" spans="1:11" x14ac:dyDescent="0.2">
      <c r="A38" s="107" t="s">
        <v>96</v>
      </c>
      <c r="B38" s="73">
        <f>B8</f>
        <v>1104</v>
      </c>
      <c r="C38" s="34">
        <v>0</v>
      </c>
      <c r="D38" s="22">
        <f>B38*C38</f>
        <v>0</v>
      </c>
      <c r="E38" s="73">
        <f t="shared" si="6"/>
        <v>1104</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1.0779324536687039E-3</v>
      </c>
      <c r="K39" s="108">
        <f t="shared" si="10"/>
        <v>1.0797015731110265E-3</v>
      </c>
    </row>
    <row r="40" spans="1:11" s="1" customFormat="1" x14ac:dyDescent="0.2">
      <c r="A40" s="110" t="s">
        <v>45</v>
      </c>
      <c r="B40" s="74"/>
      <c r="C40" s="35"/>
      <c r="D40" s="35">
        <f>SUM(D36:D39)</f>
        <v>6.5427999999999997</v>
      </c>
      <c r="E40" s="73"/>
      <c r="F40" s="35"/>
      <c r="G40" s="35">
        <f>SUM(G36:G39)</f>
        <v>6.5427999999999997</v>
      </c>
      <c r="H40" s="35">
        <f t="shared" si="1"/>
        <v>0</v>
      </c>
      <c r="I40" s="36">
        <f t="shared" si="8"/>
        <v>0</v>
      </c>
      <c r="J40" s="36">
        <f t="shared" si="9"/>
        <v>2.8210785831454383E-2</v>
      </c>
      <c r="K40" s="111">
        <f t="shared" si="10"/>
        <v>2.8257085810203291E-2</v>
      </c>
    </row>
    <row r="41" spans="1:11" s="1" customFormat="1" ht="13.5" thickBot="1" x14ac:dyDescent="0.25">
      <c r="A41" s="112" t="s">
        <v>46</v>
      </c>
      <c r="B41" s="113">
        <f>B4</f>
        <v>1000</v>
      </c>
      <c r="C41" s="114">
        <v>0</v>
      </c>
      <c r="D41" s="115">
        <f>B41*C41</f>
        <v>0</v>
      </c>
      <c r="E41" s="116">
        <f t="shared" si="6"/>
        <v>1000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224.80140799999998</v>
      </c>
      <c r="E42" s="38"/>
      <c r="F42" s="39"/>
      <c r="G42" s="39">
        <f>SUM(G14,G25,G26,G27,G33,G40,G41)</f>
        <v>220.88140799999999</v>
      </c>
      <c r="H42" s="39">
        <f t="shared" si="1"/>
        <v>-3.9199999999999875</v>
      </c>
      <c r="I42" s="40">
        <f t="shared" si="8"/>
        <v>-1.7437613202137898E-2</v>
      </c>
      <c r="J42" s="40">
        <f t="shared" si="9"/>
        <v>0.95238095238095233</v>
      </c>
      <c r="K42" s="41"/>
    </row>
    <row r="43" spans="1:11" x14ac:dyDescent="0.2">
      <c r="A43" s="153" t="s">
        <v>102</v>
      </c>
      <c r="B43" s="43"/>
      <c r="C43" s="26">
        <v>0.13</v>
      </c>
      <c r="D43" s="26">
        <f>D42*C43</f>
        <v>29.22418304</v>
      </c>
      <c r="E43" s="26"/>
      <c r="F43" s="26">
        <f>C43</f>
        <v>0.13</v>
      </c>
      <c r="G43" s="26">
        <f>G42*F43</f>
        <v>28.714583040000001</v>
      </c>
      <c r="H43" s="26">
        <f t="shared" si="1"/>
        <v>-0.50959999999999894</v>
      </c>
      <c r="I43" s="44">
        <f t="shared" si="8"/>
        <v>-1.7437613202137915E-2</v>
      </c>
      <c r="J43" s="44">
        <f t="shared" si="9"/>
        <v>0.12380952380952381</v>
      </c>
      <c r="K43" s="45"/>
    </row>
    <row r="44" spans="1:11" s="1" customFormat="1" x14ac:dyDescent="0.2">
      <c r="A44" s="46" t="s">
        <v>103</v>
      </c>
      <c r="B44" s="24"/>
      <c r="C44" s="25"/>
      <c r="D44" s="25">
        <f>SUM(D42:D43)</f>
        <v>254.02559103999999</v>
      </c>
      <c r="E44" s="25"/>
      <c r="F44" s="25"/>
      <c r="G44" s="25">
        <f>SUM(G42:G43)</f>
        <v>249.59599104</v>
      </c>
      <c r="H44" s="25">
        <f t="shared" si="1"/>
        <v>-4.4295999999999935</v>
      </c>
      <c r="I44" s="27">
        <f t="shared" si="8"/>
        <v>-1.7437613202137926E-2</v>
      </c>
      <c r="J44" s="27">
        <f t="shared" si="9"/>
        <v>1.0761904761904761</v>
      </c>
      <c r="K44" s="47"/>
    </row>
    <row r="45" spans="1:11" x14ac:dyDescent="0.2">
      <c r="A45" s="42" t="s">
        <v>104</v>
      </c>
      <c r="B45" s="43"/>
      <c r="C45" s="26">
        <v>-0.08</v>
      </c>
      <c r="D45" s="26">
        <f>D42*C45</f>
        <v>-17.984112639999999</v>
      </c>
      <c r="E45" s="26"/>
      <c r="F45" s="26">
        <f>C45</f>
        <v>-0.08</v>
      </c>
      <c r="G45" s="26">
        <f>G42*F45</f>
        <v>-17.670512639999998</v>
      </c>
      <c r="H45" s="26">
        <f t="shared" si="1"/>
        <v>0.31360000000000099</v>
      </c>
      <c r="I45" s="44">
        <f t="shared" si="8"/>
        <v>1.7437613202138005E-2</v>
      </c>
      <c r="J45" s="44">
        <f t="shared" si="9"/>
        <v>-7.6190476190476183E-2</v>
      </c>
      <c r="K45" s="45"/>
    </row>
    <row r="46" spans="1:11" s="1" customFormat="1" ht="13.5" thickBot="1" x14ac:dyDescent="0.25">
      <c r="A46" s="48" t="s">
        <v>105</v>
      </c>
      <c r="B46" s="49"/>
      <c r="C46" s="50"/>
      <c r="D46" s="50">
        <f>SUM(D44:D45)</f>
        <v>236.04147839999999</v>
      </c>
      <c r="E46" s="50"/>
      <c r="F46" s="50"/>
      <c r="G46" s="50">
        <f>SUM(G44:G45)</f>
        <v>231.9254784</v>
      </c>
      <c r="H46" s="50">
        <f t="shared" si="1"/>
        <v>-4.1159999999999854</v>
      </c>
      <c r="I46" s="51">
        <f t="shared" si="8"/>
        <v>-1.7437613202137891E-2</v>
      </c>
      <c r="J46" s="51">
        <f t="shared" si="9"/>
        <v>1</v>
      </c>
      <c r="K46" s="52"/>
    </row>
    <row r="47" spans="1:11" x14ac:dyDescent="0.2">
      <c r="A47" s="53" t="s">
        <v>106</v>
      </c>
      <c r="B47" s="54"/>
      <c r="C47" s="55"/>
      <c r="D47" s="55">
        <f>SUM(D18,D25,D26,D28,D33,D40,D41)</f>
        <v>224.43948799999998</v>
      </c>
      <c r="E47" s="55"/>
      <c r="F47" s="55"/>
      <c r="G47" s="55">
        <f>SUM(G18,G25,G26,G28,G33,G40,G41)</f>
        <v>220.519488</v>
      </c>
      <c r="H47" s="55">
        <f>G47-D47</f>
        <v>-3.9199999999999875</v>
      </c>
      <c r="I47" s="56">
        <f t="shared" si="8"/>
        <v>-1.7465732233358098E-2</v>
      </c>
      <c r="J47" s="56"/>
      <c r="K47" s="57">
        <f>G47/$G$51</f>
        <v>0.95238095238095244</v>
      </c>
    </row>
    <row r="48" spans="1:11" x14ac:dyDescent="0.2">
      <c r="A48" s="58" t="s">
        <v>102</v>
      </c>
      <c r="B48" s="59"/>
      <c r="C48" s="31">
        <v>0.13</v>
      </c>
      <c r="D48" s="31">
        <f>D47*C48</f>
        <v>29.177133439999999</v>
      </c>
      <c r="E48" s="31"/>
      <c r="F48" s="31">
        <f>C48</f>
        <v>0.13</v>
      </c>
      <c r="G48" s="31">
        <f>G47*F48</f>
        <v>28.66753344</v>
      </c>
      <c r="H48" s="31">
        <f>G48-D48</f>
        <v>-0.50959999999999894</v>
      </c>
      <c r="I48" s="32">
        <f t="shared" si="8"/>
        <v>-1.7465732233358115E-2</v>
      </c>
      <c r="J48" s="32"/>
      <c r="K48" s="60">
        <f>G48/$G$51</f>
        <v>0.12380952380952381</v>
      </c>
    </row>
    <row r="49" spans="1:11" x14ac:dyDescent="0.2">
      <c r="A49" s="149" t="s">
        <v>107</v>
      </c>
      <c r="B49" s="29"/>
      <c r="C49" s="30"/>
      <c r="D49" s="30">
        <f>SUM(D47:D48)</f>
        <v>253.61662143999999</v>
      </c>
      <c r="E49" s="30"/>
      <c r="F49" s="30"/>
      <c r="G49" s="30">
        <f>SUM(G47:G48)</f>
        <v>249.18702144</v>
      </c>
      <c r="H49" s="30">
        <f>G49-D49</f>
        <v>-4.4295999999999935</v>
      </c>
      <c r="I49" s="33">
        <f t="shared" si="8"/>
        <v>-1.7465732233358126E-2</v>
      </c>
      <c r="J49" s="33"/>
      <c r="K49" s="62">
        <f>G49/$G$51</f>
        <v>1.0761904761904761</v>
      </c>
    </row>
    <row r="50" spans="1:11" x14ac:dyDescent="0.2">
      <c r="A50" s="58" t="s">
        <v>104</v>
      </c>
      <c r="B50" s="59"/>
      <c r="C50" s="31">
        <v>-0.08</v>
      </c>
      <c r="D50" s="31">
        <f>D47*C50</f>
        <v>-17.955159039999998</v>
      </c>
      <c r="E50" s="31"/>
      <c r="F50" s="31">
        <f>C50</f>
        <v>-0.08</v>
      </c>
      <c r="G50" s="31">
        <f>G47*F50</f>
        <v>-17.641559040000001</v>
      </c>
      <c r="H50" s="31">
        <f>G50-D50</f>
        <v>0.31359999999999744</v>
      </c>
      <c r="I50" s="32">
        <f t="shared" si="8"/>
        <v>1.7465732233358011E-2</v>
      </c>
      <c r="J50" s="32"/>
      <c r="K50" s="60">
        <f>G50/$G$51</f>
        <v>-7.6190476190476197E-2</v>
      </c>
    </row>
    <row r="51" spans="1:11" ht="13.5" thickBot="1" x14ac:dyDescent="0.25">
      <c r="A51" s="63" t="s">
        <v>116</v>
      </c>
      <c r="B51" s="64"/>
      <c r="C51" s="65"/>
      <c r="D51" s="65">
        <f>SUM(D49:D50)</f>
        <v>235.6614624</v>
      </c>
      <c r="E51" s="65"/>
      <c r="F51" s="65"/>
      <c r="G51" s="65">
        <f>SUM(G49:G50)</f>
        <v>231.54546239999999</v>
      </c>
      <c r="H51" s="65">
        <f>G51-D51</f>
        <v>-4.1160000000000139</v>
      </c>
      <c r="I51" s="66">
        <f t="shared" si="8"/>
        <v>-1.7465732233358209E-2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1" tint="0.499984740745262"/>
    <pageSetUpPr fitToPage="1"/>
  </sheetPr>
  <dimension ref="A1:K68"/>
  <sheetViews>
    <sheetView tabSelected="1" view="pageLayout" topLeftCell="A4"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117</v>
      </c>
      <c r="B1" s="189"/>
      <c r="C1" s="189"/>
      <c r="D1" s="189"/>
      <c r="E1" s="189"/>
      <c r="F1" s="189"/>
      <c r="G1" s="189"/>
      <c r="H1" s="189"/>
      <c r="I1" s="189"/>
      <c r="J1" s="189"/>
      <c r="K1" s="190"/>
    </row>
    <row r="3" spans="1:11" x14ac:dyDescent="0.2">
      <c r="A3" s="13" t="s">
        <v>13</v>
      </c>
      <c r="B3" s="13" t="s">
        <v>6</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1067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0.35618256155823746</v>
      </c>
      <c r="K12" s="106"/>
    </row>
    <row r="13" spans="1:11" x14ac:dyDescent="0.2">
      <c r="A13" s="107" t="s">
        <v>32</v>
      </c>
      <c r="B13" s="73">
        <f>IF(B4&gt;B7,(B4)-B7,0)</f>
        <v>250</v>
      </c>
      <c r="C13" s="21">
        <v>0.106</v>
      </c>
      <c r="D13" s="22">
        <f>B13*C13</f>
        <v>26.5</v>
      </c>
      <c r="E13" s="73">
        <f>B13</f>
        <v>250</v>
      </c>
      <c r="F13" s="21">
        <f>C13</f>
        <v>0.106</v>
      </c>
      <c r="G13" s="22">
        <f>E13*F13</f>
        <v>26.5</v>
      </c>
      <c r="H13" s="22">
        <f t="shared" ref="H13:H46" si="1">G13-D13</f>
        <v>0</v>
      </c>
      <c r="I13" s="23">
        <f t="shared" si="0"/>
        <v>0</v>
      </c>
      <c r="J13" s="23">
        <f>G13/$G$46</f>
        <v>0.13829799093470027</v>
      </c>
      <c r="K13" s="108"/>
    </row>
    <row r="14" spans="1:11" s="1" customFormat="1" x14ac:dyDescent="0.2">
      <c r="A14" s="46" t="s">
        <v>33</v>
      </c>
      <c r="B14" s="24"/>
      <c r="C14" s="25"/>
      <c r="D14" s="25">
        <f>SUM(D12:D13)</f>
        <v>94.75</v>
      </c>
      <c r="E14" s="76"/>
      <c r="F14" s="25"/>
      <c r="G14" s="25">
        <f>SUM(G12:G13)</f>
        <v>94.75</v>
      </c>
      <c r="H14" s="25">
        <f t="shared" si="1"/>
        <v>0</v>
      </c>
      <c r="I14" s="27">
        <f t="shared" si="0"/>
        <v>0</v>
      </c>
      <c r="J14" s="27">
        <f>G14/$G$46</f>
        <v>0.49448055249293776</v>
      </c>
      <c r="K14" s="108"/>
    </row>
    <row r="15" spans="1:11" s="1" customFormat="1" x14ac:dyDescent="0.2">
      <c r="A15" s="109" t="s">
        <v>34</v>
      </c>
      <c r="B15" s="75">
        <f>B4*0.65</f>
        <v>650</v>
      </c>
      <c r="C15" s="28">
        <v>7.6999999999999999E-2</v>
      </c>
      <c r="D15" s="22">
        <f>B15*C15</f>
        <v>50.05</v>
      </c>
      <c r="E15" s="73">
        <f t="shared" ref="E15:F17" si="2">B15</f>
        <v>650</v>
      </c>
      <c r="F15" s="28">
        <f t="shared" si="2"/>
        <v>7.6999999999999999E-2</v>
      </c>
      <c r="G15" s="22">
        <f>E15*F15</f>
        <v>50.05</v>
      </c>
      <c r="H15" s="22">
        <f t="shared" si="1"/>
        <v>0</v>
      </c>
      <c r="I15" s="23">
        <f t="shared" si="0"/>
        <v>0</v>
      </c>
      <c r="J15" s="23"/>
      <c r="K15" s="108">
        <f t="shared" ref="K15:K26" si="3">G15/$G$51</f>
        <v>0.25808660317238108</v>
      </c>
    </row>
    <row r="16" spans="1:11" s="1" customFormat="1" x14ac:dyDescent="0.2">
      <c r="A16" s="109" t="s">
        <v>35</v>
      </c>
      <c r="B16" s="75">
        <f>B4*0.17</f>
        <v>170</v>
      </c>
      <c r="C16" s="28">
        <v>0.113</v>
      </c>
      <c r="D16" s="22">
        <f>B16*C16</f>
        <v>19.21</v>
      </c>
      <c r="E16" s="73">
        <f t="shared" si="2"/>
        <v>170</v>
      </c>
      <c r="F16" s="28">
        <f t="shared" si="2"/>
        <v>0.113</v>
      </c>
      <c r="G16" s="22">
        <f>E16*F16</f>
        <v>19.21</v>
      </c>
      <c r="H16" s="22">
        <f t="shared" si="1"/>
        <v>0</v>
      </c>
      <c r="I16" s="23">
        <f t="shared" si="0"/>
        <v>0</v>
      </c>
      <c r="J16" s="23"/>
      <c r="K16" s="108">
        <f t="shared" si="3"/>
        <v>9.9057815123705109E-2</v>
      </c>
    </row>
    <row r="17" spans="1:11" s="1" customFormat="1" x14ac:dyDescent="0.2">
      <c r="A17" s="109" t="s">
        <v>36</v>
      </c>
      <c r="B17" s="75">
        <f>B4*0.18</f>
        <v>180</v>
      </c>
      <c r="C17" s="28">
        <v>0.157</v>
      </c>
      <c r="D17" s="22">
        <f>B17*C17</f>
        <v>28.26</v>
      </c>
      <c r="E17" s="73">
        <f t="shared" si="2"/>
        <v>180</v>
      </c>
      <c r="F17" s="28">
        <f t="shared" si="2"/>
        <v>0.157</v>
      </c>
      <c r="G17" s="22">
        <f>E17*F17</f>
        <v>28.26</v>
      </c>
      <c r="H17" s="22">
        <f t="shared" si="1"/>
        <v>0</v>
      </c>
      <c r="I17" s="23">
        <f t="shared" si="0"/>
        <v>0</v>
      </c>
      <c r="J17" s="23"/>
      <c r="K17" s="108">
        <f t="shared" si="3"/>
        <v>0.14572482328974007</v>
      </c>
    </row>
    <row r="18" spans="1:11" s="1" customFormat="1" x14ac:dyDescent="0.2">
      <c r="A18" s="61" t="s">
        <v>37</v>
      </c>
      <c r="B18" s="29"/>
      <c r="C18" s="30"/>
      <c r="D18" s="30">
        <f>SUM(D15:D17)</f>
        <v>97.52</v>
      </c>
      <c r="E18" s="77"/>
      <c r="F18" s="30"/>
      <c r="G18" s="30">
        <f>SUM(G15:G17)</f>
        <v>97.52</v>
      </c>
      <c r="H18" s="31">
        <f t="shared" si="1"/>
        <v>0</v>
      </c>
      <c r="I18" s="32">
        <f t="shared" si="0"/>
        <v>0</v>
      </c>
      <c r="J18" s="33">
        <f t="shared" ref="J18:J23" si="4">G18/$G$46</f>
        <v>0.50893660663969698</v>
      </c>
      <c r="K18" s="62">
        <f t="shared" si="3"/>
        <v>0.50286924158582624</v>
      </c>
    </row>
    <row r="19" spans="1:11" x14ac:dyDescent="0.2">
      <c r="A19" s="107" t="s">
        <v>38</v>
      </c>
      <c r="B19" s="73">
        <v>1</v>
      </c>
      <c r="C19" s="78">
        <f>VLOOKUP($B$3,'Data for Bill Impacts'!$A$3:$Y$15,7,0)</f>
        <v>24.47</v>
      </c>
      <c r="D19" s="22">
        <f t="shared" ref="D19:D24" si="5">B19*C19</f>
        <v>24.47</v>
      </c>
      <c r="E19" s="73">
        <f t="shared" ref="E19:E41" si="6">B19</f>
        <v>1</v>
      </c>
      <c r="F19" s="78">
        <f>VLOOKUP($B$3,'Data for Bill Impacts'!$A$3:$Y$15,17,0)</f>
        <v>25.1</v>
      </c>
      <c r="G19" s="22">
        <f t="shared" ref="G19:G24" si="7">E19*F19</f>
        <v>25.1</v>
      </c>
      <c r="H19" s="22">
        <f t="shared" si="1"/>
        <v>0.63000000000000256</v>
      </c>
      <c r="I19" s="23">
        <f>IF(ISERROR(H19/ABS(D19)),"N/A",(H19/ABS(D19)))</f>
        <v>2.5745811197384658E-2</v>
      </c>
      <c r="J19" s="23">
        <f t="shared" si="4"/>
        <v>0.13099168197965952</v>
      </c>
      <c r="K19" s="108">
        <f t="shared" si="3"/>
        <v>0.12943004474778752</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110</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8.0000000000000002E-3</v>
      </c>
      <c r="D22" s="22">
        <f t="shared" si="5"/>
        <v>8.0000000000000002E-3</v>
      </c>
      <c r="E22" s="73">
        <f t="shared" si="6"/>
        <v>1</v>
      </c>
      <c r="F22" s="121">
        <f>VLOOKUP($B$3,'Data for Bill Impacts'!$A$3:$Y$15,22,0)</f>
        <v>8.0000000000000002E-3</v>
      </c>
      <c r="G22" s="22">
        <f t="shared" si="7"/>
        <v>8.0000000000000002E-3</v>
      </c>
      <c r="H22" s="22">
        <f t="shared" si="1"/>
        <v>0</v>
      </c>
      <c r="I22" s="23">
        <f t="shared" ref="I22:I51" si="8">IF(ISERROR(H22/ABS(D22)),"N/A",(H22/ABS(D22)))</f>
        <v>0</v>
      </c>
      <c r="J22" s="23">
        <f t="shared" si="4"/>
        <v>4.1750336885947251E-5</v>
      </c>
      <c r="K22" s="108">
        <f t="shared" si="3"/>
        <v>4.12526039036773E-5</v>
      </c>
    </row>
    <row r="23" spans="1:11" x14ac:dyDescent="0.2">
      <c r="A23" s="107" t="s">
        <v>39</v>
      </c>
      <c r="B23" s="73">
        <f>IF($B$9="kWh",$B$4,$B$5)</f>
        <v>1000</v>
      </c>
      <c r="C23" s="78">
        <f>VLOOKUP($B$3,'Data for Bill Impacts'!$A$3:$Y$15,10,0)</f>
        <v>2.9000000000000001E-2</v>
      </c>
      <c r="D23" s="22">
        <f t="shared" si="5"/>
        <v>29</v>
      </c>
      <c r="E23" s="73">
        <f t="shared" si="6"/>
        <v>1000</v>
      </c>
      <c r="F23" s="78">
        <f>VLOOKUP($B$3,'Data for Bill Impacts'!$A$3:$Y$15,19,0)</f>
        <v>2.9899999999999999E-2</v>
      </c>
      <c r="G23" s="22">
        <f t="shared" si="7"/>
        <v>29.9</v>
      </c>
      <c r="H23" s="22">
        <f t="shared" si="1"/>
        <v>0.89999999999999858</v>
      </c>
      <c r="I23" s="23">
        <f t="shared" si="8"/>
        <v>3.1034482758620641E-2</v>
      </c>
      <c r="J23" s="23">
        <f t="shared" si="4"/>
        <v>0.15604188411122785</v>
      </c>
      <c r="K23" s="108">
        <f t="shared" si="3"/>
        <v>0.1541816070899939</v>
      </c>
    </row>
    <row r="24" spans="1:11" x14ac:dyDescent="0.2">
      <c r="A24" s="107" t="s">
        <v>121</v>
      </c>
      <c r="B24" s="73">
        <f>IF($B$9="kWh",$B$4,$B$5)</f>
        <v>1000</v>
      </c>
      <c r="C24" s="125">
        <f>VLOOKUP($B$3,'Data for Bill Impacts'!$A$3:$Y$15,14,0)</f>
        <v>3.0000000000000004E-5</v>
      </c>
      <c r="D24" s="22">
        <f t="shared" si="5"/>
        <v>3.0000000000000006E-2</v>
      </c>
      <c r="E24" s="73">
        <f t="shared" si="6"/>
        <v>1000</v>
      </c>
      <c r="F24" s="125">
        <f>VLOOKUP($B$3,'Data for Bill Impacts'!$A$3:$Y$15,23,0)</f>
        <v>3.0000000000000004E-5</v>
      </c>
      <c r="G24" s="22">
        <f t="shared" si="7"/>
        <v>3.0000000000000006E-2</v>
      </c>
      <c r="H24" s="22">
        <f t="shared" si="1"/>
        <v>0</v>
      </c>
      <c r="I24" s="23">
        <f t="shared" si="8"/>
        <v>0</v>
      </c>
      <c r="J24" s="23">
        <f>G24/$G$46</f>
        <v>1.5656376332230223E-4</v>
      </c>
      <c r="K24" s="108">
        <f t="shared" si="3"/>
        <v>1.5469726463878989E-4</v>
      </c>
    </row>
    <row r="25" spans="1:11" s="1" customFormat="1" x14ac:dyDescent="0.2">
      <c r="A25" s="110" t="s">
        <v>72</v>
      </c>
      <c r="B25" s="74"/>
      <c r="C25" s="35"/>
      <c r="D25" s="35">
        <f>SUM(D19:D24)</f>
        <v>53.507999999999996</v>
      </c>
      <c r="E25" s="73"/>
      <c r="F25" s="35"/>
      <c r="G25" s="35">
        <f>SUM(G19:G24)</f>
        <v>55.037999999999997</v>
      </c>
      <c r="H25" s="35">
        <f t="shared" si="1"/>
        <v>1.5300000000000011</v>
      </c>
      <c r="I25" s="36">
        <f t="shared" si="8"/>
        <v>2.8593855124467393E-2</v>
      </c>
      <c r="J25" s="36">
        <f>G25/$G$46</f>
        <v>0.28723188019109558</v>
      </c>
      <c r="K25" s="111">
        <f t="shared" si="3"/>
        <v>0.28380760170632385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G26/$G$46</f>
        <v>4.1228457674872916E-3</v>
      </c>
      <c r="K26" s="108">
        <f t="shared" si="3"/>
        <v>4.0736946354881336E-3</v>
      </c>
    </row>
    <row r="27" spans="1:11" s="1" customFormat="1" x14ac:dyDescent="0.2">
      <c r="A27" s="119" t="s">
        <v>75</v>
      </c>
      <c r="B27" s="120">
        <f>B8-B4</f>
        <v>67</v>
      </c>
      <c r="C27" s="172">
        <f>IF(B4&gt;B7,C13,C12)</f>
        <v>0.106</v>
      </c>
      <c r="D27" s="22">
        <f>B27*C27</f>
        <v>7.1019999999999994</v>
      </c>
      <c r="E27" s="73">
        <f>B27</f>
        <v>67</v>
      </c>
      <c r="F27" s="172">
        <f>C27</f>
        <v>0.106</v>
      </c>
      <c r="G27" s="22">
        <f>E27*F27</f>
        <v>7.1019999999999994</v>
      </c>
      <c r="H27" s="22">
        <f t="shared" si="1"/>
        <v>0</v>
      </c>
      <c r="I27" s="23">
        <f t="shared" si="8"/>
        <v>0</v>
      </c>
      <c r="J27" s="23">
        <f t="shared" ref="J27:J46" si="9">G27/$G$46</f>
        <v>3.7063861570499672E-2</v>
      </c>
      <c r="K27" s="108">
        <f t="shared" ref="K27:K41" si="10">G27/$G$51</f>
        <v>3.6621999115489516E-2</v>
      </c>
    </row>
    <row r="28" spans="1:11" s="1" customFormat="1" x14ac:dyDescent="0.2">
      <c r="A28" s="119" t="s">
        <v>74</v>
      </c>
      <c r="B28" s="120">
        <f>B8-B4</f>
        <v>67</v>
      </c>
      <c r="C28" s="172">
        <f>0.65*C15+0.17*C16+0.18*C17</f>
        <v>9.7519999999999996E-2</v>
      </c>
      <c r="D28" s="22">
        <f>B28*C28</f>
        <v>6.5338399999999996</v>
      </c>
      <c r="E28" s="73">
        <f>B28</f>
        <v>67</v>
      </c>
      <c r="F28" s="172">
        <f>C28</f>
        <v>9.7519999999999996E-2</v>
      </c>
      <c r="G28" s="22">
        <f>E28*F28</f>
        <v>6.5338399999999996</v>
      </c>
      <c r="H28" s="22">
        <f t="shared" si="1"/>
        <v>0</v>
      </c>
      <c r="I28" s="23">
        <f t="shared" si="8"/>
        <v>0</v>
      </c>
      <c r="J28" s="23">
        <f t="shared" si="9"/>
        <v>3.4098752644859696E-2</v>
      </c>
      <c r="K28" s="108">
        <f t="shared" si="10"/>
        <v>3.3692239186250354E-2</v>
      </c>
    </row>
    <row r="29" spans="1:11" s="1" customFormat="1" x14ac:dyDescent="0.2">
      <c r="A29" s="110" t="s">
        <v>78</v>
      </c>
      <c r="B29" s="74"/>
      <c r="C29" s="35"/>
      <c r="D29" s="35">
        <f>SUM(D25,D26:D27)</f>
        <v>61.399999999999991</v>
      </c>
      <c r="E29" s="73"/>
      <c r="F29" s="35"/>
      <c r="G29" s="35">
        <f>SUM(G25,G26:G27)</f>
        <v>62.929999999999993</v>
      </c>
      <c r="H29" s="35">
        <f t="shared" si="1"/>
        <v>1.5300000000000011</v>
      </c>
      <c r="I29" s="36">
        <f t="shared" si="8"/>
        <v>2.4918566775244323E-2</v>
      </c>
      <c r="J29" s="36">
        <f t="shared" si="9"/>
        <v>0.32841858752908254</v>
      </c>
      <c r="K29" s="111">
        <f t="shared" si="10"/>
        <v>0.3245032954573015</v>
      </c>
    </row>
    <row r="30" spans="1:11" s="1" customFormat="1" x14ac:dyDescent="0.2">
      <c r="A30" s="110" t="s">
        <v>77</v>
      </c>
      <c r="B30" s="74"/>
      <c r="C30" s="35"/>
      <c r="D30" s="35">
        <f>SUM(D25,D26,D28)</f>
        <v>60.831839999999993</v>
      </c>
      <c r="E30" s="73"/>
      <c r="F30" s="35"/>
      <c r="G30" s="35">
        <f>SUM(G25,G26,G28)</f>
        <v>62.361839999999994</v>
      </c>
      <c r="H30" s="35">
        <f t="shared" si="1"/>
        <v>1.5300000000000011</v>
      </c>
      <c r="I30" s="36">
        <f t="shared" si="8"/>
        <v>2.5151302344298666E-2</v>
      </c>
      <c r="J30" s="36">
        <f t="shared" si="9"/>
        <v>0.32545347860344254</v>
      </c>
      <c r="K30" s="111">
        <f t="shared" si="10"/>
        <v>0.32157353552806234</v>
      </c>
    </row>
    <row r="31" spans="1:11" x14ac:dyDescent="0.2">
      <c r="A31" s="107" t="s">
        <v>40</v>
      </c>
      <c r="B31" s="73">
        <f>B8</f>
        <v>1067</v>
      </c>
      <c r="C31" s="125">
        <f>VLOOKUP($B$3,'Data for Bill Impacts'!$A$3:$Y$15,15,0)</f>
        <v>6.1060000000000003E-3</v>
      </c>
      <c r="D31" s="22">
        <f>B31*C31</f>
        <v>6.5151020000000006</v>
      </c>
      <c r="E31" s="73">
        <f t="shared" si="6"/>
        <v>1067</v>
      </c>
      <c r="F31" s="125">
        <f>VLOOKUP($B$3,'Data for Bill Impacts'!$A$3:$Y$15,24,0)</f>
        <v>6.1060000000000003E-3</v>
      </c>
      <c r="G31" s="22">
        <f>E31*F31</f>
        <v>6.5151020000000006</v>
      </c>
      <c r="H31" s="22">
        <f t="shared" si="1"/>
        <v>0</v>
      </c>
      <c r="I31" s="23">
        <f t="shared" si="8"/>
        <v>0</v>
      </c>
      <c r="J31" s="23">
        <f t="shared" si="9"/>
        <v>3.4000962918288594E-2</v>
      </c>
      <c r="K31" s="108">
        <f t="shared" si="10"/>
        <v>3.3595615274756976E-2</v>
      </c>
    </row>
    <row r="32" spans="1:11" x14ac:dyDescent="0.2">
      <c r="A32" s="107" t="s">
        <v>41</v>
      </c>
      <c r="B32" s="73">
        <f>B8</f>
        <v>1067</v>
      </c>
      <c r="C32" s="125">
        <f>VLOOKUP($B$3,'Data for Bill Impacts'!$A$3:$Y$15,16,0)</f>
        <v>4.6519999999999999E-3</v>
      </c>
      <c r="D32" s="22">
        <f>B32*C32</f>
        <v>4.9636839999999998</v>
      </c>
      <c r="E32" s="73">
        <f t="shared" si="6"/>
        <v>1067</v>
      </c>
      <c r="F32" s="125">
        <f>VLOOKUP($B$3,'Data for Bill Impacts'!$A$3:$Y$15,25,0)</f>
        <v>4.6519999999999999E-3</v>
      </c>
      <c r="G32" s="22">
        <f>E32*F32</f>
        <v>4.9636839999999998</v>
      </c>
      <c r="H32" s="22">
        <f t="shared" si="1"/>
        <v>0</v>
      </c>
      <c r="I32" s="23">
        <f t="shared" si="8"/>
        <v>0</v>
      </c>
      <c r="J32" s="23">
        <f t="shared" si="9"/>
        <v>2.5904434899423272E-2</v>
      </c>
      <c r="K32" s="108">
        <f t="shared" si="10"/>
        <v>2.5595611244377568E-2</v>
      </c>
    </row>
    <row r="33" spans="1:11" s="1" customFormat="1" x14ac:dyDescent="0.2">
      <c r="A33" s="110" t="s">
        <v>76</v>
      </c>
      <c r="B33" s="74"/>
      <c r="C33" s="35"/>
      <c r="D33" s="35">
        <f>SUM(D31:D32)</f>
        <v>11.478785999999999</v>
      </c>
      <c r="E33" s="73"/>
      <c r="F33" s="35"/>
      <c r="G33" s="35">
        <f>SUM(G31:G32)</f>
        <v>11.478785999999999</v>
      </c>
      <c r="H33" s="35">
        <f t="shared" si="1"/>
        <v>0</v>
      </c>
      <c r="I33" s="36">
        <f t="shared" si="8"/>
        <v>0</v>
      </c>
      <c r="J33" s="36">
        <f t="shared" si="9"/>
        <v>5.9905397817711863E-2</v>
      </c>
      <c r="K33" s="111">
        <f t="shared" si="10"/>
        <v>5.9191226519134534E-2</v>
      </c>
    </row>
    <row r="34" spans="1:11" s="1" customFormat="1" x14ac:dyDescent="0.2">
      <c r="A34" s="110" t="s">
        <v>91</v>
      </c>
      <c r="B34" s="74"/>
      <c r="C34" s="35"/>
      <c r="D34" s="35">
        <f>D29+D33</f>
        <v>72.878785999999991</v>
      </c>
      <c r="E34" s="73"/>
      <c r="F34" s="35"/>
      <c r="G34" s="35">
        <f>G29+G33</f>
        <v>74.408785999999992</v>
      </c>
      <c r="H34" s="35">
        <f t="shared" si="1"/>
        <v>1.5300000000000011</v>
      </c>
      <c r="I34" s="36">
        <f t="shared" si="8"/>
        <v>2.0993763534974379E-2</v>
      </c>
      <c r="J34" s="36">
        <f t="shared" si="9"/>
        <v>0.38832398534679441</v>
      </c>
      <c r="K34" s="111">
        <f t="shared" si="10"/>
        <v>0.38369452197643605</v>
      </c>
    </row>
    <row r="35" spans="1:11" s="1" customFormat="1" x14ac:dyDescent="0.2">
      <c r="A35" s="110" t="s">
        <v>92</v>
      </c>
      <c r="B35" s="74"/>
      <c r="C35" s="35"/>
      <c r="D35" s="35">
        <f>D30+D33</f>
        <v>72.310625999999985</v>
      </c>
      <c r="E35" s="73"/>
      <c r="F35" s="35"/>
      <c r="G35" s="35">
        <f>G30+G33</f>
        <v>73.840625999999986</v>
      </c>
      <c r="H35" s="35">
        <f t="shared" si="1"/>
        <v>1.5300000000000011</v>
      </c>
      <c r="I35" s="36">
        <f t="shared" si="8"/>
        <v>2.1158716009456225E-2</v>
      </c>
      <c r="J35" s="36">
        <f t="shared" si="9"/>
        <v>0.38535887642115441</v>
      </c>
      <c r="K35" s="111">
        <f t="shared" si="10"/>
        <v>0.38076476204719684</v>
      </c>
    </row>
    <row r="36" spans="1:11" x14ac:dyDescent="0.2">
      <c r="A36" s="107" t="s">
        <v>42</v>
      </c>
      <c r="B36" s="73">
        <f>B8</f>
        <v>1067</v>
      </c>
      <c r="C36" s="34">
        <v>3.5999999999999999E-3</v>
      </c>
      <c r="D36" s="22">
        <f>B36*C36</f>
        <v>3.8411999999999997</v>
      </c>
      <c r="E36" s="73">
        <f t="shared" si="6"/>
        <v>1067</v>
      </c>
      <c r="F36" s="34">
        <v>3.5999999999999999E-3</v>
      </c>
      <c r="G36" s="22">
        <f>E36*F36</f>
        <v>3.8411999999999997</v>
      </c>
      <c r="H36" s="22">
        <f t="shared" si="1"/>
        <v>0</v>
      </c>
      <c r="I36" s="23">
        <f t="shared" si="8"/>
        <v>0</v>
      </c>
      <c r="J36" s="23">
        <f t="shared" si="9"/>
        <v>2.0046424255787572E-2</v>
      </c>
      <c r="K36" s="108">
        <f t="shared" si="10"/>
        <v>1.9807437764350653E-2</v>
      </c>
    </row>
    <row r="37" spans="1:11" x14ac:dyDescent="0.2">
      <c r="A37" s="107" t="s">
        <v>43</v>
      </c>
      <c r="B37" s="73">
        <f>B8</f>
        <v>1067</v>
      </c>
      <c r="C37" s="34">
        <v>2.0999999999999999E-3</v>
      </c>
      <c r="D37" s="22">
        <f>B37*C37</f>
        <v>2.2406999999999999</v>
      </c>
      <c r="E37" s="73">
        <f t="shared" si="6"/>
        <v>1067</v>
      </c>
      <c r="F37" s="34">
        <v>2.0999999999999999E-3</v>
      </c>
      <c r="G37" s="22">
        <f>E37*F37</f>
        <v>2.2406999999999999</v>
      </c>
      <c r="H37" s="22">
        <f>G37-D37</f>
        <v>0</v>
      </c>
      <c r="I37" s="23">
        <f t="shared" si="8"/>
        <v>0</v>
      </c>
      <c r="J37" s="23">
        <f t="shared" si="9"/>
        <v>1.169374748254275E-2</v>
      </c>
      <c r="K37" s="108">
        <f t="shared" si="10"/>
        <v>1.1554338695871214E-2</v>
      </c>
    </row>
    <row r="38" spans="1:11" x14ac:dyDescent="0.2">
      <c r="A38" s="107" t="s">
        <v>96</v>
      </c>
      <c r="B38" s="73">
        <f>B8</f>
        <v>1067</v>
      </c>
      <c r="C38" s="34">
        <v>0</v>
      </c>
      <c r="D38" s="22">
        <f>B38*C38</f>
        <v>0</v>
      </c>
      <c r="E38" s="73">
        <f t="shared" si="6"/>
        <v>1067</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1.3046980276858516E-3</v>
      </c>
      <c r="K39" s="108">
        <f t="shared" si="10"/>
        <v>1.2891438719899156E-3</v>
      </c>
    </row>
    <row r="40" spans="1:11" s="1" customFormat="1" x14ac:dyDescent="0.2">
      <c r="A40" s="110" t="s">
        <v>45</v>
      </c>
      <c r="B40" s="74"/>
      <c r="C40" s="35"/>
      <c r="D40" s="35">
        <f>SUM(D36:D39)</f>
        <v>6.3318999999999992</v>
      </c>
      <c r="E40" s="73"/>
      <c r="F40" s="35"/>
      <c r="G40" s="35">
        <f>SUM(G36:G39)</f>
        <v>6.3318999999999992</v>
      </c>
      <c r="H40" s="35">
        <f t="shared" si="1"/>
        <v>0</v>
      </c>
      <c r="I40" s="36">
        <f t="shared" si="8"/>
        <v>0</v>
      </c>
      <c r="J40" s="36">
        <f t="shared" si="9"/>
        <v>3.3044869766016172E-2</v>
      </c>
      <c r="K40" s="111">
        <f t="shared" si="10"/>
        <v>3.2650920332211779E-2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1"/>
        <v>0</v>
      </c>
      <c r="I41" s="117">
        <f t="shared" si="8"/>
        <v>0</v>
      </c>
      <c r="J41" s="117">
        <f t="shared" si="9"/>
        <v>3.6531544775203845E-2</v>
      </c>
      <c r="K41" s="118">
        <f t="shared" si="10"/>
        <v>3.6096028415717636E-2</v>
      </c>
    </row>
    <row r="42" spans="1:11" s="1" customFormat="1" x14ac:dyDescent="0.2">
      <c r="A42" s="37" t="s">
        <v>101</v>
      </c>
      <c r="B42" s="38"/>
      <c r="C42" s="39"/>
      <c r="D42" s="39">
        <f>SUM(D14,D25,D26,D27,D33,D40,D41)</f>
        <v>180.96068599999998</v>
      </c>
      <c r="E42" s="38"/>
      <c r="F42" s="39"/>
      <c r="G42" s="39">
        <f>SUM(G14,G25,G26,G27,G33,G40,G41)</f>
        <v>182.49068600000001</v>
      </c>
      <c r="H42" s="39">
        <f t="shared" si="1"/>
        <v>1.5300000000000296</v>
      </c>
      <c r="I42" s="40">
        <f t="shared" si="8"/>
        <v>8.4548751102768785E-3</v>
      </c>
      <c r="J42" s="40">
        <f t="shared" si="9"/>
        <v>0.95238095238095233</v>
      </c>
      <c r="K42" s="41"/>
    </row>
    <row r="43" spans="1:11" x14ac:dyDescent="0.2">
      <c r="A43" s="153" t="s">
        <v>102</v>
      </c>
      <c r="B43" s="43"/>
      <c r="C43" s="26">
        <v>0.13</v>
      </c>
      <c r="D43" s="26">
        <f>D42*C43</f>
        <v>23.524889179999999</v>
      </c>
      <c r="E43" s="26"/>
      <c r="F43" s="26">
        <f>C43</f>
        <v>0.13</v>
      </c>
      <c r="G43" s="26">
        <f>G42*F43</f>
        <v>23.723789180000001</v>
      </c>
      <c r="H43" s="26">
        <f t="shared" si="1"/>
        <v>0.19890000000000185</v>
      </c>
      <c r="I43" s="44">
        <f t="shared" si="8"/>
        <v>8.4548751102767935E-3</v>
      </c>
      <c r="J43" s="44">
        <f t="shared" si="9"/>
        <v>0.12380952380952379</v>
      </c>
      <c r="K43" s="45"/>
    </row>
    <row r="44" spans="1:11" s="1" customFormat="1" x14ac:dyDescent="0.2">
      <c r="A44" s="46" t="s">
        <v>103</v>
      </c>
      <c r="B44" s="24"/>
      <c r="C44" s="25"/>
      <c r="D44" s="25">
        <f>SUM(D42:D43)</f>
        <v>204.48557517999998</v>
      </c>
      <c r="E44" s="25"/>
      <c r="F44" s="25"/>
      <c r="G44" s="25">
        <f>SUM(G42:G43)</f>
        <v>206.21447518000002</v>
      </c>
      <c r="H44" s="25">
        <f t="shared" si="1"/>
        <v>1.7289000000000385</v>
      </c>
      <c r="I44" s="27">
        <f t="shared" si="8"/>
        <v>8.4548751102769045E-3</v>
      </c>
      <c r="J44" s="27">
        <f t="shared" si="9"/>
        <v>1.0761904761904761</v>
      </c>
      <c r="K44" s="47"/>
    </row>
    <row r="45" spans="1:11" x14ac:dyDescent="0.2">
      <c r="A45" s="42" t="s">
        <v>104</v>
      </c>
      <c r="B45" s="43"/>
      <c r="C45" s="26">
        <v>-0.08</v>
      </c>
      <c r="D45" s="26">
        <f>D42*C45</f>
        <v>-14.476854879999999</v>
      </c>
      <c r="E45" s="26"/>
      <c r="F45" s="26">
        <f>C45</f>
        <v>-0.08</v>
      </c>
      <c r="G45" s="26">
        <f>G42*F45</f>
        <v>-14.599254880000002</v>
      </c>
      <c r="H45" s="26">
        <f t="shared" si="1"/>
        <v>-0.12240000000000251</v>
      </c>
      <c r="I45" s="44">
        <f t="shared" si="8"/>
        <v>-8.4548751102768889E-3</v>
      </c>
      <c r="J45" s="44">
        <f t="shared" si="9"/>
        <v>-7.6190476190476183E-2</v>
      </c>
      <c r="K45" s="45"/>
    </row>
    <row r="46" spans="1:11" s="1" customFormat="1" ht="13.5" thickBot="1" x14ac:dyDescent="0.25">
      <c r="A46" s="48" t="s">
        <v>105</v>
      </c>
      <c r="B46" s="49"/>
      <c r="C46" s="50"/>
      <c r="D46" s="50">
        <f>SUM(D44:D45)</f>
        <v>190.00872029999999</v>
      </c>
      <c r="E46" s="50"/>
      <c r="F46" s="50"/>
      <c r="G46" s="50">
        <f>SUM(G44:G45)</f>
        <v>191.61522030000003</v>
      </c>
      <c r="H46" s="50">
        <f t="shared" si="1"/>
        <v>1.6065000000000396</v>
      </c>
      <c r="I46" s="51">
        <f t="shared" si="8"/>
        <v>8.4548751102769236E-3</v>
      </c>
      <c r="J46" s="51">
        <f t="shared" si="9"/>
        <v>1</v>
      </c>
      <c r="K46" s="52"/>
    </row>
    <row r="47" spans="1:11" x14ac:dyDescent="0.2">
      <c r="A47" s="53" t="s">
        <v>106</v>
      </c>
      <c r="B47" s="54"/>
      <c r="C47" s="55"/>
      <c r="D47" s="55">
        <f>SUM(D18,D25,D26,D28,D33,D40,D41)</f>
        <v>183.16252599999999</v>
      </c>
      <c r="E47" s="55"/>
      <c r="F47" s="55"/>
      <c r="G47" s="55">
        <f>SUM(G18,G25,G26,G28,G33,G40,G41)</f>
        <v>184.69252599999996</v>
      </c>
      <c r="H47" s="55">
        <f>G47-D47</f>
        <v>1.5299999999999727</v>
      </c>
      <c r="I47" s="56">
        <f t="shared" si="8"/>
        <v>8.3532370589821017E-3</v>
      </c>
      <c r="J47" s="56"/>
      <c r="K47" s="57">
        <f>G47/$G$51</f>
        <v>0.95238095238095233</v>
      </c>
    </row>
    <row r="48" spans="1:11" x14ac:dyDescent="0.2">
      <c r="A48" s="154" t="s">
        <v>102</v>
      </c>
      <c r="B48" s="59"/>
      <c r="C48" s="31">
        <v>0.13</v>
      </c>
      <c r="D48" s="31">
        <f>D47*C48</f>
        <v>23.81112838</v>
      </c>
      <c r="E48" s="31"/>
      <c r="F48" s="31">
        <f>C48</f>
        <v>0.13</v>
      </c>
      <c r="G48" s="31">
        <f>G47*F48</f>
        <v>24.010028379999994</v>
      </c>
      <c r="H48" s="31">
        <f>G48-D48</f>
        <v>0.19889999999999475</v>
      </c>
      <c r="I48" s="32">
        <f t="shared" si="8"/>
        <v>8.3532370589820305E-3</v>
      </c>
      <c r="J48" s="32"/>
      <c r="K48" s="60">
        <f>G48/$G$51</f>
        <v>0.1238095238095238</v>
      </c>
    </row>
    <row r="49" spans="1:11" x14ac:dyDescent="0.2">
      <c r="A49" s="149" t="s">
        <v>107</v>
      </c>
      <c r="B49" s="29"/>
      <c r="C49" s="30"/>
      <c r="D49" s="30">
        <f>SUM(D47:D48)</f>
        <v>206.97365437999997</v>
      </c>
      <c r="E49" s="30"/>
      <c r="F49" s="30"/>
      <c r="G49" s="30">
        <f>SUM(G47:G48)</f>
        <v>208.70255437999995</v>
      </c>
      <c r="H49" s="30">
        <f>G49-D49</f>
        <v>1.7288999999999817</v>
      </c>
      <c r="I49" s="33">
        <f t="shared" si="8"/>
        <v>8.3532370589821624E-3</v>
      </c>
      <c r="J49" s="33"/>
      <c r="K49" s="62">
        <f>G49/$G$51</f>
        <v>1.0761904761904761</v>
      </c>
    </row>
    <row r="50" spans="1:11" x14ac:dyDescent="0.2">
      <c r="A50" s="58" t="s">
        <v>104</v>
      </c>
      <c r="B50" s="59"/>
      <c r="C50" s="31">
        <v>-0.08</v>
      </c>
      <c r="D50" s="31">
        <f>D47*C50</f>
        <v>-14.653002079999998</v>
      </c>
      <c r="E50" s="31"/>
      <c r="F50" s="31">
        <f>C50</f>
        <v>-0.08</v>
      </c>
      <c r="G50" s="31">
        <f>G47*F50</f>
        <v>-14.775402079999997</v>
      </c>
      <c r="H50" s="31">
        <f>G50-D50</f>
        <v>-0.12239999999999895</v>
      </c>
      <c r="I50" s="32">
        <f t="shared" si="8"/>
        <v>-8.3532370589821797E-3</v>
      </c>
      <c r="J50" s="32"/>
      <c r="K50" s="60">
        <f>G50/$G$51</f>
        <v>-7.6190476190476197E-2</v>
      </c>
    </row>
    <row r="51" spans="1:11" ht="13.5" thickBot="1" x14ac:dyDescent="0.25">
      <c r="A51" s="63" t="s">
        <v>116</v>
      </c>
      <c r="B51" s="64"/>
      <c r="C51" s="65"/>
      <c r="D51" s="65">
        <f>SUM(D49:D50)</f>
        <v>192.32065229999998</v>
      </c>
      <c r="E51" s="65"/>
      <c r="F51" s="65"/>
      <c r="G51" s="65">
        <f>SUM(G49:G50)</f>
        <v>193.92715229999996</v>
      </c>
      <c r="H51" s="65">
        <f>G51-D51</f>
        <v>1.6064999999999827</v>
      </c>
      <c r="I51" s="66">
        <f t="shared" si="8"/>
        <v>8.3532370589821624E-3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4"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1" tint="0.499984740745262"/>
    <pageSetUpPr fitToPage="1"/>
  </sheetPr>
  <dimension ref="A1:K68"/>
  <sheetViews>
    <sheetView tabSelected="1" view="pageLayout" topLeftCell="A22"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118</v>
      </c>
      <c r="B1" s="189"/>
      <c r="C1" s="189"/>
      <c r="D1" s="189"/>
      <c r="E1" s="189"/>
      <c r="F1" s="189"/>
      <c r="G1" s="189"/>
      <c r="H1" s="189"/>
      <c r="I1" s="189"/>
      <c r="J1" s="189"/>
      <c r="K1" s="190"/>
    </row>
    <row r="3" spans="1:11" x14ac:dyDescent="0.2">
      <c r="A3" s="13" t="s">
        <v>13</v>
      </c>
      <c r="B3" s="13" t="s">
        <v>6</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2134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0.18567005804548753</v>
      </c>
      <c r="K12" s="106"/>
    </row>
    <row r="13" spans="1:11" x14ac:dyDescent="0.2">
      <c r="A13" s="107" t="s">
        <v>32</v>
      </c>
      <c r="B13" s="73">
        <f>IF(B4&gt;B7,(B4)-B7,0)</f>
        <v>1250</v>
      </c>
      <c r="C13" s="21">
        <v>0.106</v>
      </c>
      <c r="D13" s="22">
        <f>B13*C13</f>
        <v>132.5</v>
      </c>
      <c r="E13" s="73">
        <f>B13</f>
        <v>1250</v>
      </c>
      <c r="F13" s="21">
        <f>C13</f>
        <v>0.106</v>
      </c>
      <c r="G13" s="22">
        <f>E13*F13</f>
        <v>132.5</v>
      </c>
      <c r="H13" s="22">
        <f t="shared" ref="H13:H46" si="1">G13-D13</f>
        <v>0</v>
      </c>
      <c r="I13" s="23">
        <f t="shared" si="0"/>
        <v>0</v>
      </c>
      <c r="J13" s="23">
        <f>G13/$G$46</f>
        <v>0.36045835444728352</v>
      </c>
      <c r="K13" s="108"/>
    </row>
    <row r="14" spans="1:11" s="1" customFormat="1" x14ac:dyDescent="0.2">
      <c r="A14" s="46" t="s">
        <v>33</v>
      </c>
      <c r="B14" s="24"/>
      <c r="C14" s="25"/>
      <c r="D14" s="25">
        <f>SUM(D12:D13)</f>
        <v>200.75</v>
      </c>
      <c r="E14" s="76"/>
      <c r="F14" s="25"/>
      <c r="G14" s="25">
        <f>SUM(G12:G13)</f>
        <v>200.75</v>
      </c>
      <c r="H14" s="25">
        <f t="shared" si="1"/>
        <v>0</v>
      </c>
      <c r="I14" s="27">
        <f t="shared" si="0"/>
        <v>0</v>
      </c>
      <c r="J14" s="27">
        <f>G14/$G$46</f>
        <v>0.546128412492771</v>
      </c>
      <c r="K14" s="108"/>
    </row>
    <row r="15" spans="1:11" s="1" customFormat="1" x14ac:dyDescent="0.2">
      <c r="A15" s="109" t="s">
        <v>34</v>
      </c>
      <c r="B15" s="75">
        <f>B4*0.65</f>
        <v>1300</v>
      </c>
      <c r="C15" s="28">
        <v>7.6999999999999999E-2</v>
      </c>
      <c r="D15" s="22">
        <f>B15*C15</f>
        <v>100.1</v>
      </c>
      <c r="E15" s="73">
        <f t="shared" ref="E15:F17" si="2">B15</f>
        <v>1300</v>
      </c>
      <c r="F15" s="28">
        <f t="shared" si="2"/>
        <v>7.6999999999999999E-2</v>
      </c>
      <c r="G15" s="22">
        <f>E15*F15</f>
        <v>100.1</v>
      </c>
      <c r="H15" s="22">
        <f t="shared" si="1"/>
        <v>0</v>
      </c>
      <c r="I15" s="23">
        <f t="shared" si="0"/>
        <v>0</v>
      </c>
      <c r="J15" s="23"/>
      <c r="K15" s="108">
        <f t="shared" ref="K15:K26" si="3">G15/$G$51</f>
        <v>0.27774779202256206</v>
      </c>
    </row>
    <row r="16" spans="1:11" s="1" customFormat="1" x14ac:dyDescent="0.2">
      <c r="A16" s="109" t="s">
        <v>35</v>
      </c>
      <c r="B16" s="75">
        <f>B4*0.17</f>
        <v>340</v>
      </c>
      <c r="C16" s="28">
        <v>0.113</v>
      </c>
      <c r="D16" s="22">
        <f>B16*C16</f>
        <v>38.42</v>
      </c>
      <c r="E16" s="73">
        <f t="shared" si="2"/>
        <v>340</v>
      </c>
      <c r="F16" s="28">
        <f t="shared" si="2"/>
        <v>0.113</v>
      </c>
      <c r="G16" s="22">
        <f>E16*F16</f>
        <v>38.42</v>
      </c>
      <c r="H16" s="22">
        <f t="shared" si="1"/>
        <v>0</v>
      </c>
      <c r="I16" s="23">
        <f t="shared" si="0"/>
        <v>0</v>
      </c>
      <c r="J16" s="23"/>
      <c r="K16" s="108">
        <f t="shared" si="3"/>
        <v>0.10660409759747089</v>
      </c>
    </row>
    <row r="17" spans="1:11" s="1" customFormat="1" x14ac:dyDescent="0.2">
      <c r="A17" s="109" t="s">
        <v>36</v>
      </c>
      <c r="B17" s="75">
        <f>B4*0.18</f>
        <v>360</v>
      </c>
      <c r="C17" s="28">
        <v>0.157</v>
      </c>
      <c r="D17" s="22">
        <f>B17*C17</f>
        <v>56.52</v>
      </c>
      <c r="E17" s="73">
        <f t="shared" si="2"/>
        <v>360</v>
      </c>
      <c r="F17" s="28">
        <f t="shared" si="2"/>
        <v>0.157</v>
      </c>
      <c r="G17" s="22">
        <f>E17*F17</f>
        <v>56.52</v>
      </c>
      <c r="H17" s="22">
        <f t="shared" si="1"/>
        <v>0</v>
      </c>
      <c r="I17" s="23">
        <f t="shared" si="0"/>
        <v>0</v>
      </c>
      <c r="J17" s="23"/>
      <c r="K17" s="108">
        <f t="shared" si="3"/>
        <v>0.15682622582532676</v>
      </c>
    </row>
    <row r="18" spans="1:11" s="1" customFormat="1" x14ac:dyDescent="0.2">
      <c r="A18" s="61" t="s">
        <v>37</v>
      </c>
      <c r="B18" s="29"/>
      <c r="C18" s="30"/>
      <c r="D18" s="30">
        <f>SUM(D15:D17)</f>
        <v>195.04</v>
      </c>
      <c r="E18" s="77"/>
      <c r="F18" s="30"/>
      <c r="G18" s="30">
        <f>SUM(G15:G17)</f>
        <v>195.04</v>
      </c>
      <c r="H18" s="31">
        <f t="shared" si="1"/>
        <v>0</v>
      </c>
      <c r="I18" s="32">
        <f t="shared" si="0"/>
        <v>0</v>
      </c>
      <c r="J18" s="33">
        <f t="shared" ref="J18:J23" si="4">G18/$G$46</f>
        <v>0.53059469774640133</v>
      </c>
      <c r="K18" s="62">
        <f t="shared" si="3"/>
        <v>0.54117811544535965</v>
      </c>
    </row>
    <row r="19" spans="1:11" x14ac:dyDescent="0.2">
      <c r="A19" s="107" t="s">
        <v>38</v>
      </c>
      <c r="B19" s="73">
        <v>1</v>
      </c>
      <c r="C19" s="78">
        <f>VLOOKUP($B$3,'Data for Bill Impacts'!$A$3:$Y$15,7,0)</f>
        <v>24.47</v>
      </c>
      <c r="D19" s="22">
        <f t="shared" ref="D19:D24" si="5">B19*C19</f>
        <v>24.47</v>
      </c>
      <c r="E19" s="73">
        <f t="shared" ref="E19:E41" si="6">B19</f>
        <v>1</v>
      </c>
      <c r="F19" s="78">
        <f>VLOOKUP($B$3,'Data for Bill Impacts'!$A$3:$Y$15,17,0)</f>
        <v>25.1</v>
      </c>
      <c r="G19" s="22">
        <f t="shared" ref="G19:G24" si="7">E19*F19</f>
        <v>25.1</v>
      </c>
      <c r="H19" s="22">
        <f t="shared" si="1"/>
        <v>0.63000000000000256</v>
      </c>
      <c r="I19" s="23">
        <f>IF(ISERROR(H19/ABS(D19)),"N/A",(H19/ABS(D19)))</f>
        <v>2.5745811197384658E-2</v>
      </c>
      <c r="J19" s="23">
        <f t="shared" si="4"/>
        <v>6.8283054314164648E-2</v>
      </c>
      <c r="K19" s="108">
        <f t="shared" si="3"/>
        <v>6.9645050746916168E-2</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110</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8.0000000000000002E-3</v>
      </c>
      <c r="D22" s="22">
        <f t="shared" si="5"/>
        <v>8.0000000000000002E-3</v>
      </c>
      <c r="E22" s="73">
        <f t="shared" si="6"/>
        <v>1</v>
      </c>
      <c r="F22" s="121">
        <f>VLOOKUP($B$3,'Data for Bill Impacts'!$A$3:$Y$15,22,0)</f>
        <v>8.0000000000000002E-3</v>
      </c>
      <c r="G22" s="22">
        <f t="shared" si="7"/>
        <v>8.0000000000000002E-3</v>
      </c>
      <c r="H22" s="22">
        <f t="shared" si="1"/>
        <v>0</v>
      </c>
      <c r="I22" s="23">
        <f t="shared" ref="I22:I51" si="8">IF(ISERROR(H22/ABS(D22)),"N/A",(H22/ABS(D22)))</f>
        <v>0</v>
      </c>
      <c r="J22" s="23">
        <f t="shared" si="4"/>
        <v>2.1763523287383157E-5</v>
      </c>
      <c r="K22" s="108">
        <f t="shared" si="3"/>
        <v>2.2197625736068898E-5</v>
      </c>
    </row>
    <row r="23" spans="1:11" x14ac:dyDescent="0.2">
      <c r="A23" s="107" t="s">
        <v>39</v>
      </c>
      <c r="B23" s="73">
        <f>IF($B$9="kWh",$B$4,$B$5)</f>
        <v>2000</v>
      </c>
      <c r="C23" s="78">
        <f>VLOOKUP($B$3,'Data for Bill Impacts'!$A$3:$Y$15,10,0)</f>
        <v>2.9000000000000001E-2</v>
      </c>
      <c r="D23" s="22">
        <f t="shared" si="5"/>
        <v>58</v>
      </c>
      <c r="E23" s="73">
        <f t="shared" si="6"/>
        <v>2000</v>
      </c>
      <c r="F23" s="78">
        <f>VLOOKUP($B$3,'Data for Bill Impacts'!$A$3:$Y$15,19,0)</f>
        <v>2.9899999999999999E-2</v>
      </c>
      <c r="G23" s="22">
        <f t="shared" si="7"/>
        <v>59.8</v>
      </c>
      <c r="H23" s="22">
        <f t="shared" si="1"/>
        <v>1.7999999999999972</v>
      </c>
      <c r="I23" s="23">
        <f t="shared" si="8"/>
        <v>3.1034482758620641E-2</v>
      </c>
      <c r="J23" s="23">
        <f t="shared" si="4"/>
        <v>0.16268233657318909</v>
      </c>
      <c r="K23" s="108">
        <f t="shared" si="3"/>
        <v>0.165927252377115</v>
      </c>
    </row>
    <row r="24" spans="1:11" x14ac:dyDescent="0.2">
      <c r="A24" s="107" t="s">
        <v>121</v>
      </c>
      <c r="B24" s="73">
        <f>IF($B$9="kWh",$B$4,$B$5)</f>
        <v>2000</v>
      </c>
      <c r="C24" s="125">
        <f>VLOOKUP($B$3,'Data for Bill Impacts'!$A$3:$Y$15,14,0)</f>
        <v>3.0000000000000004E-5</v>
      </c>
      <c r="D24" s="22">
        <f t="shared" si="5"/>
        <v>6.0000000000000012E-2</v>
      </c>
      <c r="E24" s="73">
        <f t="shared" si="6"/>
        <v>2000</v>
      </c>
      <c r="F24" s="125">
        <f>VLOOKUP($B$3,'Data for Bill Impacts'!$A$3:$Y$15,23,0)</f>
        <v>3.0000000000000004E-5</v>
      </c>
      <c r="G24" s="22">
        <f t="shared" si="7"/>
        <v>6.0000000000000012E-2</v>
      </c>
      <c r="H24" s="22">
        <f t="shared" si="1"/>
        <v>0</v>
      </c>
      <c r="I24" s="23">
        <f t="shared" si="8"/>
        <v>0</v>
      </c>
      <c r="J24" s="23">
        <f>G24/$G$46</f>
        <v>1.632264246553737E-4</v>
      </c>
      <c r="K24" s="108">
        <f t="shared" si="3"/>
        <v>1.6648219302051675E-4</v>
      </c>
    </row>
    <row r="25" spans="1:11" s="1" customFormat="1" x14ac:dyDescent="0.2">
      <c r="A25" s="110" t="s">
        <v>72</v>
      </c>
      <c r="B25" s="74"/>
      <c r="C25" s="35"/>
      <c r="D25" s="35">
        <f>SUM(D19:D24)</f>
        <v>82.537999999999997</v>
      </c>
      <c r="E25" s="73"/>
      <c r="F25" s="35"/>
      <c r="G25" s="35">
        <f>SUM(G19:G24)</f>
        <v>84.968000000000004</v>
      </c>
      <c r="H25" s="35">
        <f t="shared" si="1"/>
        <v>2.4300000000000068</v>
      </c>
      <c r="I25" s="36">
        <f t="shared" si="8"/>
        <v>2.9440984758535547E-2</v>
      </c>
      <c r="J25" s="36">
        <f>G25/$G$46</f>
        <v>0.23115038083529649</v>
      </c>
      <c r="K25" s="111">
        <f t="shared" si="3"/>
        <v>0.23576098294278777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G26/$G$46</f>
        <v>2.1491479246290865E-3</v>
      </c>
      <c r="K26" s="108">
        <f t="shared" si="3"/>
        <v>2.1920155414368037E-3</v>
      </c>
    </row>
    <row r="27" spans="1:11" s="1" customFormat="1" x14ac:dyDescent="0.2">
      <c r="A27" s="119" t="s">
        <v>75</v>
      </c>
      <c r="B27" s="120">
        <f>B8-B4</f>
        <v>134</v>
      </c>
      <c r="C27" s="172">
        <f>IF(B4&gt;B7,C13,C12)</f>
        <v>0.106</v>
      </c>
      <c r="D27" s="22">
        <f>B27*C27</f>
        <v>14.203999999999999</v>
      </c>
      <c r="E27" s="73">
        <f>B27</f>
        <v>134</v>
      </c>
      <c r="F27" s="172">
        <f>C27</f>
        <v>0.106</v>
      </c>
      <c r="G27" s="22">
        <f>E27*F27</f>
        <v>14.203999999999999</v>
      </c>
      <c r="H27" s="22">
        <f t="shared" si="1"/>
        <v>0</v>
      </c>
      <c r="I27" s="23">
        <f t="shared" si="8"/>
        <v>0</v>
      </c>
      <c r="J27" s="23">
        <f t="shared" ref="J27:J46" si="9">G27/$G$46</f>
        <v>3.8641135596748789E-2</v>
      </c>
      <c r="K27" s="108">
        <f t="shared" ref="K27:K41" si="10">G27/$G$51</f>
        <v>3.9411884494390322E-2</v>
      </c>
    </row>
    <row r="28" spans="1:11" s="1" customFormat="1" x14ac:dyDescent="0.2">
      <c r="A28" s="119" t="s">
        <v>74</v>
      </c>
      <c r="B28" s="120">
        <f>B8-B4</f>
        <v>134</v>
      </c>
      <c r="C28" s="172">
        <f>0.65*C15+0.17*C16+0.18*C17</f>
        <v>9.7519999999999996E-2</v>
      </c>
      <c r="D28" s="22">
        <f>B28*C28</f>
        <v>13.067679999999999</v>
      </c>
      <c r="E28" s="73">
        <f>B28</f>
        <v>134</v>
      </c>
      <c r="F28" s="172">
        <f>C28</f>
        <v>9.7519999999999996E-2</v>
      </c>
      <c r="G28" s="22">
        <f>E28*F28</f>
        <v>13.067679999999999</v>
      </c>
      <c r="H28" s="22">
        <f t="shared" si="1"/>
        <v>0</v>
      </c>
      <c r="I28" s="23">
        <f t="shared" si="8"/>
        <v>0</v>
      </c>
      <c r="J28" s="23">
        <f t="shared" si="9"/>
        <v>3.5549844749008887E-2</v>
      </c>
      <c r="K28" s="108">
        <f t="shared" si="10"/>
        <v>3.6258933734839099E-2</v>
      </c>
    </row>
    <row r="29" spans="1:11" s="1" customFormat="1" x14ac:dyDescent="0.2">
      <c r="A29" s="110" t="s">
        <v>78</v>
      </c>
      <c r="B29" s="74"/>
      <c r="C29" s="35"/>
      <c r="D29" s="35">
        <f>SUM(D25,D26:D27)</f>
        <v>97.531999999999996</v>
      </c>
      <c r="E29" s="73"/>
      <c r="F29" s="35"/>
      <c r="G29" s="35">
        <f>SUM(G25,G26:G27)</f>
        <v>99.962000000000003</v>
      </c>
      <c r="H29" s="35">
        <f t="shared" si="1"/>
        <v>2.4300000000000068</v>
      </c>
      <c r="I29" s="36">
        <f t="shared" si="8"/>
        <v>2.4914899725218459E-2</v>
      </c>
      <c r="J29" s="36">
        <f t="shared" si="9"/>
        <v>0.27194066435667436</v>
      </c>
      <c r="K29" s="111">
        <f t="shared" si="10"/>
        <v>0.27736488297861489</v>
      </c>
    </row>
    <row r="30" spans="1:11" s="1" customFormat="1" x14ac:dyDescent="0.2">
      <c r="A30" s="110" t="s">
        <v>77</v>
      </c>
      <c r="B30" s="74"/>
      <c r="C30" s="35"/>
      <c r="D30" s="35">
        <f>SUM(D25,D26,D28)</f>
        <v>96.395679999999999</v>
      </c>
      <c r="E30" s="73"/>
      <c r="F30" s="35"/>
      <c r="G30" s="35">
        <f>SUM(G25,G26,G28)</f>
        <v>98.825680000000006</v>
      </c>
      <c r="H30" s="35">
        <f t="shared" si="1"/>
        <v>2.4300000000000068</v>
      </c>
      <c r="I30" s="36">
        <f t="shared" si="8"/>
        <v>2.5208598559603571E-2</v>
      </c>
      <c r="J30" s="36">
        <f t="shared" si="9"/>
        <v>0.26884937350893445</v>
      </c>
      <c r="K30" s="111">
        <f t="shared" si="10"/>
        <v>0.27421193221906365</v>
      </c>
    </row>
    <row r="31" spans="1:11" x14ac:dyDescent="0.2">
      <c r="A31" s="107" t="s">
        <v>40</v>
      </c>
      <c r="B31" s="73">
        <f>B8</f>
        <v>2134</v>
      </c>
      <c r="C31" s="125">
        <f>VLOOKUP($B$3,'Data for Bill Impacts'!$A$3:$Y$15,15,0)</f>
        <v>6.1060000000000003E-3</v>
      </c>
      <c r="D31" s="22">
        <f>B31*C31</f>
        <v>13.030204000000001</v>
      </c>
      <c r="E31" s="73">
        <f t="shared" si="6"/>
        <v>2134</v>
      </c>
      <c r="F31" s="125">
        <f>VLOOKUP($B$3,'Data for Bill Impacts'!$A$3:$Y$15,24,0)</f>
        <v>6.1060000000000003E-3</v>
      </c>
      <c r="G31" s="22">
        <f>E31*F31</f>
        <v>13.030204000000001</v>
      </c>
      <c r="H31" s="22">
        <f t="shared" si="1"/>
        <v>0</v>
      </c>
      <c r="I31" s="23">
        <f t="shared" si="8"/>
        <v>0</v>
      </c>
      <c r="J31" s="23">
        <f t="shared" si="9"/>
        <v>3.5447893524169147E-2</v>
      </c>
      <c r="K31" s="108">
        <f t="shared" si="10"/>
        <v>3.6154948957078492E-2</v>
      </c>
    </row>
    <row r="32" spans="1:11" x14ac:dyDescent="0.2">
      <c r="A32" s="107" t="s">
        <v>41</v>
      </c>
      <c r="B32" s="73">
        <f>B8</f>
        <v>2134</v>
      </c>
      <c r="C32" s="125">
        <f>VLOOKUP($B$3,'Data for Bill Impacts'!$A$3:$Y$15,16,0)</f>
        <v>4.6519999999999999E-3</v>
      </c>
      <c r="D32" s="22">
        <f>B32*C32</f>
        <v>9.9273679999999995</v>
      </c>
      <c r="E32" s="73">
        <f t="shared" si="6"/>
        <v>2134</v>
      </c>
      <c r="F32" s="125">
        <f>VLOOKUP($B$3,'Data for Bill Impacts'!$A$3:$Y$15,25,0)</f>
        <v>4.6519999999999999E-3</v>
      </c>
      <c r="G32" s="22">
        <f>E32*F32</f>
        <v>9.9273679999999995</v>
      </c>
      <c r="H32" s="22">
        <f t="shared" si="1"/>
        <v>0</v>
      </c>
      <c r="I32" s="23">
        <f t="shared" si="8"/>
        <v>0</v>
      </c>
      <c r="J32" s="23">
        <f t="shared" si="9"/>
        <v>2.7006813081302792E-2</v>
      </c>
      <c r="K32" s="108">
        <f t="shared" si="10"/>
        <v>2.7545499926028349E-2</v>
      </c>
    </row>
    <row r="33" spans="1:11" s="1" customFormat="1" x14ac:dyDescent="0.2">
      <c r="A33" s="110" t="s">
        <v>76</v>
      </c>
      <c r="B33" s="74"/>
      <c r="C33" s="35"/>
      <c r="D33" s="35">
        <f>SUM(D31:D32)</f>
        <v>22.957571999999999</v>
      </c>
      <c r="E33" s="73"/>
      <c r="F33" s="35"/>
      <c r="G33" s="35">
        <f>SUM(G31:G32)</f>
        <v>22.957571999999999</v>
      </c>
      <c r="H33" s="35">
        <f t="shared" si="1"/>
        <v>0</v>
      </c>
      <c r="I33" s="36">
        <f t="shared" si="8"/>
        <v>0</v>
      </c>
      <c r="J33" s="36">
        <f t="shared" si="9"/>
        <v>6.2454706605471928E-2</v>
      </c>
      <c r="K33" s="111">
        <f t="shared" si="10"/>
        <v>6.3700448883106831E-2</v>
      </c>
    </row>
    <row r="34" spans="1:11" s="1" customFormat="1" ht="13.5" customHeight="1" x14ac:dyDescent="0.2">
      <c r="A34" s="110" t="s">
        <v>91</v>
      </c>
      <c r="B34" s="74"/>
      <c r="C34" s="35"/>
      <c r="D34" s="35">
        <f>D29+D33</f>
        <v>120.489572</v>
      </c>
      <c r="E34" s="73"/>
      <c r="F34" s="35"/>
      <c r="G34" s="35">
        <f>G29+G33</f>
        <v>122.919572</v>
      </c>
      <c r="H34" s="35">
        <f t="shared" si="1"/>
        <v>2.4300000000000068</v>
      </c>
      <c r="I34" s="36">
        <f t="shared" si="8"/>
        <v>2.0167720406542793E-2</v>
      </c>
      <c r="J34" s="36">
        <f t="shared" si="9"/>
        <v>0.33439537096214633</v>
      </c>
      <c r="K34" s="111">
        <f t="shared" si="10"/>
        <v>0.34106533186172172</v>
      </c>
    </row>
    <row r="35" spans="1:11" s="1" customFormat="1" ht="13.5" customHeight="1" x14ac:dyDescent="0.2">
      <c r="A35" s="110" t="s">
        <v>92</v>
      </c>
      <c r="B35" s="74"/>
      <c r="C35" s="35"/>
      <c r="D35" s="35">
        <f>D30+D33</f>
        <v>119.353252</v>
      </c>
      <c r="E35" s="73"/>
      <c r="F35" s="35"/>
      <c r="G35" s="35">
        <f>G30+G33</f>
        <v>121.783252</v>
      </c>
      <c r="H35" s="35">
        <f t="shared" si="1"/>
        <v>2.4300000000000068</v>
      </c>
      <c r="I35" s="36">
        <f t="shared" si="8"/>
        <v>2.0359730122812295E-2</v>
      </c>
      <c r="J35" s="36">
        <f t="shared" si="9"/>
        <v>0.33130408011440643</v>
      </c>
      <c r="K35" s="111">
        <f t="shared" si="10"/>
        <v>0.33791238110217053</v>
      </c>
    </row>
    <row r="36" spans="1:11" x14ac:dyDescent="0.2">
      <c r="A36" s="107" t="s">
        <v>42</v>
      </c>
      <c r="B36" s="73">
        <f>B8</f>
        <v>2134</v>
      </c>
      <c r="C36" s="34">
        <v>3.5999999999999999E-3</v>
      </c>
      <c r="D36" s="22">
        <f>B36*C36</f>
        <v>7.6823999999999995</v>
      </c>
      <c r="E36" s="73">
        <f t="shared" si="6"/>
        <v>2134</v>
      </c>
      <c r="F36" s="34">
        <v>3.5999999999999999E-3</v>
      </c>
      <c r="G36" s="22">
        <f>E36*F36</f>
        <v>7.6823999999999995</v>
      </c>
      <c r="H36" s="22">
        <f t="shared" si="1"/>
        <v>0</v>
      </c>
      <c r="I36" s="23">
        <f t="shared" si="8"/>
        <v>0</v>
      </c>
      <c r="J36" s="23">
        <f t="shared" si="9"/>
        <v>2.0899511412874043E-2</v>
      </c>
      <c r="K36" s="108">
        <f t="shared" si="10"/>
        <v>2.1316379994346959E-2</v>
      </c>
    </row>
    <row r="37" spans="1:11" x14ac:dyDescent="0.2">
      <c r="A37" s="107" t="s">
        <v>43</v>
      </c>
      <c r="B37" s="73">
        <f>B8</f>
        <v>2134</v>
      </c>
      <c r="C37" s="34">
        <v>2.0999999999999999E-3</v>
      </c>
      <c r="D37" s="22">
        <f>B37*C37</f>
        <v>4.4813999999999998</v>
      </c>
      <c r="E37" s="73">
        <f t="shared" si="6"/>
        <v>2134</v>
      </c>
      <c r="F37" s="34">
        <v>2.0999999999999999E-3</v>
      </c>
      <c r="G37" s="22">
        <f>E37*F37</f>
        <v>4.4813999999999998</v>
      </c>
      <c r="H37" s="22">
        <f>G37-D37</f>
        <v>0</v>
      </c>
      <c r="I37" s="23">
        <f t="shared" si="8"/>
        <v>0</v>
      </c>
      <c r="J37" s="23">
        <f t="shared" si="9"/>
        <v>1.2191381657509858E-2</v>
      </c>
      <c r="K37" s="108">
        <f t="shared" si="10"/>
        <v>1.2434554996702395E-2</v>
      </c>
    </row>
    <row r="38" spans="1:11" x14ac:dyDescent="0.2">
      <c r="A38" s="107" t="s">
        <v>96</v>
      </c>
      <c r="B38" s="73">
        <f>B8</f>
        <v>2134</v>
      </c>
      <c r="C38" s="34">
        <v>0</v>
      </c>
      <c r="D38" s="22">
        <f>B38*C38</f>
        <v>0</v>
      </c>
      <c r="E38" s="73">
        <f t="shared" si="6"/>
        <v>2134</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6.8011010273072361E-4</v>
      </c>
      <c r="K39" s="108">
        <f t="shared" si="10"/>
        <v>6.9367580425215298E-4</v>
      </c>
    </row>
    <row r="40" spans="1:11" s="1" customFormat="1" x14ac:dyDescent="0.2">
      <c r="A40" s="110" t="s">
        <v>45</v>
      </c>
      <c r="B40" s="74"/>
      <c r="C40" s="35"/>
      <c r="D40" s="35">
        <f>SUM(D36:D39)</f>
        <v>12.413799999999998</v>
      </c>
      <c r="E40" s="73"/>
      <c r="F40" s="35"/>
      <c r="G40" s="35">
        <f>SUM(G36:G39)</f>
        <v>12.413799999999998</v>
      </c>
      <c r="H40" s="35">
        <f t="shared" si="1"/>
        <v>0</v>
      </c>
      <c r="I40" s="36">
        <f t="shared" si="8"/>
        <v>0</v>
      </c>
      <c r="J40" s="36">
        <f t="shared" si="9"/>
        <v>3.3771003173114621E-2</v>
      </c>
      <c r="K40" s="111">
        <f t="shared" si="10"/>
        <v>3.4444610795301506E-2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1"/>
        <v>0</v>
      </c>
      <c r="I41" s="117">
        <f t="shared" si="8"/>
        <v>0</v>
      </c>
      <c r="J41" s="117">
        <f t="shared" si="9"/>
        <v>3.8086165752920523E-2</v>
      </c>
      <c r="K41" s="118">
        <f t="shared" si="10"/>
        <v>3.8845845038120573E-2</v>
      </c>
    </row>
    <row r="42" spans="1:11" s="1" customFormat="1" x14ac:dyDescent="0.2">
      <c r="A42" s="37" t="s">
        <v>101</v>
      </c>
      <c r="B42" s="38"/>
      <c r="C42" s="39"/>
      <c r="D42" s="39">
        <f>SUM(D14,D25,D26,D27,D33,D40,D41)</f>
        <v>347.65337200000005</v>
      </c>
      <c r="E42" s="38"/>
      <c r="F42" s="39"/>
      <c r="G42" s="39">
        <f>SUM(G14,G25,G26,G27,G33,G40,G41)</f>
        <v>350.083372</v>
      </c>
      <c r="H42" s="39">
        <f t="shared" si="1"/>
        <v>2.42999999999995</v>
      </c>
      <c r="I42" s="40">
        <f t="shared" si="8"/>
        <v>6.9897207842987627E-3</v>
      </c>
      <c r="J42" s="40">
        <f t="shared" si="9"/>
        <v>0.95238095238095244</v>
      </c>
      <c r="K42" s="41"/>
    </row>
    <row r="43" spans="1:11" x14ac:dyDescent="0.2">
      <c r="A43" s="153" t="s">
        <v>102</v>
      </c>
      <c r="B43" s="43"/>
      <c r="C43" s="26">
        <v>0.13</v>
      </c>
      <c r="D43" s="26">
        <f>D42*C43</f>
        <v>45.194938360000009</v>
      </c>
      <c r="E43" s="26"/>
      <c r="F43" s="26">
        <f>C43</f>
        <v>0.13</v>
      </c>
      <c r="G43" s="26">
        <f>G42*F43</f>
        <v>45.510838360000001</v>
      </c>
      <c r="H43" s="26">
        <f t="shared" si="1"/>
        <v>0.31589999999999208</v>
      </c>
      <c r="I43" s="44">
        <f t="shared" si="8"/>
        <v>6.9897207842987315E-3</v>
      </c>
      <c r="J43" s="44">
        <f t="shared" si="9"/>
        <v>0.12380952380952383</v>
      </c>
      <c r="K43" s="45"/>
    </row>
    <row r="44" spans="1:11" s="1" customFormat="1" x14ac:dyDescent="0.2">
      <c r="A44" s="46" t="s">
        <v>103</v>
      </c>
      <c r="B44" s="24"/>
      <c r="C44" s="25"/>
      <c r="D44" s="25">
        <f>SUM(D42:D43)</f>
        <v>392.84831036000003</v>
      </c>
      <c r="E44" s="25"/>
      <c r="F44" s="25"/>
      <c r="G44" s="25">
        <f>SUM(G42:G43)</f>
        <v>395.59421035999998</v>
      </c>
      <c r="H44" s="25">
        <f t="shared" si="1"/>
        <v>2.7458999999999492</v>
      </c>
      <c r="I44" s="27">
        <f t="shared" si="8"/>
        <v>6.9897207842987783E-3</v>
      </c>
      <c r="J44" s="27">
        <f t="shared" si="9"/>
        <v>1.0761904761904764</v>
      </c>
      <c r="K44" s="47"/>
    </row>
    <row r="45" spans="1:11" x14ac:dyDescent="0.2">
      <c r="A45" s="42" t="s">
        <v>104</v>
      </c>
      <c r="B45" s="43"/>
      <c r="C45" s="26">
        <v>-0.08</v>
      </c>
      <c r="D45" s="26">
        <f>D42*C45</f>
        <v>-27.812269760000003</v>
      </c>
      <c r="E45" s="26"/>
      <c r="F45" s="26">
        <f>C45</f>
        <v>-0.08</v>
      </c>
      <c r="G45" s="26">
        <f>G42*F45</f>
        <v>-28.006669760000001</v>
      </c>
      <c r="H45" s="26">
        <f t="shared" si="1"/>
        <v>-0.19439999999999813</v>
      </c>
      <c r="I45" s="44">
        <f t="shared" si="8"/>
        <v>-6.9897207842988399E-3</v>
      </c>
      <c r="J45" s="44">
        <f t="shared" si="9"/>
        <v>-7.6190476190476197E-2</v>
      </c>
      <c r="K45" s="45"/>
    </row>
    <row r="46" spans="1:11" s="1" customFormat="1" ht="13.5" thickBot="1" x14ac:dyDescent="0.25">
      <c r="A46" s="48" t="s">
        <v>105</v>
      </c>
      <c r="B46" s="49"/>
      <c r="C46" s="50"/>
      <c r="D46" s="50">
        <f>SUM(D44:D45)</f>
        <v>365.03604060000004</v>
      </c>
      <c r="E46" s="50"/>
      <c r="F46" s="50"/>
      <c r="G46" s="50">
        <f>SUM(G44:G45)</f>
        <v>367.58754059999995</v>
      </c>
      <c r="H46" s="50">
        <f t="shared" si="1"/>
        <v>2.5514999999999191</v>
      </c>
      <c r="I46" s="51">
        <f t="shared" si="8"/>
        <v>6.9897207842986855E-3</v>
      </c>
      <c r="J46" s="51">
        <f t="shared" si="9"/>
        <v>1</v>
      </c>
      <c r="K46" s="52"/>
    </row>
    <row r="47" spans="1:11" x14ac:dyDescent="0.2">
      <c r="A47" s="53" t="s">
        <v>106</v>
      </c>
      <c r="B47" s="54"/>
      <c r="C47" s="55"/>
      <c r="D47" s="55">
        <f>SUM(D18,D25,D26,D28,D33,D40,D41)</f>
        <v>340.80705199999994</v>
      </c>
      <c r="E47" s="55"/>
      <c r="F47" s="55"/>
      <c r="G47" s="55">
        <f>SUM(G18,G25,G26,G28,G33,G40,G41)</f>
        <v>343.23705200000001</v>
      </c>
      <c r="H47" s="55">
        <f>G47-D47</f>
        <v>2.4300000000000637</v>
      </c>
      <c r="I47" s="56">
        <f t="shared" si="8"/>
        <v>7.1301341499238231E-3</v>
      </c>
      <c r="J47" s="56"/>
      <c r="K47" s="57">
        <f>G47/$G$51</f>
        <v>0.95238095238095233</v>
      </c>
    </row>
    <row r="48" spans="1:11" x14ac:dyDescent="0.2">
      <c r="A48" s="58" t="s">
        <v>102</v>
      </c>
      <c r="B48" s="59"/>
      <c r="C48" s="31">
        <v>0.13</v>
      </c>
      <c r="D48" s="31">
        <f>D47*C48</f>
        <v>44.30491675999999</v>
      </c>
      <c r="E48" s="31"/>
      <c r="F48" s="31">
        <f>C48</f>
        <v>0.13</v>
      </c>
      <c r="G48" s="31">
        <f>G47*F48</f>
        <v>44.620816760000004</v>
      </c>
      <c r="H48" s="31">
        <f>G48-D48</f>
        <v>0.31590000000001339</v>
      </c>
      <c r="I48" s="32">
        <f t="shared" si="8"/>
        <v>7.1301341499239385E-3</v>
      </c>
      <c r="J48" s="32"/>
      <c r="K48" s="60">
        <f>G48/$G$51</f>
        <v>0.12380952380952381</v>
      </c>
    </row>
    <row r="49" spans="1:11" x14ac:dyDescent="0.2">
      <c r="A49" s="149" t="s">
        <v>107</v>
      </c>
      <c r="B49" s="29"/>
      <c r="C49" s="30"/>
      <c r="D49" s="30">
        <f>SUM(D47:D48)</f>
        <v>385.11196875999991</v>
      </c>
      <c r="E49" s="30"/>
      <c r="F49" s="30"/>
      <c r="G49" s="30">
        <f>SUM(G47:G48)</f>
        <v>387.85786876000003</v>
      </c>
      <c r="H49" s="30">
        <f>G49-D49</f>
        <v>2.7459000000001197</v>
      </c>
      <c r="I49" s="33">
        <f t="shared" si="8"/>
        <v>7.1301341499239472E-3</v>
      </c>
      <c r="J49" s="33"/>
      <c r="K49" s="62">
        <f>G49/$G$51</f>
        <v>1.0761904761904761</v>
      </c>
    </row>
    <row r="50" spans="1:11" x14ac:dyDescent="0.2">
      <c r="A50" s="58" t="s">
        <v>104</v>
      </c>
      <c r="B50" s="59"/>
      <c r="C50" s="31">
        <v>-0.08</v>
      </c>
      <c r="D50" s="31">
        <f>D47*C50</f>
        <v>-27.264564159999995</v>
      </c>
      <c r="E50" s="31"/>
      <c r="F50" s="31">
        <f>C50</f>
        <v>-0.08</v>
      </c>
      <c r="G50" s="31">
        <f>G47*F50</f>
        <v>-27.458964160000001</v>
      </c>
      <c r="H50" s="31">
        <f>G50-D50</f>
        <v>-0.19440000000000524</v>
      </c>
      <c r="I50" s="32">
        <f t="shared" si="8"/>
        <v>-7.1301341499238283E-3</v>
      </c>
      <c r="J50" s="32"/>
      <c r="K50" s="60">
        <f>G50/$G$51</f>
        <v>-7.6190476190476183E-2</v>
      </c>
    </row>
    <row r="51" spans="1:11" ht="13.5" thickBot="1" x14ac:dyDescent="0.25">
      <c r="A51" s="63" t="s">
        <v>116</v>
      </c>
      <c r="B51" s="64"/>
      <c r="C51" s="65"/>
      <c r="D51" s="65">
        <f>SUM(D49:D50)</f>
        <v>357.84740459999989</v>
      </c>
      <c r="E51" s="65"/>
      <c r="F51" s="65"/>
      <c r="G51" s="65">
        <f>SUM(G49:G50)</f>
        <v>360.39890460000004</v>
      </c>
      <c r="H51" s="65">
        <f>G51-D51</f>
        <v>2.5515000000001464</v>
      </c>
      <c r="I51" s="66">
        <f t="shared" si="8"/>
        <v>7.130134149924046E-3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4"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45"/>
  <sheetViews>
    <sheetView tabSelected="1" view="pageLayout" zoomScaleNormal="110" zoomScaleSheetLayoutView="100" workbookViewId="0">
      <selection activeCell="N13" sqref="N13"/>
    </sheetView>
  </sheetViews>
  <sheetFormatPr defaultRowHeight="12.75" x14ac:dyDescent="0.2"/>
  <cols>
    <col min="1" max="1" width="10.5703125" customWidth="1"/>
    <col min="2" max="2" width="13.42578125" customWidth="1"/>
    <col min="3" max="5" width="13.7109375" customWidth="1"/>
    <col min="6" max="6" width="12.140625" customWidth="1"/>
    <col min="7" max="7" width="13" customWidth="1"/>
    <col min="8" max="8" width="11.85546875" bestFit="1" customWidth="1"/>
    <col min="9" max="9" width="12.28515625" bestFit="1" customWidth="1"/>
    <col min="10" max="10" width="19.42578125" customWidth="1"/>
  </cols>
  <sheetData>
    <row r="1" spans="1:10" ht="39" thickBot="1" x14ac:dyDescent="0.25">
      <c r="A1" s="95" t="s">
        <v>13</v>
      </c>
      <c r="B1" s="89" t="s">
        <v>67</v>
      </c>
      <c r="C1" s="96" t="s">
        <v>62</v>
      </c>
      <c r="D1" s="97" t="s">
        <v>68</v>
      </c>
      <c r="E1" s="99" t="s">
        <v>122</v>
      </c>
      <c r="F1" s="87" t="s">
        <v>63</v>
      </c>
      <c r="G1" s="88" t="s">
        <v>65</v>
      </c>
      <c r="H1" s="86" t="s">
        <v>64</v>
      </c>
      <c r="I1" s="142" t="s">
        <v>66</v>
      </c>
      <c r="J1" s="99" t="s">
        <v>69</v>
      </c>
    </row>
    <row r="2" spans="1:10" x14ac:dyDescent="0.2">
      <c r="A2" s="180" t="s">
        <v>0</v>
      </c>
      <c r="B2" s="90" t="s">
        <v>60</v>
      </c>
      <c r="C2" s="98">
        <f>BI_UR_Low!B4</f>
        <v>350</v>
      </c>
      <c r="D2" s="83"/>
      <c r="E2" s="146">
        <f>BI_UR_Low!D51</f>
        <v>81.266267984999999</v>
      </c>
      <c r="F2" s="132">
        <f>BI_UR_Low!H$25</f>
        <v>2.9749999999999943</v>
      </c>
      <c r="G2" s="133">
        <f>BI_UR_Low!I$25</f>
        <v>9.0446150338222814E-2</v>
      </c>
      <c r="H2" s="134">
        <f>BI_UR_Low!H$51</f>
        <v>3.1237500000000011</v>
      </c>
      <c r="I2" s="143">
        <f>BI_UR_Low!I$51</f>
        <v>3.8438457646124198E-2</v>
      </c>
      <c r="J2" s="181" t="s">
        <v>50</v>
      </c>
    </row>
    <row r="3" spans="1:10" x14ac:dyDescent="0.2">
      <c r="A3" s="175"/>
      <c r="B3" s="91" t="s">
        <v>90</v>
      </c>
      <c r="C3" s="93">
        <f>BI_UR_Typical!B4</f>
        <v>750</v>
      </c>
      <c r="D3" s="84"/>
      <c r="E3" s="147">
        <f>BI_UR_Typical!D51</f>
        <v>135.40960282500004</v>
      </c>
      <c r="F3" s="135">
        <f>BI_UR_Typical!H$25</f>
        <v>1.0949999999999989</v>
      </c>
      <c r="G3" s="136">
        <f>BI_UR_Typical!I$25</f>
        <v>3.1479538300104901E-2</v>
      </c>
      <c r="H3" s="137">
        <f>BI_UR_Typical!H$51</f>
        <v>1.1497499999999832</v>
      </c>
      <c r="I3" s="144">
        <f>BI_UR_Typical!I$51</f>
        <v>8.4909044559113821E-3</v>
      </c>
      <c r="J3" s="182"/>
    </row>
    <row r="4" spans="1:10" x14ac:dyDescent="0.2">
      <c r="A4" s="175"/>
      <c r="B4" s="157" t="s">
        <v>113</v>
      </c>
      <c r="C4" s="158">
        <f>BI_UR_Avg!$B$4</f>
        <v>755</v>
      </c>
      <c r="D4" s="159"/>
      <c r="E4" s="160">
        <f>BI_UR_Avg!$D$51</f>
        <v>136.08639451050001</v>
      </c>
      <c r="F4" s="161">
        <f>BI_UR_Avg!$H$25</f>
        <v>1.0715000000000003</v>
      </c>
      <c r="G4" s="162">
        <f>BI_UR_Avg!$I$25</f>
        <v>3.0783020643153986E-2</v>
      </c>
      <c r="H4" s="163">
        <f>BI_UR_Avg!$H$51</f>
        <v>1.1250749999999812</v>
      </c>
      <c r="I4" s="164">
        <f>BI_UR_Avg!$I$51</f>
        <v>8.2673584236458986E-3</v>
      </c>
      <c r="J4" s="182"/>
    </row>
    <row r="5" spans="1:10" ht="13.5" thickBot="1" x14ac:dyDescent="0.25">
      <c r="A5" s="176"/>
      <c r="B5" s="92" t="s">
        <v>61</v>
      </c>
      <c r="C5" s="94">
        <f>BI_UR_High!B4</f>
        <v>1400</v>
      </c>
      <c r="D5" s="85"/>
      <c r="E5" s="148">
        <f>BI_UR_High!D51</f>
        <v>223.39252193999997</v>
      </c>
      <c r="F5" s="138">
        <f>BI_UR_High!H$25</f>
        <v>-1.9600000000000009</v>
      </c>
      <c r="G5" s="139">
        <f>BI_UR_High!I$25</f>
        <v>-5.1771045194009373E-2</v>
      </c>
      <c r="H5" s="140">
        <f>BI_UR_High!H$51</f>
        <v>-2.0579999999999643</v>
      </c>
      <c r="I5" s="145">
        <f>BI_UR_High!I$51</f>
        <v>-9.2124838473899937E-3</v>
      </c>
      <c r="J5" s="183"/>
    </row>
    <row r="6" spans="1:10" x14ac:dyDescent="0.2">
      <c r="A6" s="184" t="s">
        <v>1</v>
      </c>
      <c r="B6" s="90" t="s">
        <v>60</v>
      </c>
      <c r="C6" s="98">
        <f>BI_R1_Low!B4</f>
        <v>400</v>
      </c>
      <c r="D6" s="83"/>
      <c r="E6" s="146">
        <f>BI_R1_Low!D51</f>
        <v>106.14025128000002</v>
      </c>
      <c r="F6" s="132">
        <f>BI_R1_Low!H$25</f>
        <v>3.5500000000000043</v>
      </c>
      <c r="G6" s="133">
        <f>BI_R1_Low!I$25</f>
        <v>7.1110933055566775E-2</v>
      </c>
      <c r="H6" s="134">
        <f>BI_R1_Low!H$51</f>
        <v>3.7275000000000063</v>
      </c>
      <c r="I6" s="143">
        <f>BI_R1_Low!I$51</f>
        <v>3.5118627995017554E-2</v>
      </c>
      <c r="J6" s="181" t="s">
        <v>50</v>
      </c>
    </row>
    <row r="7" spans="1:10" x14ac:dyDescent="0.2">
      <c r="A7" s="185"/>
      <c r="B7" s="91" t="s">
        <v>90</v>
      </c>
      <c r="C7" s="93">
        <f>BI_R1_Typical!B4</f>
        <v>750</v>
      </c>
      <c r="D7" s="84"/>
      <c r="E7" s="147">
        <f>BI_R1_Typical!D51</f>
        <v>159.29173365</v>
      </c>
      <c r="F7" s="135">
        <f>BI_R1_Typical!H$25</f>
        <v>2.3950000000000031</v>
      </c>
      <c r="G7" s="141">
        <f>BI_R1_Typical!I$25</f>
        <v>4.2251781807917638E-2</v>
      </c>
      <c r="H7" s="137">
        <f>BI_R1_Typical!H$51</f>
        <v>2.5147500000000207</v>
      </c>
      <c r="I7" s="144">
        <f>BI_R1_Typical!I$51</f>
        <v>1.5787071572248033E-2</v>
      </c>
      <c r="J7" s="182"/>
    </row>
    <row r="8" spans="1:10" x14ac:dyDescent="0.2">
      <c r="A8" s="186"/>
      <c r="B8" s="157" t="s">
        <v>113</v>
      </c>
      <c r="C8" s="158">
        <f>BI_R1_Avg!$B$4</f>
        <v>920</v>
      </c>
      <c r="D8" s="159"/>
      <c r="E8" s="160">
        <f>BI_R1_Avg!$D$51</f>
        <v>185.108167944</v>
      </c>
      <c r="F8" s="161">
        <f>BI_R1_Avg!$H$25</f>
        <v>1.8340000000000032</v>
      </c>
      <c r="G8" s="162">
        <f>BI_R1_Avg!$I$25</f>
        <v>3.0582773594092946E-2</v>
      </c>
      <c r="H8" s="163">
        <f>BI_R1_Avg!$H$51</f>
        <v>1.9257000000000346</v>
      </c>
      <c r="I8" s="164">
        <f>BI_R1_Avg!$I$51</f>
        <v>1.0403106580270454E-2</v>
      </c>
      <c r="J8" s="182"/>
    </row>
    <row r="9" spans="1:10" ht="13.5" thickBot="1" x14ac:dyDescent="0.25">
      <c r="A9" s="187"/>
      <c r="B9" s="92" t="s">
        <v>61</v>
      </c>
      <c r="C9" s="94">
        <f>BI_R1_High!B4</f>
        <v>1800</v>
      </c>
      <c r="D9" s="85"/>
      <c r="E9" s="148">
        <f>BI_R1_High!D51</f>
        <v>318.74618076000002</v>
      </c>
      <c r="F9" s="138">
        <f>BI_R1_High!H$25</f>
        <v>-1.0699999999999932</v>
      </c>
      <c r="G9" s="139">
        <f>BI_R1_High!I$25</f>
        <v>-1.3901520072755531E-2</v>
      </c>
      <c r="H9" s="140">
        <f>BI_R1_High!H$51</f>
        <v>-1.1234999999999786</v>
      </c>
      <c r="I9" s="145">
        <f>BI_R1_High!I$51</f>
        <v>-3.5247481156359898E-3</v>
      </c>
      <c r="J9" s="183"/>
    </row>
    <row r="10" spans="1:10" x14ac:dyDescent="0.2">
      <c r="A10" s="184" t="s">
        <v>2</v>
      </c>
      <c r="B10" s="90" t="s">
        <v>60</v>
      </c>
      <c r="C10" s="98">
        <f>BI_R2_Low!B4</f>
        <v>450</v>
      </c>
      <c r="D10" s="83"/>
      <c r="E10" s="146">
        <f>BI_R2_Low!D51</f>
        <v>112.38707109829913</v>
      </c>
      <c r="F10" s="132">
        <f>BI_R2_Low!H$25</f>
        <v>7.6899999999999906</v>
      </c>
      <c r="G10" s="133">
        <f>BI_R2_Low!I$25</f>
        <v>0.15849729458509446</v>
      </c>
      <c r="H10" s="134">
        <f>BI_R2_Low!H$51</f>
        <v>8.0745000000000005</v>
      </c>
      <c r="I10" s="143">
        <f>BI_R2_Low!I$51</f>
        <v>7.1845452693910447E-2</v>
      </c>
      <c r="J10" s="181" t="s">
        <v>50</v>
      </c>
    </row>
    <row r="11" spans="1:10" x14ac:dyDescent="0.2">
      <c r="A11" s="185"/>
      <c r="B11" s="91" t="s">
        <v>90</v>
      </c>
      <c r="C11" s="93">
        <f>BI_R2_Typical!B4</f>
        <v>750</v>
      </c>
      <c r="D11" s="84"/>
      <c r="E11" s="147">
        <f>BI_R2_Typical!D51</f>
        <v>162.73571034829911</v>
      </c>
      <c r="F11" s="135">
        <f>BI_R2_Typical!H$25</f>
        <v>6.1299999999999812</v>
      </c>
      <c r="G11" s="141">
        <f>BI_R2_Typical!I$25</f>
        <v>0.10541488888741553</v>
      </c>
      <c r="H11" s="137">
        <f>BI_R2_Typical!H$51</f>
        <v>6.4364999999999668</v>
      </c>
      <c r="I11" s="144">
        <f>BI_R2_Typical!I$51</f>
        <v>3.9551859799082142E-2</v>
      </c>
      <c r="J11" s="182"/>
    </row>
    <row r="12" spans="1:10" x14ac:dyDescent="0.2">
      <c r="A12" s="186"/>
      <c r="B12" s="157" t="s">
        <v>113</v>
      </c>
      <c r="C12" s="158">
        <f>BI_R2_Avg!$B$4</f>
        <v>1152</v>
      </c>
      <c r="D12" s="159"/>
      <c r="E12" s="160">
        <f>BI_R2_Avg!$D$51</f>
        <v>230.20288694329918</v>
      </c>
      <c r="F12" s="161">
        <f>BI_R2_Avg!$H$25</f>
        <v>4.0395999999999788</v>
      </c>
      <c r="G12" s="162">
        <f>BI_R2_Avg!$I$25</f>
        <v>5.6848215664537273E-2</v>
      </c>
      <c r="H12" s="163">
        <f>BI_R2_Avg!$H$51</f>
        <v>4.241579999999999</v>
      </c>
      <c r="I12" s="164">
        <f>BI_R2_Avg!$I$51</f>
        <v>1.8425398813720066E-2</v>
      </c>
      <c r="J12" s="182"/>
    </row>
    <row r="13" spans="1:10" ht="13.5" thickBot="1" x14ac:dyDescent="0.25">
      <c r="A13" s="187"/>
      <c r="B13" s="92" t="s">
        <v>61</v>
      </c>
      <c r="C13" s="94">
        <f>BI_R2_High!B4</f>
        <v>2300</v>
      </c>
      <c r="D13" s="85"/>
      <c r="E13" s="148">
        <f>BI_R2_High!D51</f>
        <v>422.87034647329921</v>
      </c>
      <c r="F13" s="138">
        <f>BI_R2_High!H$25</f>
        <v>-1.9300000000000068</v>
      </c>
      <c r="G13" s="139">
        <f>BI_R2_High!I$25</f>
        <v>-1.7883339383341097E-2</v>
      </c>
      <c r="H13" s="140">
        <f>BI_R2_High!H$51</f>
        <v>-2.0265000000000555</v>
      </c>
      <c r="I13" s="145">
        <f>BI_R2_High!I$51</f>
        <v>-4.7922490117854894E-3</v>
      </c>
      <c r="J13" s="183"/>
    </row>
    <row r="14" spans="1:10" x14ac:dyDescent="0.2">
      <c r="A14" s="184" t="s">
        <v>3</v>
      </c>
      <c r="B14" s="90" t="s">
        <v>60</v>
      </c>
      <c r="C14" s="98">
        <f>BI_Seas_Low!B4</f>
        <v>50</v>
      </c>
      <c r="D14" s="83"/>
      <c r="E14" s="146">
        <f>BI_Seas_Low!D51</f>
        <v>57.775803119999992</v>
      </c>
      <c r="F14" s="132">
        <f>BI_Seas_Low!H$25</f>
        <v>4.5349999999999966</v>
      </c>
      <c r="G14" s="133">
        <f>BI_Seas_Low!I$25</f>
        <v>9.5056436484064616E-2</v>
      </c>
      <c r="H14" s="134">
        <f>BI_Seas_Low!H$51</f>
        <v>4.7617499999999993</v>
      </c>
      <c r="I14" s="143">
        <f>BI_Seas_Low!I$51</f>
        <v>8.2417720617571924E-2</v>
      </c>
      <c r="J14" s="181" t="s">
        <v>50</v>
      </c>
    </row>
    <row r="15" spans="1:10" x14ac:dyDescent="0.2">
      <c r="A15" s="186"/>
      <c r="B15" s="157" t="s">
        <v>113</v>
      </c>
      <c r="C15" s="158">
        <f>BI_Seas_Avg!$B$4</f>
        <v>352</v>
      </c>
      <c r="D15" s="159"/>
      <c r="E15" s="160">
        <f>BI_Seas_Avg!$D$51</f>
        <v>114.32471796480002</v>
      </c>
      <c r="F15" s="161">
        <f>BI_Seas_Avg!$H$25</f>
        <v>1.8471999999999937</v>
      </c>
      <c r="G15" s="162">
        <f>BI_Seas_Avg!$I$25</f>
        <v>2.9017963740740921E-2</v>
      </c>
      <c r="H15" s="163">
        <f>BI_Seas_Avg!$H$51</f>
        <v>1.9395599999999718</v>
      </c>
      <c r="I15" s="164">
        <f>BI_Seas_Avg!$I$51</f>
        <v>1.6965360024742436E-2</v>
      </c>
      <c r="J15" s="182"/>
    </row>
    <row r="16" spans="1:10" ht="13.5" thickBot="1" x14ac:dyDescent="0.25">
      <c r="A16" s="187"/>
      <c r="B16" s="92" t="s">
        <v>61</v>
      </c>
      <c r="C16" s="94">
        <f>BI_Seas_High!B4</f>
        <v>1000</v>
      </c>
      <c r="D16" s="85"/>
      <c r="E16" s="148">
        <f>BI_Seas_High!D51</f>
        <v>235.6614624</v>
      </c>
      <c r="F16" s="138">
        <f>BI_Seas_High!H$25</f>
        <v>-3.9200000000000017</v>
      </c>
      <c r="G16" s="139">
        <f>BI_Seas_High!I$25</f>
        <v>-4.0049857986472974E-2</v>
      </c>
      <c r="H16" s="140">
        <f>BI_Seas_High!H$51</f>
        <v>-4.1160000000000139</v>
      </c>
      <c r="I16" s="145">
        <f>BI_Seas_High!I$51</f>
        <v>-1.7465732233358209E-2</v>
      </c>
      <c r="J16" s="183"/>
    </row>
    <row r="17" spans="1:10" x14ac:dyDescent="0.2">
      <c r="A17" s="180" t="s">
        <v>4</v>
      </c>
      <c r="B17" s="90" t="s">
        <v>60</v>
      </c>
      <c r="C17" s="98">
        <f>BI_GSe_Low!B4</f>
        <v>1000</v>
      </c>
      <c r="D17" s="83"/>
      <c r="E17" s="146">
        <f>BI_GSe_Low!D51</f>
        <v>235.02585959999996</v>
      </c>
      <c r="F17" s="132">
        <f>BI_GSe_Low!H$25</f>
        <v>2.6799999999999926</v>
      </c>
      <c r="G17" s="133">
        <f>BI_GSe_Low!I$25</f>
        <v>2.9282576866764196E-2</v>
      </c>
      <c r="H17" s="134">
        <f>BI_GSe_Low!H$51</f>
        <v>2.813999999999993</v>
      </c>
      <c r="I17" s="143">
        <f>BI_GSe_Low!I$51</f>
        <v>1.1973150549429981E-2</v>
      </c>
      <c r="J17" s="181" t="s">
        <v>50</v>
      </c>
    </row>
    <row r="18" spans="1:10" x14ac:dyDescent="0.2">
      <c r="A18" s="175"/>
      <c r="B18" s="91" t="s">
        <v>90</v>
      </c>
      <c r="C18" s="93">
        <f>BI_GSe_Typical!B4</f>
        <v>2000</v>
      </c>
      <c r="D18" s="84"/>
      <c r="E18" s="147">
        <f>BI_GSe_Typical!D51</f>
        <v>437.24761919999997</v>
      </c>
      <c r="F18" s="135">
        <f>BI_GSe_Typical!H$25</f>
        <v>4.6800000000000068</v>
      </c>
      <c r="G18" s="141">
        <f>BI_GSe_Typical!I$25</f>
        <v>3.0619855798798806E-2</v>
      </c>
      <c r="H18" s="137">
        <f>BI_GSe_Typical!H$51</f>
        <v>4.9140000000000441</v>
      </c>
      <c r="I18" s="144">
        <f>BI_GSe_Typical!I$51</f>
        <v>1.1238483148269238E-2</v>
      </c>
      <c r="J18" s="182"/>
    </row>
    <row r="19" spans="1:10" x14ac:dyDescent="0.2">
      <c r="A19" s="175"/>
      <c r="B19" s="157" t="s">
        <v>113</v>
      </c>
      <c r="C19" s="158">
        <f>BI_GSe_Avg!$B$4</f>
        <v>1982</v>
      </c>
      <c r="D19" s="159"/>
      <c r="E19" s="160">
        <f>BI_GSe_Avg!$D$51</f>
        <v>433.60762752720007</v>
      </c>
      <c r="F19" s="161">
        <f>BI_GSe_Avg!$H$25</f>
        <v>4.643999999999977</v>
      </c>
      <c r="G19" s="162">
        <f>BI_GSe_Avg!$I$25</f>
        <v>3.0605337191204916E-2</v>
      </c>
      <c r="H19" s="163">
        <f>BI_GSe_Avg!$H$51</f>
        <v>4.8762000000000398</v>
      </c>
      <c r="I19" s="164">
        <f>BI_GSe_Avg!$I$51</f>
        <v>1.1245650884437353E-2</v>
      </c>
      <c r="J19" s="182"/>
    </row>
    <row r="20" spans="1:10" ht="13.5" thickBot="1" x14ac:dyDescent="0.25">
      <c r="A20" s="176"/>
      <c r="B20" s="92" t="s">
        <v>61</v>
      </c>
      <c r="C20" s="94">
        <f>BI_GSe_High!B4</f>
        <v>15000</v>
      </c>
      <c r="D20" s="85"/>
      <c r="E20" s="148">
        <f>BI_GSe_High!D51</f>
        <v>3066.1304940000005</v>
      </c>
      <c r="F20" s="138">
        <f>BI_GSe_High!H$25</f>
        <v>30.679999999999836</v>
      </c>
      <c r="G20" s="139">
        <f>BI_GSe_High!I$25</f>
        <v>3.2294668853328559E-2</v>
      </c>
      <c r="H20" s="140">
        <f>BI_GSe_High!H$51</f>
        <v>32.213999999999942</v>
      </c>
      <c r="I20" s="145">
        <f>BI_GSe_High!I$51</f>
        <v>1.050640214532237E-2</v>
      </c>
      <c r="J20" s="183"/>
    </row>
    <row r="21" spans="1:10" x14ac:dyDescent="0.2">
      <c r="A21" s="180" t="s">
        <v>6</v>
      </c>
      <c r="B21" s="90" t="s">
        <v>60</v>
      </c>
      <c r="C21" s="98">
        <f>BI_UGe_Low!B4</f>
        <v>1000</v>
      </c>
      <c r="D21" s="83"/>
      <c r="E21" s="146">
        <f>BI_UGe_Low!D51</f>
        <v>192.32065229999998</v>
      </c>
      <c r="F21" s="132">
        <f>BI_UGe_Low!H$25</f>
        <v>1.5300000000000011</v>
      </c>
      <c r="G21" s="133">
        <f>BI_UGe_Low!I$25</f>
        <v>2.8593855124467393E-2</v>
      </c>
      <c r="H21" s="134">
        <f>BI_UGe_Low!H$51</f>
        <v>1.6064999999999827</v>
      </c>
      <c r="I21" s="143">
        <f>BI_UGe_Low!I$51</f>
        <v>8.3532370589821624E-3</v>
      </c>
      <c r="J21" s="181" t="s">
        <v>50</v>
      </c>
    </row>
    <row r="22" spans="1:10" x14ac:dyDescent="0.2">
      <c r="A22" s="175"/>
      <c r="B22" s="91" t="s">
        <v>90</v>
      </c>
      <c r="C22" s="93">
        <f>BI_UGe_Typical!B4</f>
        <v>2000</v>
      </c>
      <c r="D22" s="84"/>
      <c r="E22" s="147">
        <f>BI_UGe_Typical!D51</f>
        <v>357.84740459999989</v>
      </c>
      <c r="F22" s="135">
        <f>BI_UGe_Typical!H$25</f>
        <v>2.4300000000000068</v>
      </c>
      <c r="G22" s="141">
        <f>BI_UGe_Typical!I$25</f>
        <v>2.9440984758535547E-2</v>
      </c>
      <c r="H22" s="137">
        <f>BI_UGe_Typical!H$51</f>
        <v>2.5515000000001464</v>
      </c>
      <c r="I22" s="144">
        <f>BI_UGe_Typical!I$51</f>
        <v>7.130134149924046E-3</v>
      </c>
      <c r="J22" s="182"/>
    </row>
    <row r="23" spans="1:10" x14ac:dyDescent="0.2">
      <c r="A23" s="175"/>
      <c r="B23" s="157" t="s">
        <v>113</v>
      </c>
      <c r="C23" s="158">
        <f>BI_UGe_Avg!$B$4</f>
        <v>2759</v>
      </c>
      <c r="D23" s="159"/>
      <c r="E23" s="160">
        <f>BI_UGe_Avg!$D$51</f>
        <v>483.48220959569994</v>
      </c>
      <c r="F23" s="161">
        <f>BI_UGe_Avg!$H$25</f>
        <v>3.1131000000000029</v>
      </c>
      <c r="G23" s="162">
        <f>BI_UGe_Avg!$I$25</f>
        <v>2.9769984767399491E-2</v>
      </c>
      <c r="H23" s="163">
        <f>BI_UGe_Avg!$H$51</f>
        <v>3.2687550000000556</v>
      </c>
      <c r="I23" s="164">
        <f>BI_UGe_Avg!$I$51</f>
        <v>6.7608589005445953E-3</v>
      </c>
      <c r="J23" s="182"/>
    </row>
    <row r="24" spans="1:10" ht="13.5" thickBot="1" x14ac:dyDescent="0.25">
      <c r="A24" s="176"/>
      <c r="B24" s="92" t="s">
        <v>61</v>
      </c>
      <c r="C24" s="94">
        <f>BI_UGe_High!B4</f>
        <v>15000</v>
      </c>
      <c r="D24" s="85"/>
      <c r="E24" s="148">
        <f>BI_UGe_High!D51</f>
        <v>2509.6951845000003</v>
      </c>
      <c r="F24" s="138">
        <f>BI_UGe_High!H$25</f>
        <v>14.129999999999995</v>
      </c>
      <c r="G24" s="139">
        <f>BI_UGe_High!I$25</f>
        <v>3.0722199996521184E-2</v>
      </c>
      <c r="H24" s="140">
        <f>BI_UGe_High!H$51</f>
        <v>14.836500000000342</v>
      </c>
      <c r="I24" s="145">
        <f>BI_UGe_High!I$51</f>
        <v>5.9116740915913964E-3</v>
      </c>
      <c r="J24" s="183"/>
    </row>
    <row r="25" spans="1:10" x14ac:dyDescent="0.2">
      <c r="A25" s="180" t="s">
        <v>5</v>
      </c>
      <c r="B25" s="90" t="s">
        <v>60</v>
      </c>
      <c r="C25" s="98">
        <f>BI_GSd_Low!B4</f>
        <v>15000</v>
      </c>
      <c r="D25" s="83">
        <f>BI_GSd_Low!B5</f>
        <v>60</v>
      </c>
      <c r="E25" s="146">
        <f>BI_GSd_Low!D38</f>
        <v>3354.8174183599995</v>
      </c>
      <c r="F25" s="132">
        <f>BI_GSd_Low!H$23</f>
        <v>34.705999999999904</v>
      </c>
      <c r="G25" s="133">
        <f>BI_GSd_Low!I$23</f>
        <v>3.0239330367777296E-2</v>
      </c>
      <c r="H25" s="134">
        <f>BI_GSd_Low!H$38</f>
        <v>39.217779999999948</v>
      </c>
      <c r="I25" s="143">
        <f>BI_GSd_Low!I$38</f>
        <v>1.1689989382245291E-2</v>
      </c>
      <c r="J25" s="177" t="s">
        <v>70</v>
      </c>
    </row>
    <row r="26" spans="1:10" x14ac:dyDescent="0.2">
      <c r="A26" s="175"/>
      <c r="B26" s="157" t="s">
        <v>113</v>
      </c>
      <c r="C26" s="93">
        <f>BI_GSd_Avg!B4</f>
        <v>36104</v>
      </c>
      <c r="D26" s="84">
        <f>BI_GSd_Avg!B5</f>
        <v>124</v>
      </c>
      <c r="E26" s="147">
        <f>BI_GSd_Avg!D38</f>
        <v>7439.5278601679993</v>
      </c>
      <c r="F26" s="135">
        <f>BI_GSd_Avg!H$23</f>
        <v>69.592399999999543</v>
      </c>
      <c r="G26" s="141">
        <f>BI_GSd_Avg!I$23</f>
        <v>3.0782080629160817E-2</v>
      </c>
      <c r="H26" s="137">
        <f>BI_GSd_Avg!H$38</f>
        <v>78.639411999999538</v>
      </c>
      <c r="I26" s="144">
        <f>BI_GSd_Avg!I$38</f>
        <v>1.0570484240141511E-2</v>
      </c>
      <c r="J26" s="178"/>
    </row>
    <row r="27" spans="1:10" ht="13.5" thickBot="1" x14ac:dyDescent="0.25">
      <c r="A27" s="176"/>
      <c r="B27" s="92" t="s">
        <v>61</v>
      </c>
      <c r="C27" s="94">
        <f>BI_GSd_High!B4</f>
        <v>175000</v>
      </c>
      <c r="D27" s="85">
        <f>BI_GSd_High!B5</f>
        <v>500</v>
      </c>
      <c r="E27" s="148">
        <f>BI_GSd_High!D38</f>
        <v>33283.753483</v>
      </c>
      <c r="F27" s="138">
        <f>BI_GSd_High!H$23</f>
        <v>274.54999999999927</v>
      </c>
      <c r="G27" s="139">
        <f>BI_GSd_High!I$23</f>
        <v>3.1197938333874332E-2</v>
      </c>
      <c r="H27" s="140">
        <f>BI_GSd_High!H$38</f>
        <v>310.24149999999645</v>
      </c>
      <c r="I27" s="145">
        <f>BI_GSd_High!I$38</f>
        <v>9.3211091759364002E-3</v>
      </c>
      <c r="J27" s="179"/>
    </row>
    <row r="28" spans="1:10" ht="12.75" customHeight="1" x14ac:dyDescent="0.2">
      <c r="A28" s="180" t="s">
        <v>7</v>
      </c>
      <c r="B28" s="90" t="s">
        <v>60</v>
      </c>
      <c r="C28" s="98">
        <f>BI_UGd_Low!B4</f>
        <v>15000</v>
      </c>
      <c r="D28" s="83">
        <f>BI_UGd_Low!B5</f>
        <v>60</v>
      </c>
      <c r="E28" s="146">
        <f>BI_UGd_Low!D38</f>
        <v>2900.281391</v>
      </c>
      <c r="F28" s="132">
        <f>BI_UGd_Low!H$23</f>
        <v>21.097999999999843</v>
      </c>
      <c r="G28" s="133">
        <f>BI_UGd_Low!I$23</f>
        <v>3.0045451257100994E-2</v>
      </c>
      <c r="H28" s="134">
        <f>BI_UGd_Low!H$38</f>
        <v>23.840740000000096</v>
      </c>
      <c r="I28" s="143">
        <f>BI_UGd_Low!I$38</f>
        <v>8.2201472153637985E-3</v>
      </c>
      <c r="J28" s="177" t="s">
        <v>70</v>
      </c>
    </row>
    <row r="29" spans="1:10" x14ac:dyDescent="0.2">
      <c r="A29" s="175"/>
      <c r="B29" s="157" t="s">
        <v>113</v>
      </c>
      <c r="C29" s="93">
        <f>BI_UGd_Avg!B4</f>
        <v>50525</v>
      </c>
      <c r="D29" s="84">
        <f>BI_UGd_Avg!B5</f>
        <v>135</v>
      </c>
      <c r="E29" s="147">
        <f>BI_UGd_Avg!D38</f>
        <v>8437.5249060000006</v>
      </c>
      <c r="F29" s="135">
        <f>BI_UGd_Avg!H$23</f>
        <v>44.595499999999902</v>
      </c>
      <c r="G29" s="141">
        <f>BI_UGd_Avg!I$23</f>
        <v>3.0723018644140353E-2</v>
      </c>
      <c r="H29" s="137">
        <f>BI_UGd_Avg!H$38</f>
        <v>50.392915000000357</v>
      </c>
      <c r="I29" s="144">
        <f>BI_UGd_Avg!I$38</f>
        <v>5.9724759999422936E-3</v>
      </c>
      <c r="J29" s="178"/>
    </row>
    <row r="30" spans="1:10" ht="13.5" thickBot="1" x14ac:dyDescent="0.25">
      <c r="A30" s="176"/>
      <c r="B30" s="92" t="s">
        <v>61</v>
      </c>
      <c r="C30" s="94">
        <f>BI_UGd_High!B4</f>
        <v>175000</v>
      </c>
      <c r="D30" s="85">
        <f>BI_UGd_High!B5</f>
        <v>500</v>
      </c>
      <c r="E30" s="148">
        <f>BI_UGd_High!D38</f>
        <v>29447.811865000003</v>
      </c>
      <c r="F30" s="138">
        <f>BI_UGd_High!H$23</f>
        <v>158.94999999999891</v>
      </c>
      <c r="G30" s="139">
        <f>BI_UGd_High!I$23</f>
        <v>3.1177193554372453E-2</v>
      </c>
      <c r="H30" s="140">
        <f>BI_UGd_High!H$38</f>
        <v>179.61349999999948</v>
      </c>
      <c r="I30" s="145">
        <f>BI_UGd_High!I$38</f>
        <v>6.0993835746919415E-3</v>
      </c>
      <c r="J30" s="179"/>
    </row>
    <row r="31" spans="1:10" x14ac:dyDescent="0.2">
      <c r="A31" s="175" t="s">
        <v>8</v>
      </c>
      <c r="B31" s="90" t="s">
        <v>60</v>
      </c>
      <c r="C31" s="98">
        <f>BI_StLgt_Low!B4</f>
        <v>100</v>
      </c>
      <c r="D31" s="83"/>
      <c r="E31" s="146">
        <f>BI_StLgt_Low!D37</f>
        <v>28.14748608</v>
      </c>
      <c r="F31" s="132">
        <f>BI_StLgt_Low!H$20</f>
        <v>0.44999999999999929</v>
      </c>
      <c r="G31" s="133">
        <f>BI_StLgt_Low!I$20</f>
        <v>3.1433361274098862E-2</v>
      </c>
      <c r="H31" s="134">
        <f>BI_StLgt_Low!H$37</f>
        <v>0.47250000000000014</v>
      </c>
      <c r="I31" s="143">
        <f>BI_StLgt_Low!I$37</f>
        <v>1.6786579045001526E-2</v>
      </c>
      <c r="J31" s="181" t="s">
        <v>95</v>
      </c>
    </row>
    <row r="32" spans="1:10" x14ac:dyDescent="0.2">
      <c r="A32" s="175"/>
      <c r="B32" s="157" t="s">
        <v>113</v>
      </c>
      <c r="C32" s="93">
        <f>BI_StLgt_Avg!B4</f>
        <v>517</v>
      </c>
      <c r="D32" s="84"/>
      <c r="E32" s="147">
        <f>BI_StLgt_Avg!D37</f>
        <v>126.0075285336</v>
      </c>
      <c r="F32" s="135">
        <f>BI_StLgt_Avg!H$20</f>
        <v>1.7844000000000122</v>
      </c>
      <c r="G32" s="141">
        <f>BI_StLgt_Avg!I$20</f>
        <v>3.159878258624476E-2</v>
      </c>
      <c r="H32" s="137">
        <f>BI_StLgt_Avg!H$37</f>
        <v>1.8736200000000167</v>
      </c>
      <c r="I32" s="144">
        <f>BI_StLgt_Avg!I$37</f>
        <v>1.4869111566618931E-2</v>
      </c>
      <c r="J32" s="182"/>
    </row>
    <row r="33" spans="1:10" ht="13.5" thickBot="1" x14ac:dyDescent="0.25">
      <c r="A33" s="176"/>
      <c r="B33" s="92" t="s">
        <v>61</v>
      </c>
      <c r="C33" s="94">
        <f>BI_StLgt_High!B4</f>
        <v>2000</v>
      </c>
      <c r="D33" s="85"/>
      <c r="E33" s="148">
        <f>BI_StLgt_High!D37</f>
        <v>496.61807160000001</v>
      </c>
      <c r="F33" s="138">
        <f>BI_StLgt_High!H$20</f>
        <v>6.5300000000000011</v>
      </c>
      <c r="G33" s="139">
        <f>BI_StLgt_High!I$20</f>
        <v>3.1639589702839824E-2</v>
      </c>
      <c r="H33" s="140">
        <f>BI_StLgt_High!H$37</f>
        <v>6.8564999999999259</v>
      </c>
      <c r="I33" s="145">
        <f>BI_StLgt_High!I$37</f>
        <v>1.3806384407054924E-2</v>
      </c>
      <c r="J33" s="183"/>
    </row>
    <row r="34" spans="1:10" x14ac:dyDescent="0.2">
      <c r="A34" s="175" t="s">
        <v>9</v>
      </c>
      <c r="B34" s="90" t="s">
        <v>60</v>
      </c>
      <c r="C34" s="98">
        <f>BI_SenLgt_Low!B4</f>
        <v>20</v>
      </c>
      <c r="D34" s="83"/>
      <c r="E34" s="146">
        <f>BI_SenLgt_Low!D37</f>
        <v>9.0667772159999984</v>
      </c>
      <c r="F34" s="132">
        <f>BI_SenLgt_Low!H$20</f>
        <v>0.3459999999999992</v>
      </c>
      <c r="G34" s="133">
        <f>BI_SenLgt_Low!I$20</f>
        <v>5.828055518124229E-2</v>
      </c>
      <c r="H34" s="134">
        <f>BI_SenLgt_Low!H$37</f>
        <v>0.36329999999999885</v>
      </c>
      <c r="I34" s="143">
        <f>BI_SenLgt_Low!I$37</f>
        <v>4.0069364377773517E-2</v>
      </c>
      <c r="J34" s="181" t="s">
        <v>95</v>
      </c>
    </row>
    <row r="35" spans="1:10" x14ac:dyDescent="0.2">
      <c r="A35" s="175"/>
      <c r="B35" s="157" t="s">
        <v>113</v>
      </c>
      <c r="C35" s="93">
        <f>BI_SenLgt_Avg!B4</f>
        <v>71</v>
      </c>
      <c r="D35" s="84"/>
      <c r="E35" s="147">
        <f>BI_SenLgt_Avg!D37</f>
        <v>22.478444116799999</v>
      </c>
      <c r="F35" s="135">
        <f>BI_SenLgt_Avg!H$20</f>
        <v>0.71830000000000105</v>
      </c>
      <c r="G35" s="141">
        <f>BI_SenLgt_Avg!I$20</f>
        <v>5.761684596898662E-2</v>
      </c>
      <c r="H35" s="137">
        <f>BI_SenLgt_Avg!H$37</f>
        <v>0.75421499999999497</v>
      </c>
      <c r="I35" s="144">
        <f>BI_SenLgt_Avg!I$37</f>
        <v>3.3552811577217116E-2</v>
      </c>
      <c r="J35" s="182"/>
    </row>
    <row r="36" spans="1:10" ht="13.5" thickBot="1" x14ac:dyDescent="0.25">
      <c r="A36" s="176"/>
      <c r="B36" s="92" t="s">
        <v>61</v>
      </c>
      <c r="C36" s="94">
        <f>BI_SenLgt_High!B4</f>
        <v>200</v>
      </c>
      <c r="D36" s="85"/>
      <c r="E36" s="148">
        <f>BI_SenLgt_High!D37</f>
        <v>56.402072160000003</v>
      </c>
      <c r="F36" s="138">
        <f>BI_SenLgt_High!H$20</f>
        <v>1.6600000000000001</v>
      </c>
      <c r="G36" s="139">
        <f>BI_SenLgt_High!I$20</f>
        <v>5.7272978194866139E-2</v>
      </c>
      <c r="H36" s="140">
        <f>BI_SenLgt_High!H$37</f>
        <v>1.742999999999995</v>
      </c>
      <c r="I36" s="145">
        <f>BI_SenLgt_High!I$37</f>
        <v>3.0903119925372525E-2</v>
      </c>
      <c r="J36" s="183"/>
    </row>
    <row r="37" spans="1:10" x14ac:dyDescent="0.2">
      <c r="A37" s="175" t="s">
        <v>12</v>
      </c>
      <c r="B37" s="90" t="s">
        <v>60</v>
      </c>
      <c r="C37" s="98">
        <f>BI_USL_Low!B4</f>
        <v>100</v>
      </c>
      <c r="D37" s="83"/>
      <c r="E37" s="146">
        <f>BI_USL_Low!D37</f>
        <v>53.391384900000013</v>
      </c>
      <c r="F37" s="132">
        <f>BI_USL_Low!H$20</f>
        <v>1.2399999999999949</v>
      </c>
      <c r="G37" s="133">
        <f>BI_USL_Low!I$20</f>
        <v>3.2288303301739263E-2</v>
      </c>
      <c r="H37" s="134">
        <f>BI_USL_Low!H$37</f>
        <v>1.3019999999999925</v>
      </c>
      <c r="I37" s="143">
        <f>BI_USL_Low!I$37</f>
        <v>2.4385956693923332E-2</v>
      </c>
      <c r="J37" s="181" t="s">
        <v>95</v>
      </c>
    </row>
    <row r="38" spans="1:10" x14ac:dyDescent="0.2">
      <c r="A38" s="175"/>
      <c r="B38" s="157" t="s">
        <v>113</v>
      </c>
      <c r="C38" s="93">
        <f>BI_USL_Avg!B4</f>
        <v>364</v>
      </c>
      <c r="D38" s="84"/>
      <c r="E38" s="147">
        <f>BI_USL_Avg!D37</f>
        <v>95.267817036000011</v>
      </c>
      <c r="F38" s="135">
        <f>BI_USL_Avg!H$20</f>
        <v>1.4247999999999976</v>
      </c>
      <c r="G38" s="141">
        <f>BI_USL_Avg!I$20</f>
        <v>3.0912303478632098E-2</v>
      </c>
      <c r="H38" s="137">
        <f>BI_USL_Avg!H$37</f>
        <v>1.4960399999999936</v>
      </c>
      <c r="I38" s="144">
        <f>BI_USL_Avg!I$37</f>
        <v>1.5703519263327581E-2</v>
      </c>
      <c r="J38" s="182"/>
    </row>
    <row r="39" spans="1:10" ht="13.5" thickBot="1" x14ac:dyDescent="0.25">
      <c r="A39" s="176"/>
      <c r="B39" s="92" t="s">
        <v>61</v>
      </c>
      <c r="C39" s="94">
        <f>BI_USL_High!B4</f>
        <v>1000</v>
      </c>
      <c r="D39" s="85"/>
      <c r="E39" s="148">
        <f>BI_USL_High!D37</f>
        <v>201.53844900000001</v>
      </c>
      <c r="F39" s="138">
        <f>BI_USL_High!H$20</f>
        <v>1.8699999999999903</v>
      </c>
      <c r="G39" s="139">
        <f>BI_USL_High!I$20</f>
        <v>2.8941992199591253E-2</v>
      </c>
      <c r="H39" s="140">
        <f>BI_USL_High!H$37</f>
        <v>1.963499999999982</v>
      </c>
      <c r="I39" s="145">
        <f>BI_USL_High!I$37</f>
        <v>9.7425578580292733E-3</v>
      </c>
      <c r="J39" s="183"/>
    </row>
    <row r="40" spans="1:10" ht="12.75" customHeight="1" x14ac:dyDescent="0.2">
      <c r="A40" s="175" t="s">
        <v>47</v>
      </c>
      <c r="B40" s="90" t="s">
        <v>60</v>
      </c>
      <c r="C40" s="98">
        <f>BI_DGen_Low!B4</f>
        <v>300</v>
      </c>
      <c r="D40" s="83">
        <f>BI_DGen_Low!B5</f>
        <v>10</v>
      </c>
      <c r="E40" s="146">
        <f>BI_DGen_Low!D38</f>
        <v>383.44786974000004</v>
      </c>
      <c r="F40" s="132">
        <f>BI_DGen_Low!H$23</f>
        <v>8.2259999999999991</v>
      </c>
      <c r="G40" s="133">
        <f>BI_DGen_Low!I$23</f>
        <v>2.7939753929091579E-2</v>
      </c>
      <c r="H40" s="134">
        <f>BI_DGen_Low!H$38</f>
        <v>9.295379999999966</v>
      </c>
      <c r="I40" s="143">
        <f>BI_DGen_Low!I$38</f>
        <v>2.4241574236160902E-2</v>
      </c>
      <c r="J40" s="177" t="s">
        <v>70</v>
      </c>
    </row>
    <row r="41" spans="1:10" x14ac:dyDescent="0.2">
      <c r="A41" s="175"/>
      <c r="B41" s="157" t="s">
        <v>113</v>
      </c>
      <c r="C41" s="93">
        <f>BI_DGen_Avg!B4</f>
        <v>1328</v>
      </c>
      <c r="D41" s="84">
        <f>BI_DGen_Avg!B5</f>
        <v>13</v>
      </c>
      <c r="E41" s="147">
        <f>BI_DGen_Avg!D38</f>
        <v>548.06355773999996</v>
      </c>
      <c r="F41" s="135">
        <f>BI_DGen_Avg!H$23</f>
        <v>10.69380000000001</v>
      </c>
      <c r="G41" s="141">
        <f>BI_DGen_Avg!I$23</f>
        <v>3.3016391861452339E-2</v>
      </c>
      <c r="H41" s="137">
        <f>BI_DGen_Avg!H$38</f>
        <v>12.083993999999961</v>
      </c>
      <c r="I41" s="144">
        <f>BI_DGen_Avg!I$38</f>
        <v>2.2048526725311993E-2</v>
      </c>
      <c r="J41" s="178"/>
    </row>
    <row r="42" spans="1:10" ht="13.5" thickBot="1" x14ac:dyDescent="0.25">
      <c r="A42" s="176"/>
      <c r="B42" s="92" t="s">
        <v>61</v>
      </c>
      <c r="C42" s="94">
        <f>BI_DGen_High!B4</f>
        <v>5000</v>
      </c>
      <c r="D42" s="85">
        <f>BI_DGen_High!B5</f>
        <v>100</v>
      </c>
      <c r="E42" s="148">
        <f>BI_DGen_High!D38</f>
        <v>2084.5701893999999</v>
      </c>
      <c r="F42" s="138">
        <f>BI_DGen_High!H$23</f>
        <v>82.260000000000218</v>
      </c>
      <c r="G42" s="139">
        <f>BI_DGen_High!I$23</f>
        <v>6.979153321630728E-2</v>
      </c>
      <c r="H42" s="140">
        <f>BI_DGen_High!H$38</f>
        <v>92.953800000000228</v>
      </c>
      <c r="I42" s="145">
        <f>BI_DGen_High!I$38</f>
        <v>4.4591350520442316E-2</v>
      </c>
      <c r="J42" s="179"/>
    </row>
    <row r="43" spans="1:10" x14ac:dyDescent="0.2">
      <c r="A43" s="175" t="s">
        <v>11</v>
      </c>
      <c r="B43" s="90" t="s">
        <v>60</v>
      </c>
      <c r="C43" s="98">
        <f>BI_ST_Low!B4</f>
        <v>200000</v>
      </c>
      <c r="D43" s="83">
        <f>BI_ST_Low!B5</f>
        <v>500</v>
      </c>
      <c r="E43" s="146">
        <f>BI_ST_Low!D36</f>
        <v>29701.591712995953</v>
      </c>
      <c r="F43" s="132">
        <f>BI_ST_Low!H$21</f>
        <v>55.864224897082977</v>
      </c>
      <c r="G43" s="133">
        <f>BI_ST_Low!I$21</f>
        <v>3.0321800267187317E-2</v>
      </c>
      <c r="H43" s="134">
        <f>BI_ST_Low!H$36</f>
        <v>63.12657413370107</v>
      </c>
      <c r="I43" s="143">
        <f>BI_ST_Low!I$36</f>
        <v>2.1253599720744928E-3</v>
      </c>
      <c r="J43" s="177" t="s">
        <v>70</v>
      </c>
    </row>
    <row r="44" spans="1:10" x14ac:dyDescent="0.2">
      <c r="A44" s="175"/>
      <c r="B44" s="157" t="s">
        <v>113</v>
      </c>
      <c r="C44" s="93">
        <f>BI_ST_Avg!B4</f>
        <v>1601036</v>
      </c>
      <c r="D44" s="84">
        <f>BI_ST_Avg!B5</f>
        <v>3091</v>
      </c>
      <c r="E44" s="147">
        <f>BI_ST_Avg!D36</f>
        <v>220507.37300710499</v>
      </c>
      <c r="F44" s="135">
        <f>BI_ST_Avg!H$21</f>
        <v>179.73591831376689</v>
      </c>
      <c r="G44" s="141">
        <f>BI_ST_Avg!I$21</f>
        <v>3.5752833699391293E-2</v>
      </c>
      <c r="H44" s="137">
        <f>BI_ST_Avg!H$36</f>
        <v>203.10158769451664</v>
      </c>
      <c r="I44" s="144">
        <f>BI_ST_Avg!I$36</f>
        <v>9.2106483753707624E-4</v>
      </c>
      <c r="J44" s="178"/>
    </row>
    <row r="45" spans="1:10" ht="13.5" thickBot="1" x14ac:dyDescent="0.25">
      <c r="A45" s="176"/>
      <c r="B45" s="92" t="s">
        <v>61</v>
      </c>
      <c r="C45" s="94">
        <f>BI_ST_High!B4</f>
        <v>4000000</v>
      </c>
      <c r="D45" s="85">
        <f>BI_ST_High!B5</f>
        <v>10000</v>
      </c>
      <c r="E45" s="148">
        <f>BI_ST_High!D36</f>
        <v>567665.83692991908</v>
      </c>
      <c r="F45" s="138">
        <f>BI_ST_High!H$21</f>
        <v>510.04449794165703</v>
      </c>
      <c r="G45" s="139">
        <f>BI_ST_High!I$21</f>
        <v>3.7726374240347603E-2</v>
      </c>
      <c r="H45" s="140">
        <f>BI_ST_High!H$36</f>
        <v>576.35028267407324</v>
      </c>
      <c r="I45" s="145">
        <f>BI_ST_High!I$36</f>
        <v>1.0152985175065701E-3</v>
      </c>
      <c r="J45" s="179"/>
    </row>
  </sheetData>
  <mergeCells count="26">
    <mergeCell ref="J2:J5"/>
    <mergeCell ref="J21:J24"/>
    <mergeCell ref="J17:J20"/>
    <mergeCell ref="J14:J16"/>
    <mergeCell ref="J10:J13"/>
    <mergeCell ref="J6:J9"/>
    <mergeCell ref="A2:A5"/>
    <mergeCell ref="A6:A9"/>
    <mergeCell ref="A10:A13"/>
    <mergeCell ref="A14:A16"/>
    <mergeCell ref="A17:A20"/>
    <mergeCell ref="A43:A45"/>
    <mergeCell ref="J43:J45"/>
    <mergeCell ref="A40:A42"/>
    <mergeCell ref="A37:A39"/>
    <mergeCell ref="A21:A24"/>
    <mergeCell ref="A25:A27"/>
    <mergeCell ref="A28:A30"/>
    <mergeCell ref="A31:A33"/>
    <mergeCell ref="A34:A36"/>
    <mergeCell ref="J31:J33"/>
    <mergeCell ref="J28:J30"/>
    <mergeCell ref="J25:J27"/>
    <mergeCell ref="J40:J42"/>
    <mergeCell ref="J37:J39"/>
    <mergeCell ref="J34:J36"/>
  </mergeCells>
  <pageMargins left="0.7" right="0.7" top="0.75" bottom="0.75" header="1.05" footer="0.3"/>
  <pageSetup scale="83" orientation="landscape" r:id="rId1"/>
  <headerFooter>
    <oddHeader>&amp;RUpdated: 2017-06-07
EB-2017-0049
Exhibit H1-4-1
Attachment 3
Page &amp;P of &amp;N</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1" tint="0.499984740745262"/>
    <pageSetUpPr fitToPage="1"/>
  </sheetPr>
  <dimension ref="A1:K68"/>
  <sheetViews>
    <sheetView tabSelected="1" view="pageLayout" topLeftCell="A19"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119</v>
      </c>
      <c r="B1" s="189"/>
      <c r="C1" s="189"/>
      <c r="D1" s="189"/>
      <c r="E1" s="189"/>
      <c r="F1" s="189"/>
      <c r="G1" s="189"/>
      <c r="H1" s="189"/>
      <c r="I1" s="189"/>
      <c r="J1" s="189"/>
      <c r="K1" s="190"/>
    </row>
    <row r="3" spans="1:11" x14ac:dyDescent="0.2">
      <c r="A3" s="13" t="s">
        <v>13</v>
      </c>
      <c r="B3" s="13" t="s">
        <v>6</v>
      </c>
    </row>
    <row r="4" spans="1:11" x14ac:dyDescent="0.2">
      <c r="A4" s="15" t="s">
        <v>62</v>
      </c>
      <c r="B4" s="167">
        <f>VLOOKUP(B3,'Data for Bill Impacts'!A19:D32,3,FALSE)</f>
        <v>2759</v>
      </c>
    </row>
    <row r="5" spans="1:11" x14ac:dyDescent="0.2">
      <c r="A5" s="15" t="s">
        <v>16</v>
      </c>
      <c r="B5" s="167">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67">
        <f>B4*B6</f>
        <v>2943.8530000000001</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0.1361866259373887</v>
      </c>
      <c r="K12" s="106"/>
    </row>
    <row r="13" spans="1:11" x14ac:dyDescent="0.2">
      <c r="A13" s="107" t="s">
        <v>32</v>
      </c>
      <c r="B13" s="73">
        <f>IF(B4&gt;B7,(B4)-B7,0)</f>
        <v>2009</v>
      </c>
      <c r="C13" s="21">
        <v>0.106</v>
      </c>
      <c r="D13" s="22">
        <f>B13*C13</f>
        <v>212.95400000000001</v>
      </c>
      <c r="E13" s="73">
        <f>B13</f>
        <v>2009</v>
      </c>
      <c r="F13" s="21">
        <f>C13</f>
        <v>0.106</v>
      </c>
      <c r="G13" s="22">
        <f>E13*F13</f>
        <v>212.95400000000001</v>
      </c>
      <c r="H13" s="22">
        <f t="shared" ref="H13:H46" si="1">G13-D13</f>
        <v>0</v>
      </c>
      <c r="I13" s="23">
        <f t="shared" si="0"/>
        <v>0</v>
      </c>
      <c r="J13" s="23">
        <f>G13/$G$46</f>
        <v>0.42493020864279379</v>
      </c>
      <c r="K13" s="108"/>
    </row>
    <row r="14" spans="1:11" s="1" customFormat="1" x14ac:dyDescent="0.2">
      <c r="A14" s="46" t="s">
        <v>33</v>
      </c>
      <c r="B14" s="24"/>
      <c r="C14" s="25"/>
      <c r="D14" s="25">
        <f>SUM(D12:D13)</f>
        <v>281.20400000000001</v>
      </c>
      <c r="E14" s="76"/>
      <c r="F14" s="25"/>
      <c r="G14" s="25">
        <f>SUM(G12:G13)</f>
        <v>281.20400000000001</v>
      </c>
      <c r="H14" s="25">
        <f t="shared" si="1"/>
        <v>0</v>
      </c>
      <c r="I14" s="27">
        <f t="shared" si="0"/>
        <v>0</v>
      </c>
      <c r="J14" s="27">
        <f>G14/$G$46</f>
        <v>0.56111683458018247</v>
      </c>
      <c r="K14" s="108"/>
    </row>
    <row r="15" spans="1:11" s="1" customFormat="1" x14ac:dyDescent="0.2">
      <c r="A15" s="109" t="s">
        <v>34</v>
      </c>
      <c r="B15" s="75">
        <f>B4*0.65</f>
        <v>1793.3500000000001</v>
      </c>
      <c r="C15" s="28">
        <v>7.6999999999999999E-2</v>
      </c>
      <c r="D15" s="22">
        <f>B15*C15</f>
        <v>138.08795000000001</v>
      </c>
      <c r="E15" s="73">
        <f t="shared" ref="E15:F17" si="2">B15</f>
        <v>1793.3500000000001</v>
      </c>
      <c r="F15" s="28">
        <f t="shared" si="2"/>
        <v>7.6999999999999999E-2</v>
      </c>
      <c r="G15" s="22">
        <f>E15*F15</f>
        <v>138.08795000000001</v>
      </c>
      <c r="H15" s="22">
        <f t="shared" si="1"/>
        <v>0</v>
      </c>
      <c r="I15" s="23">
        <f t="shared" si="0"/>
        <v>0</v>
      </c>
      <c r="J15" s="23"/>
      <c r="K15" s="108">
        <f t="shared" ref="K15:K26" si="3">G15/$G$51</f>
        <v>0.28369322311399459</v>
      </c>
    </row>
    <row r="16" spans="1:11" s="1" customFormat="1" x14ac:dyDescent="0.2">
      <c r="A16" s="109" t="s">
        <v>35</v>
      </c>
      <c r="B16" s="75">
        <f>B4*0.17</f>
        <v>469.03000000000003</v>
      </c>
      <c r="C16" s="28">
        <v>0.113</v>
      </c>
      <c r="D16" s="22">
        <f>B16*C16</f>
        <v>53.000390000000003</v>
      </c>
      <c r="E16" s="73">
        <f t="shared" si="2"/>
        <v>469.03000000000003</v>
      </c>
      <c r="F16" s="28">
        <f t="shared" si="2"/>
        <v>0.113</v>
      </c>
      <c r="G16" s="22">
        <f>E16*F16</f>
        <v>53.000390000000003</v>
      </c>
      <c r="H16" s="22">
        <f t="shared" si="1"/>
        <v>0</v>
      </c>
      <c r="I16" s="23">
        <f t="shared" si="0"/>
        <v>0</v>
      </c>
      <c r="J16" s="23"/>
      <c r="K16" s="108">
        <f t="shared" si="3"/>
        <v>0.1088860502701266</v>
      </c>
    </row>
    <row r="17" spans="1:11" s="1" customFormat="1" x14ac:dyDescent="0.2">
      <c r="A17" s="109" t="s">
        <v>36</v>
      </c>
      <c r="B17" s="75">
        <f>B4*0.18</f>
        <v>496.62</v>
      </c>
      <c r="C17" s="28">
        <v>0.157</v>
      </c>
      <c r="D17" s="22">
        <f>B17*C17</f>
        <v>77.969340000000003</v>
      </c>
      <c r="E17" s="73">
        <f t="shared" si="2"/>
        <v>496.62</v>
      </c>
      <c r="F17" s="28">
        <f t="shared" si="2"/>
        <v>0.157</v>
      </c>
      <c r="G17" s="22">
        <f>E17*F17</f>
        <v>77.969340000000003</v>
      </c>
      <c r="H17" s="22">
        <f t="shared" si="1"/>
        <v>0</v>
      </c>
      <c r="I17" s="23">
        <f t="shared" si="0"/>
        <v>0</v>
      </c>
      <c r="J17" s="23"/>
      <c r="K17" s="108">
        <f t="shared" si="3"/>
        <v>0.1601832264775522</v>
      </c>
    </row>
    <row r="18" spans="1:11" s="1" customFormat="1" x14ac:dyDescent="0.2">
      <c r="A18" s="61" t="s">
        <v>37</v>
      </c>
      <c r="B18" s="29"/>
      <c r="C18" s="30"/>
      <c r="D18" s="30">
        <f>SUM(D15:D17)</f>
        <v>269.05768</v>
      </c>
      <c r="E18" s="77"/>
      <c r="F18" s="30"/>
      <c r="G18" s="30">
        <f>SUM(G15:G17)</f>
        <v>269.05768</v>
      </c>
      <c r="H18" s="31">
        <f t="shared" si="1"/>
        <v>0</v>
      </c>
      <c r="I18" s="32">
        <f t="shared" si="0"/>
        <v>0</v>
      </c>
      <c r="J18" s="33">
        <f t="shared" ref="J18:J23" si="4">G18/$G$46</f>
        <v>0.5368799651537236</v>
      </c>
      <c r="K18" s="62">
        <f t="shared" si="3"/>
        <v>0.55276249986167336</v>
      </c>
    </row>
    <row r="19" spans="1:11" x14ac:dyDescent="0.2">
      <c r="A19" s="107" t="s">
        <v>38</v>
      </c>
      <c r="B19" s="73">
        <v>1</v>
      </c>
      <c r="C19" s="78">
        <f>VLOOKUP($B$3,'Data for Bill Impacts'!$A$3:$Y$15,7,0)</f>
        <v>24.47</v>
      </c>
      <c r="D19" s="22">
        <f t="shared" ref="D19:D24" si="5">B19*C19</f>
        <v>24.47</v>
      </c>
      <c r="E19" s="73">
        <f t="shared" ref="E19:E41" si="6">B19</f>
        <v>1</v>
      </c>
      <c r="F19" s="78">
        <f>VLOOKUP($B$3,'Data for Bill Impacts'!$A$3:$Y$15,17,0)</f>
        <v>25.1</v>
      </c>
      <c r="G19" s="22">
        <f t="shared" ref="G19:G24" si="7">E19*F19</f>
        <v>25.1</v>
      </c>
      <c r="H19" s="22">
        <f t="shared" si="1"/>
        <v>0.63000000000000256</v>
      </c>
      <c r="I19" s="23">
        <f>IF(ISERROR(H19/ABS(D19)),"N/A",(H19/ABS(D19)))</f>
        <v>2.5745811197384658E-2</v>
      </c>
      <c r="J19" s="23">
        <f t="shared" si="4"/>
        <v>5.0084751809940757E-2</v>
      </c>
      <c r="K19" s="108">
        <f t="shared" si="3"/>
        <v>5.1566410393964604E-2</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110</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8.0000000000000002E-3</v>
      </c>
      <c r="D22" s="22">
        <f t="shared" si="5"/>
        <v>8.0000000000000002E-3</v>
      </c>
      <c r="E22" s="73">
        <f t="shared" si="6"/>
        <v>1</v>
      </c>
      <c r="F22" s="121">
        <f>VLOOKUP($B$3,'Data for Bill Impacts'!$A$3:$Y$15,22,0)</f>
        <v>8.0000000000000002E-3</v>
      </c>
      <c r="G22" s="22">
        <f t="shared" si="7"/>
        <v>8.0000000000000002E-3</v>
      </c>
      <c r="H22" s="22">
        <f t="shared" si="1"/>
        <v>0</v>
      </c>
      <c r="I22" s="23">
        <f t="shared" ref="I22:I51" si="8">IF(ISERROR(H22/ABS(D22)),"N/A",(H22/ABS(D22)))</f>
        <v>0</v>
      </c>
      <c r="J22" s="23">
        <f t="shared" si="4"/>
        <v>1.5963267509144464E-5</v>
      </c>
      <c r="K22" s="108">
        <f t="shared" si="3"/>
        <v>1.6435509288913021E-5</v>
      </c>
    </row>
    <row r="23" spans="1:11" x14ac:dyDescent="0.2">
      <c r="A23" s="107" t="s">
        <v>39</v>
      </c>
      <c r="B23" s="73">
        <f>IF($B$9="kWh",$B$4,$B$5)</f>
        <v>2759</v>
      </c>
      <c r="C23" s="78">
        <f>VLOOKUP($B$3,'Data for Bill Impacts'!$A$3:$Y$15,10,0)</f>
        <v>2.9000000000000001E-2</v>
      </c>
      <c r="D23" s="22">
        <f t="shared" si="5"/>
        <v>80.01100000000001</v>
      </c>
      <c r="E23" s="73">
        <f t="shared" si="6"/>
        <v>2759</v>
      </c>
      <c r="F23" s="78">
        <f>VLOOKUP($B$3,'Data for Bill Impacts'!$A$3:$Y$15,19,0)</f>
        <v>2.9899999999999999E-2</v>
      </c>
      <c r="G23" s="22">
        <f t="shared" si="7"/>
        <v>82.494100000000003</v>
      </c>
      <c r="H23" s="22">
        <f t="shared" si="1"/>
        <v>2.4830999999999932</v>
      </c>
      <c r="I23" s="23">
        <f t="shared" si="8"/>
        <v>3.1034482758620602E-2</v>
      </c>
      <c r="J23" s="23">
        <f t="shared" si="4"/>
        <v>0.16460942327826431</v>
      </c>
      <c r="K23" s="108">
        <f t="shared" si="3"/>
        <v>0.16947906835381496</v>
      </c>
    </row>
    <row r="24" spans="1:11" x14ac:dyDescent="0.2">
      <c r="A24" s="107" t="s">
        <v>121</v>
      </c>
      <c r="B24" s="73">
        <f>IF($B$9="kWh",$B$4,$B$5)</f>
        <v>2759</v>
      </c>
      <c r="C24" s="125">
        <f>VLOOKUP($B$3,'Data for Bill Impacts'!$A$3:$Y$15,14,0)</f>
        <v>3.0000000000000004E-5</v>
      </c>
      <c r="D24" s="22">
        <f t="shared" si="5"/>
        <v>8.277000000000001E-2</v>
      </c>
      <c r="E24" s="73">
        <f t="shared" si="6"/>
        <v>2759</v>
      </c>
      <c r="F24" s="125">
        <f>VLOOKUP($B$3,'Data for Bill Impacts'!$A$3:$Y$15,23,0)</f>
        <v>3.0000000000000004E-5</v>
      </c>
      <c r="G24" s="22">
        <f t="shared" si="7"/>
        <v>8.277000000000001E-2</v>
      </c>
      <c r="H24" s="22">
        <f t="shared" si="1"/>
        <v>0</v>
      </c>
      <c r="I24" s="23">
        <f t="shared" si="8"/>
        <v>0</v>
      </c>
      <c r="J24" s="23">
        <f>G24/$G$46</f>
        <v>1.6515995646648594E-4</v>
      </c>
      <c r="K24" s="108">
        <f t="shared" si="3"/>
        <v>1.7004588798041635E-4</v>
      </c>
    </row>
    <row r="25" spans="1:11" s="1" customFormat="1" x14ac:dyDescent="0.2">
      <c r="A25" s="110" t="s">
        <v>72</v>
      </c>
      <c r="B25" s="74"/>
      <c r="C25" s="35"/>
      <c r="D25" s="35">
        <f>SUM(D19:D24)</f>
        <v>104.57177</v>
      </c>
      <c r="E25" s="73"/>
      <c r="F25" s="35"/>
      <c r="G25" s="35">
        <f>SUM(G19:G24)</f>
        <v>107.68487</v>
      </c>
      <c r="H25" s="35">
        <f t="shared" si="1"/>
        <v>3.1131000000000029</v>
      </c>
      <c r="I25" s="36">
        <f t="shared" si="8"/>
        <v>2.9769984767399491E-2</v>
      </c>
      <c r="J25" s="36">
        <f>G25/$G$46</f>
        <v>0.21487529831218069</v>
      </c>
      <c r="K25" s="111">
        <f t="shared" si="3"/>
        <v>0.22123196014504889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G26/$G$46</f>
        <v>1.5763726665280159E-3</v>
      </c>
      <c r="K26" s="108">
        <f t="shared" si="3"/>
        <v>1.6230065422801609E-3</v>
      </c>
    </row>
    <row r="27" spans="1:11" s="1" customFormat="1" x14ac:dyDescent="0.2">
      <c r="A27" s="119" t="s">
        <v>75</v>
      </c>
      <c r="B27" s="120">
        <f>B8-B4</f>
        <v>184.85300000000007</v>
      </c>
      <c r="C27" s="172">
        <f>IF(B4&gt;B7,C13,C12)</f>
        <v>0.106</v>
      </c>
      <c r="D27" s="22">
        <f>B27*C27</f>
        <v>19.594418000000008</v>
      </c>
      <c r="E27" s="73">
        <f>B27</f>
        <v>184.85300000000007</v>
      </c>
      <c r="F27" s="172">
        <f>C27</f>
        <v>0.106</v>
      </c>
      <c r="G27" s="22">
        <f>E27*F27</f>
        <v>19.594418000000008</v>
      </c>
      <c r="H27" s="22">
        <f t="shared" si="1"/>
        <v>0</v>
      </c>
      <c r="I27" s="23">
        <f t="shared" si="8"/>
        <v>0</v>
      </c>
      <c r="J27" s="23">
        <f t="shared" ref="J27:J46" si="9">G27/$G$46</f>
        <v>3.909886702749945E-2</v>
      </c>
      <c r="K27" s="108">
        <f t="shared" ref="K27:K41" si="10">G27/$G$51</f>
        <v>4.025552988123058E-2</v>
      </c>
    </row>
    <row r="28" spans="1:11" s="1" customFormat="1" x14ac:dyDescent="0.2">
      <c r="A28" s="119" t="s">
        <v>74</v>
      </c>
      <c r="B28" s="120">
        <f>B8-B4</f>
        <v>184.85300000000007</v>
      </c>
      <c r="C28" s="172">
        <f>0.65*C15+0.17*C16+0.18*C17</f>
        <v>9.7519999999999996E-2</v>
      </c>
      <c r="D28" s="22">
        <f>B28*C28</f>
        <v>18.026864560000007</v>
      </c>
      <c r="E28" s="73">
        <f>B28</f>
        <v>184.85300000000007</v>
      </c>
      <c r="F28" s="172">
        <f>C28</f>
        <v>9.7519999999999996E-2</v>
      </c>
      <c r="G28" s="22">
        <f>E28*F28</f>
        <v>18.026864560000007</v>
      </c>
      <c r="H28" s="22">
        <f t="shared" si="1"/>
        <v>0</v>
      </c>
      <c r="I28" s="23">
        <f t="shared" si="8"/>
        <v>0</v>
      </c>
      <c r="J28" s="23">
        <f t="shared" si="9"/>
        <v>3.5970957665299494E-2</v>
      </c>
      <c r="K28" s="108">
        <f t="shared" si="10"/>
        <v>3.703508749073213E-2</v>
      </c>
    </row>
    <row r="29" spans="1:11" s="1" customFormat="1" x14ac:dyDescent="0.2">
      <c r="A29" s="110" t="s">
        <v>78</v>
      </c>
      <c r="B29" s="74"/>
      <c r="C29" s="35"/>
      <c r="D29" s="35">
        <f>SUM(D25,D26:D27)</f>
        <v>124.95618800000001</v>
      </c>
      <c r="E29" s="73"/>
      <c r="F29" s="35"/>
      <c r="G29" s="35">
        <f>SUM(G25,G26:G27)</f>
        <v>128.06928800000003</v>
      </c>
      <c r="H29" s="35">
        <f t="shared" si="1"/>
        <v>3.1131000000000171</v>
      </c>
      <c r="I29" s="36">
        <f t="shared" si="8"/>
        <v>2.4913532093344723E-2</v>
      </c>
      <c r="J29" s="36">
        <f t="shared" si="9"/>
        <v>0.25555053800620819</v>
      </c>
      <c r="K29" s="111">
        <f t="shared" si="10"/>
        <v>0.26311049656855967</v>
      </c>
    </row>
    <row r="30" spans="1:11" s="1" customFormat="1" x14ac:dyDescent="0.2">
      <c r="A30" s="110" t="s">
        <v>77</v>
      </c>
      <c r="B30" s="74"/>
      <c r="C30" s="35"/>
      <c r="D30" s="35">
        <f>SUM(D25,D26,D28)</f>
        <v>123.38863456000001</v>
      </c>
      <c r="E30" s="73"/>
      <c r="F30" s="35"/>
      <c r="G30" s="35">
        <f>SUM(G25,G26,G28)</f>
        <v>126.50173456000002</v>
      </c>
      <c r="H30" s="35">
        <f t="shared" si="1"/>
        <v>3.1131000000000029</v>
      </c>
      <c r="I30" s="36">
        <f t="shared" si="8"/>
        <v>2.5230038496667214E-2</v>
      </c>
      <c r="J30" s="36">
        <f t="shared" si="9"/>
        <v>0.25242262864400822</v>
      </c>
      <c r="K30" s="111">
        <f t="shared" si="10"/>
        <v>0.25989005417806121</v>
      </c>
    </row>
    <row r="31" spans="1:11" x14ac:dyDescent="0.2">
      <c r="A31" s="107" t="s">
        <v>40</v>
      </c>
      <c r="B31" s="73">
        <f>B8</f>
        <v>2943.8530000000001</v>
      </c>
      <c r="C31" s="125">
        <f>VLOOKUP($B$3,'Data for Bill Impacts'!$A$3:$Y$15,15,0)</f>
        <v>6.1060000000000003E-3</v>
      </c>
      <c r="D31" s="22">
        <f>B31*C31</f>
        <v>17.975166418000001</v>
      </c>
      <c r="E31" s="73">
        <f t="shared" si="6"/>
        <v>2943.8530000000001</v>
      </c>
      <c r="F31" s="125">
        <f>VLOOKUP($B$3,'Data for Bill Impacts'!$A$3:$Y$15,24,0)</f>
        <v>6.1060000000000003E-3</v>
      </c>
      <c r="G31" s="22">
        <f>E31*F31</f>
        <v>17.975166418000001</v>
      </c>
      <c r="H31" s="22">
        <f t="shared" si="1"/>
        <v>0</v>
      </c>
      <c r="I31" s="23">
        <f t="shared" si="8"/>
        <v>0</v>
      </c>
      <c r="J31" s="23">
        <f t="shared" si="9"/>
        <v>3.5867798756490508E-2</v>
      </c>
      <c r="K31" s="108">
        <f t="shared" si="10"/>
        <v>3.6928876829099552E-2</v>
      </c>
    </row>
    <row r="32" spans="1:11" x14ac:dyDescent="0.2">
      <c r="A32" s="107" t="s">
        <v>41</v>
      </c>
      <c r="B32" s="73">
        <f>B8</f>
        <v>2943.8530000000001</v>
      </c>
      <c r="C32" s="125">
        <f>VLOOKUP($B$3,'Data for Bill Impacts'!$A$3:$Y$15,16,0)</f>
        <v>4.6519999999999999E-3</v>
      </c>
      <c r="D32" s="22">
        <f>B32*C32</f>
        <v>13.694804156</v>
      </c>
      <c r="E32" s="73">
        <f t="shared" si="6"/>
        <v>2943.8530000000001</v>
      </c>
      <c r="F32" s="125">
        <f>VLOOKUP($B$3,'Data for Bill Impacts'!$A$3:$Y$15,25,0)</f>
        <v>4.6519999999999999E-3</v>
      </c>
      <c r="G32" s="22">
        <f>E32*F32</f>
        <v>13.694804156</v>
      </c>
      <c r="H32" s="22">
        <f t="shared" si="1"/>
        <v>0</v>
      </c>
      <c r="I32" s="23">
        <f t="shared" si="8"/>
        <v>0</v>
      </c>
      <c r="J32" s="23">
        <f t="shared" si="9"/>
        <v>2.732672777844642E-2</v>
      </c>
      <c r="K32" s="108">
        <f t="shared" si="10"/>
        <v>2.8135135114472829E-2</v>
      </c>
    </row>
    <row r="33" spans="1:11" s="1" customFormat="1" x14ac:dyDescent="0.2">
      <c r="A33" s="110" t="s">
        <v>76</v>
      </c>
      <c r="B33" s="74"/>
      <c r="C33" s="35"/>
      <c r="D33" s="35">
        <f>SUM(D31:D32)</f>
        <v>31.669970574000001</v>
      </c>
      <c r="E33" s="73"/>
      <c r="F33" s="35"/>
      <c r="G33" s="35">
        <f>SUM(G31:G32)</f>
        <v>31.669970574000001</v>
      </c>
      <c r="H33" s="35">
        <f t="shared" si="1"/>
        <v>0</v>
      </c>
      <c r="I33" s="36">
        <f t="shared" si="8"/>
        <v>0</v>
      </c>
      <c r="J33" s="36">
        <f t="shared" si="9"/>
        <v>6.3194526534936929E-2</v>
      </c>
      <c r="K33" s="111">
        <f t="shared" si="10"/>
        <v>6.5064011943572378E-2</v>
      </c>
    </row>
    <row r="34" spans="1:11" s="1" customFormat="1" ht="13.5" customHeight="1" x14ac:dyDescent="0.2">
      <c r="A34" s="110" t="s">
        <v>91</v>
      </c>
      <c r="B34" s="74"/>
      <c r="C34" s="35"/>
      <c r="D34" s="35">
        <f>D29+D33</f>
        <v>156.62615857400002</v>
      </c>
      <c r="E34" s="73"/>
      <c r="F34" s="35"/>
      <c r="G34" s="35">
        <f>G29+G33</f>
        <v>159.73925857400002</v>
      </c>
      <c r="H34" s="35">
        <f t="shared" si="1"/>
        <v>3.1131000000000029</v>
      </c>
      <c r="I34" s="36">
        <f t="shared" si="8"/>
        <v>1.9875990245455579E-2</v>
      </c>
      <c r="J34" s="36">
        <f t="shared" si="9"/>
        <v>0.3187450645411451</v>
      </c>
      <c r="K34" s="111">
        <f t="shared" si="10"/>
        <v>0.32817450851213203</v>
      </c>
    </row>
    <row r="35" spans="1:11" s="1" customFormat="1" ht="13.5" customHeight="1" x14ac:dyDescent="0.2">
      <c r="A35" s="110" t="s">
        <v>92</v>
      </c>
      <c r="B35" s="74"/>
      <c r="C35" s="35"/>
      <c r="D35" s="35">
        <f>D30+D33</f>
        <v>155.058605134</v>
      </c>
      <c r="E35" s="73"/>
      <c r="F35" s="35"/>
      <c r="G35" s="35">
        <f>G30+G33</f>
        <v>158.17170513400001</v>
      </c>
      <c r="H35" s="35">
        <f t="shared" si="1"/>
        <v>3.1131000000000029</v>
      </c>
      <c r="I35" s="36">
        <f t="shared" si="8"/>
        <v>2.0076925091062795E-2</v>
      </c>
      <c r="J35" s="36">
        <f t="shared" si="9"/>
        <v>0.31561715517894512</v>
      </c>
      <c r="K35" s="111">
        <f t="shared" si="10"/>
        <v>0.32495406612163352</v>
      </c>
    </row>
    <row r="36" spans="1:11" x14ac:dyDescent="0.2">
      <c r="A36" s="107" t="s">
        <v>42</v>
      </c>
      <c r="B36" s="73">
        <f>B8</f>
        <v>2943.8530000000001</v>
      </c>
      <c r="C36" s="34">
        <v>3.5999999999999999E-3</v>
      </c>
      <c r="D36" s="22">
        <f>B36*C36</f>
        <v>10.597870800000001</v>
      </c>
      <c r="E36" s="73">
        <f t="shared" si="6"/>
        <v>2943.8530000000001</v>
      </c>
      <c r="F36" s="34">
        <v>3.5999999999999999E-3</v>
      </c>
      <c r="G36" s="22">
        <f>E36*F36</f>
        <v>10.597870800000001</v>
      </c>
      <c r="H36" s="22">
        <f t="shared" si="1"/>
        <v>0</v>
      </c>
      <c r="I36" s="23">
        <f t="shared" si="8"/>
        <v>0</v>
      </c>
      <c r="J36" s="23">
        <f t="shared" si="9"/>
        <v>2.1147080825968858E-2</v>
      </c>
      <c r="K36" s="108">
        <f t="shared" si="10"/>
        <v>2.1772675497012509E-2</v>
      </c>
    </row>
    <row r="37" spans="1:11" x14ac:dyDescent="0.2">
      <c r="A37" s="107" t="s">
        <v>43</v>
      </c>
      <c r="B37" s="73">
        <f>B8</f>
        <v>2943.8530000000001</v>
      </c>
      <c r="C37" s="34">
        <v>2.0999999999999999E-3</v>
      </c>
      <c r="D37" s="22">
        <f>B37*C37</f>
        <v>6.1820912999999997</v>
      </c>
      <c r="E37" s="73">
        <f t="shared" si="6"/>
        <v>2943.8530000000001</v>
      </c>
      <c r="F37" s="34">
        <v>2.0999999999999999E-3</v>
      </c>
      <c r="G37" s="22">
        <f>E37*F37</f>
        <v>6.1820912999999997</v>
      </c>
      <c r="H37" s="22">
        <f>G37-D37</f>
        <v>0</v>
      </c>
      <c r="I37" s="23">
        <f t="shared" si="8"/>
        <v>0</v>
      </c>
      <c r="J37" s="23">
        <f t="shared" si="9"/>
        <v>1.2335797148481832E-2</v>
      </c>
      <c r="K37" s="108">
        <f t="shared" si="10"/>
        <v>1.2700727373257295E-2</v>
      </c>
    </row>
    <row r="38" spans="1:11" x14ac:dyDescent="0.2">
      <c r="A38" s="107" t="s">
        <v>96</v>
      </c>
      <c r="B38" s="73">
        <f>B8</f>
        <v>2943.8530000000001</v>
      </c>
      <c r="C38" s="34">
        <v>0</v>
      </c>
      <c r="D38" s="22">
        <f>B38*C38</f>
        <v>0</v>
      </c>
      <c r="E38" s="73">
        <f t="shared" si="6"/>
        <v>2943.8530000000001</v>
      </c>
      <c r="F38" s="34">
        <v>0</v>
      </c>
      <c r="G38" s="22">
        <f>E38*F38</f>
        <v>0</v>
      </c>
      <c r="H38" s="22">
        <f>G38-D38</f>
        <v>0</v>
      </c>
      <c r="I38" s="23" t="str">
        <f t="shared" si="8"/>
        <v>N/A</v>
      </c>
      <c r="J38" s="23">
        <f t="shared" si="9"/>
        <v>0</v>
      </c>
      <c r="K38" s="108">
        <f t="shared" si="10"/>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4.9885210966076456E-4</v>
      </c>
      <c r="K39" s="108">
        <f t="shared" si="10"/>
        <v>5.1360966527853186E-4</v>
      </c>
    </row>
    <row r="40" spans="1:11" s="1" customFormat="1" x14ac:dyDescent="0.2">
      <c r="A40" s="110" t="s">
        <v>45</v>
      </c>
      <c r="B40" s="74"/>
      <c r="C40" s="35"/>
      <c r="D40" s="35">
        <f>SUM(D36:D39)</f>
        <v>17.029962099999999</v>
      </c>
      <c r="E40" s="73"/>
      <c r="F40" s="35"/>
      <c r="G40" s="35">
        <f>SUM(G36:G39)</f>
        <v>17.029962099999999</v>
      </c>
      <c r="H40" s="35">
        <f t="shared" si="1"/>
        <v>0</v>
      </c>
      <c r="I40" s="36">
        <f t="shared" si="8"/>
        <v>0</v>
      </c>
      <c r="J40" s="36">
        <f t="shared" si="9"/>
        <v>3.3981730084111449E-2</v>
      </c>
      <c r="K40" s="111">
        <f t="shared" si="10"/>
        <v>3.4987012535548333E-2</v>
      </c>
    </row>
    <row r="41" spans="1:11" s="1" customFormat="1" ht="13.5" thickBot="1" x14ac:dyDescent="0.25">
      <c r="A41" s="112" t="s">
        <v>46</v>
      </c>
      <c r="B41" s="113">
        <f>B4</f>
        <v>2759</v>
      </c>
      <c r="C41" s="114">
        <v>7.0000000000000001E-3</v>
      </c>
      <c r="D41" s="115">
        <f>B41*C41</f>
        <v>19.312999999999999</v>
      </c>
      <c r="E41" s="116">
        <f t="shared" si="6"/>
        <v>2759</v>
      </c>
      <c r="F41" s="114">
        <f>C41</f>
        <v>7.0000000000000001E-3</v>
      </c>
      <c r="G41" s="115">
        <f>E41*F41</f>
        <v>19.312999999999999</v>
      </c>
      <c r="H41" s="115">
        <f t="shared" si="1"/>
        <v>0</v>
      </c>
      <c r="I41" s="117">
        <f t="shared" si="8"/>
        <v>0</v>
      </c>
      <c r="J41" s="117">
        <f t="shared" si="9"/>
        <v>3.853732317551338E-2</v>
      </c>
      <c r="K41" s="118">
        <f t="shared" si="10"/>
        <v>3.9677373862097146E-2</v>
      </c>
    </row>
    <row r="42" spans="1:11" s="1" customFormat="1" x14ac:dyDescent="0.2">
      <c r="A42" s="37" t="s">
        <v>101</v>
      </c>
      <c r="B42" s="38"/>
      <c r="C42" s="39"/>
      <c r="D42" s="39">
        <f>SUM(D14,D25,D26,D27,D33,D40,D41)</f>
        <v>474.17312067400002</v>
      </c>
      <c r="E42" s="38"/>
      <c r="F42" s="39"/>
      <c r="G42" s="39">
        <f>SUM(G14,G25,G26,G27,G33,G40,G41)</f>
        <v>477.28622067399999</v>
      </c>
      <c r="H42" s="39">
        <f t="shared" si="1"/>
        <v>3.1130999999999744</v>
      </c>
      <c r="I42" s="40">
        <f t="shared" si="8"/>
        <v>6.5653236429238041E-3</v>
      </c>
      <c r="J42" s="40">
        <f t="shared" si="9"/>
        <v>0.95238095238095233</v>
      </c>
      <c r="K42" s="41"/>
    </row>
    <row r="43" spans="1:11" x14ac:dyDescent="0.2">
      <c r="A43" s="153" t="s">
        <v>102</v>
      </c>
      <c r="B43" s="43"/>
      <c r="C43" s="26">
        <v>0.13</v>
      </c>
      <c r="D43" s="26">
        <f>D42*C43</f>
        <v>61.642505687620002</v>
      </c>
      <c r="E43" s="26"/>
      <c r="F43" s="26">
        <f>C43</f>
        <v>0.13</v>
      </c>
      <c r="G43" s="26">
        <f>G42*F43</f>
        <v>62.04720868762</v>
      </c>
      <c r="H43" s="26">
        <f t="shared" si="1"/>
        <v>0.40470299999999781</v>
      </c>
      <c r="I43" s="44">
        <f t="shared" si="8"/>
        <v>6.5653236429238232E-3</v>
      </c>
      <c r="J43" s="44">
        <f t="shared" si="9"/>
        <v>0.12380952380952381</v>
      </c>
      <c r="K43" s="45"/>
    </row>
    <row r="44" spans="1:11" s="1" customFormat="1" x14ac:dyDescent="0.2">
      <c r="A44" s="46" t="s">
        <v>103</v>
      </c>
      <c r="B44" s="24"/>
      <c r="C44" s="25"/>
      <c r="D44" s="25">
        <f>SUM(D42:D43)</f>
        <v>535.81562636162005</v>
      </c>
      <c r="E44" s="25"/>
      <c r="F44" s="25"/>
      <c r="G44" s="25">
        <f>SUM(G42:G43)</f>
        <v>539.33342936162001</v>
      </c>
      <c r="H44" s="25">
        <f t="shared" si="1"/>
        <v>3.517802999999958</v>
      </c>
      <c r="I44" s="27">
        <f t="shared" si="8"/>
        <v>6.5653236429237798E-3</v>
      </c>
      <c r="J44" s="27">
        <f t="shared" si="9"/>
        <v>1.0761904761904761</v>
      </c>
      <c r="K44" s="47"/>
    </row>
    <row r="45" spans="1:11" x14ac:dyDescent="0.2">
      <c r="A45" s="42" t="s">
        <v>104</v>
      </c>
      <c r="B45" s="43"/>
      <c r="C45" s="26">
        <v>-0.08</v>
      </c>
      <c r="D45" s="26">
        <f>D42*C45</f>
        <v>-37.933849653919999</v>
      </c>
      <c r="E45" s="26"/>
      <c r="F45" s="26">
        <f>C45</f>
        <v>-0.08</v>
      </c>
      <c r="G45" s="26">
        <f>G42*F45</f>
        <v>-38.182897653920001</v>
      </c>
      <c r="H45" s="26">
        <f t="shared" si="1"/>
        <v>-0.24904800000000193</v>
      </c>
      <c r="I45" s="44">
        <f t="shared" si="8"/>
        <v>-6.5653236429239099E-3</v>
      </c>
      <c r="J45" s="44">
        <f t="shared" si="9"/>
        <v>-7.6190476190476197E-2</v>
      </c>
      <c r="K45" s="45"/>
    </row>
    <row r="46" spans="1:11" s="1" customFormat="1" ht="13.5" thickBot="1" x14ac:dyDescent="0.25">
      <c r="A46" s="48" t="s">
        <v>105</v>
      </c>
      <c r="B46" s="49"/>
      <c r="C46" s="50"/>
      <c r="D46" s="50">
        <f>SUM(D44:D45)</f>
        <v>497.88177670770006</v>
      </c>
      <c r="E46" s="50"/>
      <c r="F46" s="50"/>
      <c r="G46" s="50">
        <f>SUM(G44:G45)</f>
        <v>501.1505317077</v>
      </c>
      <c r="H46" s="50">
        <f t="shared" si="1"/>
        <v>3.2687549999999419</v>
      </c>
      <c r="I46" s="51">
        <f t="shared" si="8"/>
        <v>6.5653236429237408E-3</v>
      </c>
      <c r="J46" s="51">
        <f t="shared" si="9"/>
        <v>1</v>
      </c>
      <c r="K46" s="52"/>
    </row>
    <row r="47" spans="1:11" x14ac:dyDescent="0.2">
      <c r="A47" s="53" t="s">
        <v>106</v>
      </c>
      <c r="B47" s="54"/>
      <c r="C47" s="55"/>
      <c r="D47" s="55">
        <f>SUM(D18,D25,D26,D28,D33,D40,D41)</f>
        <v>460.45924723399997</v>
      </c>
      <c r="E47" s="55"/>
      <c r="F47" s="55"/>
      <c r="G47" s="55">
        <f>SUM(G18,G25,G26,G28,G33,G40,G41)</f>
        <v>463.57234723400001</v>
      </c>
      <c r="H47" s="55">
        <f>G47-D47</f>
        <v>3.1131000000000313</v>
      </c>
      <c r="I47" s="56">
        <f t="shared" si="8"/>
        <v>6.7608589005445485E-3</v>
      </c>
      <c r="J47" s="56"/>
      <c r="K47" s="57">
        <f>G47/$G$51</f>
        <v>0.95238095238095244</v>
      </c>
    </row>
    <row r="48" spans="1:11" x14ac:dyDescent="0.2">
      <c r="A48" s="58" t="s">
        <v>102</v>
      </c>
      <c r="B48" s="59"/>
      <c r="C48" s="31">
        <v>0.13</v>
      </c>
      <c r="D48" s="31">
        <f>D47*C48</f>
        <v>59.859702140419998</v>
      </c>
      <c r="E48" s="31"/>
      <c r="F48" s="31">
        <f>C48</f>
        <v>0.13</v>
      </c>
      <c r="G48" s="31">
        <f>G47*F48</f>
        <v>60.264405140420003</v>
      </c>
      <c r="H48" s="31">
        <f>G48-D48</f>
        <v>0.40470300000000492</v>
      </c>
      <c r="I48" s="32">
        <f t="shared" si="8"/>
        <v>6.7608589005445623E-3</v>
      </c>
      <c r="J48" s="32"/>
      <c r="K48" s="60">
        <f>G48/$G$51</f>
        <v>0.12380952380952381</v>
      </c>
    </row>
    <row r="49" spans="1:11" x14ac:dyDescent="0.2">
      <c r="A49" s="149" t="s">
        <v>107</v>
      </c>
      <c r="B49" s="29"/>
      <c r="C49" s="30"/>
      <c r="D49" s="30">
        <f>SUM(D47:D48)</f>
        <v>520.31894937441996</v>
      </c>
      <c r="E49" s="30"/>
      <c r="F49" s="30"/>
      <c r="G49" s="30">
        <f>SUM(G47:G48)</f>
        <v>523.83675237442003</v>
      </c>
      <c r="H49" s="30">
        <f>G49-D49</f>
        <v>3.5178030000000717</v>
      </c>
      <c r="I49" s="33">
        <f t="shared" si="8"/>
        <v>6.7608589005446178E-3</v>
      </c>
      <c r="J49" s="33"/>
      <c r="K49" s="62">
        <f>G49/$G$51</f>
        <v>1.0761904761904764</v>
      </c>
    </row>
    <row r="50" spans="1:11" x14ac:dyDescent="0.2">
      <c r="A50" s="58" t="s">
        <v>104</v>
      </c>
      <c r="B50" s="59"/>
      <c r="C50" s="31">
        <v>-0.08</v>
      </c>
      <c r="D50" s="31">
        <f>D47*C50</f>
        <v>-36.836739778720002</v>
      </c>
      <c r="E50" s="31"/>
      <c r="F50" s="31">
        <f>C50</f>
        <v>-0.08</v>
      </c>
      <c r="G50" s="31">
        <f>G47*F50</f>
        <v>-37.085787778720004</v>
      </c>
      <c r="H50" s="31">
        <f>G50-D50</f>
        <v>-0.24904800000000193</v>
      </c>
      <c r="I50" s="32">
        <f t="shared" si="8"/>
        <v>-6.760858900544532E-3</v>
      </c>
      <c r="J50" s="32"/>
      <c r="K50" s="60">
        <f>G50/$G$51</f>
        <v>-7.6190476190476197E-2</v>
      </c>
    </row>
    <row r="51" spans="1:11" ht="13.5" thickBot="1" x14ac:dyDescent="0.25">
      <c r="A51" s="63" t="s">
        <v>116</v>
      </c>
      <c r="B51" s="64"/>
      <c r="C51" s="65"/>
      <c r="D51" s="65">
        <f>SUM(D49:D50)</f>
        <v>483.48220959569994</v>
      </c>
      <c r="E51" s="65"/>
      <c r="F51" s="65"/>
      <c r="G51" s="65">
        <f>SUM(G49:G50)</f>
        <v>486.7509645957</v>
      </c>
      <c r="H51" s="65">
        <f>G51-D51</f>
        <v>3.2687550000000556</v>
      </c>
      <c r="I51" s="66">
        <f t="shared" si="8"/>
        <v>6.7608589005445953E-3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6"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theme="1" tint="0.499984740745262"/>
    <pageSetUpPr fitToPage="1"/>
  </sheetPr>
  <dimension ref="A1:K68"/>
  <sheetViews>
    <sheetView tabSelected="1" view="pageLayout" topLeftCell="A13"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120</v>
      </c>
      <c r="B1" s="189"/>
      <c r="C1" s="189"/>
      <c r="D1" s="189"/>
      <c r="E1" s="189"/>
      <c r="F1" s="189"/>
      <c r="G1" s="189"/>
      <c r="H1" s="189"/>
      <c r="I1" s="189"/>
      <c r="J1" s="189"/>
      <c r="K1" s="190"/>
    </row>
    <row r="3" spans="1:11" x14ac:dyDescent="0.2">
      <c r="A3" s="13" t="s">
        <v>13</v>
      </c>
      <c r="B3" s="13" t="s">
        <v>6</v>
      </c>
    </row>
    <row r="4" spans="1:11" x14ac:dyDescent="0.2">
      <c r="A4" s="15" t="s">
        <v>62</v>
      </c>
      <c r="B4" s="15">
        <v>15000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16005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2.5704010200078863E-2</v>
      </c>
      <c r="K12" s="106"/>
    </row>
    <row r="13" spans="1:11" x14ac:dyDescent="0.2">
      <c r="A13" s="107" t="s">
        <v>32</v>
      </c>
      <c r="B13" s="73">
        <f>IF(B4&gt;B7,(B4)-B7,0)</f>
        <v>14250</v>
      </c>
      <c r="C13" s="21">
        <v>0.106</v>
      </c>
      <c r="D13" s="22">
        <f>B13*C13</f>
        <v>1510.5</v>
      </c>
      <c r="E13" s="73">
        <f>B13</f>
        <v>14250</v>
      </c>
      <c r="F13" s="21">
        <f>C13</f>
        <v>0.106</v>
      </c>
      <c r="G13" s="22">
        <f>E13*F13</f>
        <v>1510.5</v>
      </c>
      <c r="H13" s="22">
        <f t="shared" ref="H13:H46" si="1">G13-D13</f>
        <v>0</v>
      </c>
      <c r="I13" s="23">
        <f t="shared" si="0"/>
        <v>0</v>
      </c>
      <c r="J13" s="23">
        <f>G13/$G$46</f>
        <v>0.5688777642083388</v>
      </c>
      <c r="K13" s="108"/>
    </row>
    <row r="14" spans="1:11" s="1" customFormat="1" x14ac:dyDescent="0.2">
      <c r="A14" s="46" t="s">
        <v>33</v>
      </c>
      <c r="B14" s="24"/>
      <c r="C14" s="25"/>
      <c r="D14" s="25">
        <f>SUM(D12:D13)</f>
        <v>1578.75</v>
      </c>
      <c r="E14" s="76"/>
      <c r="F14" s="25"/>
      <c r="G14" s="25">
        <f>SUM(G12:G13)</f>
        <v>1578.75</v>
      </c>
      <c r="H14" s="25">
        <f t="shared" si="1"/>
        <v>0</v>
      </c>
      <c r="I14" s="27">
        <f t="shared" si="0"/>
        <v>0</v>
      </c>
      <c r="J14" s="27">
        <f>G14/$G$46</f>
        <v>0.59458177440841764</v>
      </c>
      <c r="K14" s="108"/>
    </row>
    <row r="15" spans="1:11" s="1" customFormat="1" x14ac:dyDescent="0.2">
      <c r="A15" s="109" t="s">
        <v>34</v>
      </c>
      <c r="B15" s="75">
        <f>B4*0.65</f>
        <v>9750</v>
      </c>
      <c r="C15" s="28">
        <v>7.6999999999999999E-2</v>
      </c>
      <c r="D15" s="22">
        <f>B15*C15</f>
        <v>750.75</v>
      </c>
      <c r="E15" s="73">
        <f t="shared" ref="E15:F17" si="2">B15</f>
        <v>9750</v>
      </c>
      <c r="F15" s="28">
        <f t="shared" si="2"/>
        <v>7.6999999999999999E-2</v>
      </c>
      <c r="G15" s="22">
        <f>E15*F15</f>
        <v>750.75</v>
      </c>
      <c r="H15" s="22">
        <f t="shared" si="1"/>
        <v>0</v>
      </c>
      <c r="I15" s="23">
        <f t="shared" si="0"/>
        <v>0</v>
      </c>
      <c r="J15" s="23"/>
      <c r="K15" s="108">
        <f t="shared" ref="K15:K26" si="3">G15/$G$51</f>
        <v>0.29738188853378988</v>
      </c>
    </row>
    <row r="16" spans="1:11" s="1" customFormat="1" x14ac:dyDescent="0.2">
      <c r="A16" s="109" t="s">
        <v>35</v>
      </c>
      <c r="B16" s="75">
        <f>B4*0.17</f>
        <v>2550</v>
      </c>
      <c r="C16" s="28">
        <v>0.113</v>
      </c>
      <c r="D16" s="22">
        <f>B16*C16</f>
        <v>288.15000000000003</v>
      </c>
      <c r="E16" s="73">
        <f t="shared" si="2"/>
        <v>2550</v>
      </c>
      <c r="F16" s="28">
        <f t="shared" si="2"/>
        <v>0.113</v>
      </c>
      <c r="G16" s="22">
        <f>E16*F16</f>
        <v>288.15000000000003</v>
      </c>
      <c r="H16" s="22">
        <f t="shared" si="1"/>
        <v>0</v>
      </c>
      <c r="I16" s="23">
        <f t="shared" si="0"/>
        <v>0</v>
      </c>
      <c r="J16" s="23"/>
      <c r="K16" s="108">
        <f t="shared" si="3"/>
        <v>0.114139981593089</v>
      </c>
    </row>
    <row r="17" spans="1:11" s="1" customFormat="1" x14ac:dyDescent="0.2">
      <c r="A17" s="109" t="s">
        <v>36</v>
      </c>
      <c r="B17" s="75">
        <f>B4*0.18</f>
        <v>2700</v>
      </c>
      <c r="C17" s="28">
        <v>0.157</v>
      </c>
      <c r="D17" s="22">
        <f>B17*C17</f>
        <v>423.9</v>
      </c>
      <c r="E17" s="73">
        <f t="shared" si="2"/>
        <v>2700</v>
      </c>
      <c r="F17" s="28">
        <f t="shared" si="2"/>
        <v>0.157</v>
      </c>
      <c r="G17" s="22">
        <f>E17*F17</f>
        <v>423.9</v>
      </c>
      <c r="H17" s="22">
        <f t="shared" si="1"/>
        <v>0</v>
      </c>
      <c r="I17" s="23">
        <f t="shared" si="0"/>
        <v>0</v>
      </c>
      <c r="J17" s="23"/>
      <c r="K17" s="108">
        <f t="shared" si="3"/>
        <v>0.16791233106822981</v>
      </c>
    </row>
    <row r="18" spans="1:11" s="1" customFormat="1" x14ac:dyDescent="0.2">
      <c r="A18" s="61" t="s">
        <v>37</v>
      </c>
      <c r="B18" s="29"/>
      <c r="C18" s="30"/>
      <c r="D18" s="30">
        <f>SUM(D15:D17)</f>
        <v>1462.8000000000002</v>
      </c>
      <c r="E18" s="77"/>
      <c r="F18" s="30"/>
      <c r="G18" s="30">
        <f>SUM(G15:G17)</f>
        <v>1462.8000000000002</v>
      </c>
      <c r="H18" s="31">
        <f t="shared" si="1"/>
        <v>0</v>
      </c>
      <c r="I18" s="32">
        <f t="shared" si="0"/>
        <v>0</v>
      </c>
      <c r="J18" s="33">
        <f t="shared" ref="J18:J23" si="4">G18/$G$46</f>
        <v>0.5509132032333387</v>
      </c>
      <c r="K18" s="62">
        <f t="shared" si="3"/>
        <v>0.5794342011951088</v>
      </c>
    </row>
    <row r="19" spans="1:11" x14ac:dyDescent="0.2">
      <c r="A19" s="107" t="s">
        <v>38</v>
      </c>
      <c r="B19" s="73">
        <v>1</v>
      </c>
      <c r="C19" s="78">
        <f>VLOOKUP($B$3,'Data for Bill Impacts'!$A$3:$Y$15,7,0)</f>
        <v>24.47</v>
      </c>
      <c r="D19" s="22">
        <f t="shared" ref="D19:D24" si="5">B19*C19</f>
        <v>24.47</v>
      </c>
      <c r="E19" s="73">
        <f t="shared" ref="E19:E41" si="6">B19</f>
        <v>1</v>
      </c>
      <c r="F19" s="78">
        <f>VLOOKUP($B$3,'Data for Bill Impacts'!$A$3:$Y$15,17,0)</f>
        <v>25.1</v>
      </c>
      <c r="G19" s="22">
        <f t="shared" ref="G19:G24" si="7">E19*F19</f>
        <v>25.1</v>
      </c>
      <c r="H19" s="22">
        <f t="shared" si="1"/>
        <v>0.63000000000000256</v>
      </c>
      <c r="I19" s="23">
        <f>IF(ISERROR(H19/ABS(D19)),"N/A",(H19/ABS(D19)))</f>
        <v>2.5745811197384658E-2</v>
      </c>
      <c r="J19" s="23">
        <f t="shared" si="4"/>
        <v>9.4530499050839486E-3</v>
      </c>
      <c r="K19" s="108">
        <f t="shared" si="3"/>
        <v>9.9424380981660027E-3</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110</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8.0000000000000002E-3</v>
      </c>
      <c r="D22" s="22">
        <f t="shared" si="5"/>
        <v>8.0000000000000002E-3</v>
      </c>
      <c r="E22" s="73">
        <f t="shared" si="6"/>
        <v>1</v>
      </c>
      <c r="F22" s="121">
        <f>VLOOKUP($B$3,'Data for Bill Impacts'!$A$3:$Y$15,22,0)</f>
        <v>8.0000000000000002E-3</v>
      </c>
      <c r="G22" s="22">
        <f t="shared" si="7"/>
        <v>8.0000000000000002E-3</v>
      </c>
      <c r="H22" s="22">
        <f t="shared" si="1"/>
        <v>0</v>
      </c>
      <c r="I22" s="23">
        <f t="shared" ref="I22:I51" si="8">IF(ISERROR(H22/ABS(D22)),"N/A",(H22/ABS(D22)))</f>
        <v>0</v>
      </c>
      <c r="J22" s="23">
        <f t="shared" si="4"/>
        <v>3.0129242725367169E-6</v>
      </c>
      <c r="K22" s="108">
        <f t="shared" si="3"/>
        <v>3.1689045731206381E-6</v>
      </c>
    </row>
    <row r="23" spans="1:11" x14ac:dyDescent="0.2">
      <c r="A23" s="107" t="s">
        <v>39</v>
      </c>
      <c r="B23" s="73">
        <f>IF($B$9="kWh",$B$4,$B$5)</f>
        <v>15000</v>
      </c>
      <c r="C23" s="78">
        <f>VLOOKUP($B$3,'Data for Bill Impacts'!$A$3:$Y$15,10,0)</f>
        <v>2.9000000000000001E-2</v>
      </c>
      <c r="D23" s="22">
        <f t="shared" si="5"/>
        <v>435</v>
      </c>
      <c r="E23" s="73">
        <f t="shared" si="6"/>
        <v>15000</v>
      </c>
      <c r="F23" s="78">
        <f>VLOOKUP($B$3,'Data for Bill Impacts'!$A$3:$Y$15,19,0)</f>
        <v>2.9899999999999999E-2</v>
      </c>
      <c r="G23" s="22">
        <f t="shared" si="7"/>
        <v>448.5</v>
      </c>
      <c r="H23" s="22">
        <f t="shared" si="1"/>
        <v>13.5</v>
      </c>
      <c r="I23" s="23">
        <f t="shared" si="8"/>
        <v>3.1034482758620689E-2</v>
      </c>
      <c r="J23" s="23">
        <f t="shared" si="4"/>
        <v>0.16891206702908967</v>
      </c>
      <c r="K23" s="108">
        <f t="shared" si="3"/>
        <v>0.17765671263057578</v>
      </c>
    </row>
    <row r="24" spans="1:11" x14ac:dyDescent="0.2">
      <c r="A24" s="107" t="s">
        <v>121</v>
      </c>
      <c r="B24" s="73">
        <f>IF($B$9="kWh",$B$4,$B$5)</f>
        <v>15000</v>
      </c>
      <c r="C24" s="125">
        <f>VLOOKUP($B$3,'Data for Bill Impacts'!$A$3:$Y$15,14,0)</f>
        <v>3.0000000000000004E-5</v>
      </c>
      <c r="D24" s="22">
        <f t="shared" si="5"/>
        <v>0.45000000000000007</v>
      </c>
      <c r="E24" s="73">
        <f t="shared" si="6"/>
        <v>15000</v>
      </c>
      <c r="F24" s="125">
        <f>VLOOKUP($B$3,'Data for Bill Impacts'!$A$3:$Y$15,23,0)</f>
        <v>3.0000000000000004E-5</v>
      </c>
      <c r="G24" s="22">
        <f t="shared" si="7"/>
        <v>0.45000000000000007</v>
      </c>
      <c r="H24" s="22">
        <f t="shared" si="1"/>
        <v>0</v>
      </c>
      <c r="I24" s="23">
        <f t="shared" si="8"/>
        <v>0</v>
      </c>
      <c r="J24" s="23">
        <f>G24/$G$46</f>
        <v>1.6947699033019033E-4</v>
      </c>
      <c r="K24" s="108">
        <f t="shared" si="3"/>
        <v>1.7825088223803593E-4</v>
      </c>
    </row>
    <row r="25" spans="1:11" s="1" customFormat="1" x14ac:dyDescent="0.2">
      <c r="A25" s="110" t="s">
        <v>72</v>
      </c>
      <c r="B25" s="74"/>
      <c r="C25" s="35"/>
      <c r="D25" s="35">
        <f>SUM(D19:D24)</f>
        <v>459.928</v>
      </c>
      <c r="E25" s="73"/>
      <c r="F25" s="35"/>
      <c r="G25" s="35">
        <f>SUM(G19:G24)</f>
        <v>474.05799999999999</v>
      </c>
      <c r="H25" s="35">
        <f t="shared" si="1"/>
        <v>14.129999999999995</v>
      </c>
      <c r="I25" s="36">
        <f t="shared" si="8"/>
        <v>3.0722199996521184E-2</v>
      </c>
      <c r="J25" s="36">
        <f>G25/$G$46</f>
        <v>0.17853760684877634</v>
      </c>
      <c r="K25" s="111">
        <f t="shared" si="3"/>
        <v>0.18778057051555294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G26/$G$46</f>
        <v>2.9752627191300079E-4</v>
      </c>
      <c r="K26" s="108">
        <f t="shared" si="3"/>
        <v>3.1292932659566304E-4</v>
      </c>
    </row>
    <row r="27" spans="1:11" s="1" customFormat="1" x14ac:dyDescent="0.2">
      <c r="A27" s="119" t="s">
        <v>75</v>
      </c>
      <c r="B27" s="120">
        <f>B8-B4</f>
        <v>1005</v>
      </c>
      <c r="C27" s="172">
        <f>IF(B4&gt;B7,C13,C12)</f>
        <v>0.106</v>
      </c>
      <c r="D27" s="22">
        <f>B27*C27</f>
        <v>106.53</v>
      </c>
      <c r="E27" s="73">
        <f>B27</f>
        <v>1005</v>
      </c>
      <c r="F27" s="172">
        <f>C27</f>
        <v>0.106</v>
      </c>
      <c r="G27" s="22">
        <f>E27*F27</f>
        <v>106.53</v>
      </c>
      <c r="H27" s="22">
        <f t="shared" si="1"/>
        <v>0</v>
      </c>
      <c r="I27" s="23">
        <f t="shared" si="8"/>
        <v>0</v>
      </c>
      <c r="J27" s="23">
        <f t="shared" ref="J27:J46" si="9">G27/$G$46</f>
        <v>4.0120852844167054E-2</v>
      </c>
      <c r="K27" s="108">
        <f t="shared" ref="K27:K41" si="10">G27/$G$51</f>
        <v>4.2197925521817697E-2</v>
      </c>
    </row>
    <row r="28" spans="1:11" s="1" customFormat="1" x14ac:dyDescent="0.2">
      <c r="A28" s="119" t="s">
        <v>74</v>
      </c>
      <c r="B28" s="120">
        <f>B8-B4</f>
        <v>1005</v>
      </c>
      <c r="C28" s="172">
        <f>0.65*C15+0.17*C16+0.18*C17</f>
        <v>9.7519999999999996E-2</v>
      </c>
      <c r="D28" s="22">
        <f>B28*C28</f>
        <v>98.007599999999996</v>
      </c>
      <c r="E28" s="73">
        <f>B28</f>
        <v>1005</v>
      </c>
      <c r="F28" s="172">
        <f>C28</f>
        <v>9.7519999999999996E-2</v>
      </c>
      <c r="G28" s="22">
        <f>E28*F28</f>
        <v>98.007599999999996</v>
      </c>
      <c r="H28" s="22">
        <f t="shared" si="1"/>
        <v>0</v>
      </c>
      <c r="I28" s="23">
        <f t="shared" si="8"/>
        <v>0</v>
      </c>
      <c r="J28" s="23">
        <f t="shared" si="9"/>
        <v>3.6911184616633688E-2</v>
      </c>
      <c r="K28" s="108">
        <f t="shared" si="10"/>
        <v>3.8822091480072277E-2</v>
      </c>
    </row>
    <row r="29" spans="1:11" s="1" customFormat="1" x14ac:dyDescent="0.2">
      <c r="A29" s="110" t="s">
        <v>78</v>
      </c>
      <c r="B29" s="74"/>
      <c r="C29" s="35"/>
      <c r="D29" s="35">
        <f>SUM(D25,D26:D27)</f>
        <v>567.24800000000005</v>
      </c>
      <c r="E29" s="73"/>
      <c r="F29" s="35"/>
      <c r="G29" s="35">
        <f>SUM(G25,G26:G27)</f>
        <v>581.37800000000004</v>
      </c>
      <c r="H29" s="35">
        <f t="shared" si="1"/>
        <v>14.129999999999995</v>
      </c>
      <c r="I29" s="36">
        <f t="shared" si="8"/>
        <v>2.49097396553183E-2</v>
      </c>
      <c r="J29" s="36">
        <f t="shared" si="9"/>
        <v>0.21895598596485641</v>
      </c>
      <c r="K29" s="111">
        <f t="shared" si="10"/>
        <v>0.2302914253639663</v>
      </c>
    </row>
    <row r="30" spans="1:11" s="1" customFormat="1" x14ac:dyDescent="0.2">
      <c r="A30" s="110" t="s">
        <v>77</v>
      </c>
      <c r="B30" s="74"/>
      <c r="C30" s="35"/>
      <c r="D30" s="35">
        <f>SUM(D25,D26,D28)</f>
        <v>558.72559999999999</v>
      </c>
      <c r="E30" s="73"/>
      <c r="F30" s="35"/>
      <c r="G30" s="35">
        <f>SUM(G25,G26,G28)</f>
        <v>572.85559999999998</v>
      </c>
      <c r="H30" s="35">
        <f t="shared" si="1"/>
        <v>14.129999999999995</v>
      </c>
      <c r="I30" s="36">
        <f t="shared" si="8"/>
        <v>2.5289694977284012E-2</v>
      </c>
      <c r="J30" s="36">
        <f t="shared" si="9"/>
        <v>0.21574631773732303</v>
      </c>
      <c r="K30" s="111">
        <f t="shared" si="10"/>
        <v>0.22691559132222086</v>
      </c>
    </row>
    <row r="31" spans="1:11" x14ac:dyDescent="0.2">
      <c r="A31" s="107" t="s">
        <v>40</v>
      </c>
      <c r="B31" s="73">
        <f>B8</f>
        <v>16005</v>
      </c>
      <c r="C31" s="125">
        <f>VLOOKUP($B$3,'Data for Bill Impacts'!$A$3:$Y$15,15,0)</f>
        <v>6.1060000000000003E-3</v>
      </c>
      <c r="D31" s="22">
        <f>B31*C31</f>
        <v>97.726530000000011</v>
      </c>
      <c r="E31" s="73">
        <f t="shared" si="6"/>
        <v>16005</v>
      </c>
      <c r="F31" s="125">
        <f>VLOOKUP($B$3,'Data for Bill Impacts'!$A$3:$Y$15,24,0)</f>
        <v>6.1060000000000003E-3</v>
      </c>
      <c r="G31" s="22">
        <f>E31*F31</f>
        <v>97.726530000000011</v>
      </c>
      <c r="H31" s="22">
        <f t="shared" si="1"/>
        <v>0</v>
      </c>
      <c r="I31" s="23">
        <f t="shared" si="8"/>
        <v>0</v>
      </c>
      <c r="J31" s="23">
        <f t="shared" si="9"/>
        <v>3.6805329288473458E-2</v>
      </c>
      <c r="K31" s="108">
        <f t="shared" si="10"/>
        <v>3.8710755979026408E-2</v>
      </c>
    </row>
    <row r="32" spans="1:11" x14ac:dyDescent="0.2">
      <c r="A32" s="107" t="s">
        <v>41</v>
      </c>
      <c r="B32" s="73">
        <f>B8</f>
        <v>16005</v>
      </c>
      <c r="C32" s="125">
        <f>VLOOKUP($B$3,'Data for Bill Impacts'!$A$3:$Y$15,16,0)</f>
        <v>4.6519999999999999E-3</v>
      </c>
      <c r="D32" s="22">
        <f>B32*C32</f>
        <v>74.455259999999996</v>
      </c>
      <c r="E32" s="73">
        <f t="shared" si="6"/>
        <v>16005</v>
      </c>
      <c r="F32" s="125">
        <f>VLOOKUP($B$3,'Data for Bill Impacts'!$A$3:$Y$15,25,0)</f>
        <v>4.6519999999999999E-3</v>
      </c>
      <c r="G32" s="22">
        <f>E32*F32</f>
        <v>74.455259999999996</v>
      </c>
      <c r="H32" s="22">
        <f t="shared" si="1"/>
        <v>0</v>
      </c>
      <c r="I32" s="23">
        <f t="shared" si="8"/>
        <v>0</v>
      </c>
      <c r="J32" s="23">
        <f t="shared" si="9"/>
        <v>2.8041007509004009E-2</v>
      </c>
      <c r="K32" s="108">
        <f t="shared" si="10"/>
        <v>2.9492701738360765E-2</v>
      </c>
    </row>
    <row r="33" spans="1:11" s="1" customFormat="1" x14ac:dyDescent="0.2">
      <c r="A33" s="110" t="s">
        <v>76</v>
      </c>
      <c r="B33" s="74"/>
      <c r="C33" s="35"/>
      <c r="D33" s="35">
        <f>SUM(D31:D32)</f>
        <v>172.18179000000001</v>
      </c>
      <c r="E33" s="73"/>
      <c r="F33" s="35"/>
      <c r="G33" s="35">
        <f>SUM(G31:G32)</f>
        <v>172.18179000000001</v>
      </c>
      <c r="H33" s="35">
        <f t="shared" si="1"/>
        <v>0</v>
      </c>
      <c r="I33" s="36">
        <f t="shared" si="8"/>
        <v>0</v>
      </c>
      <c r="J33" s="36">
        <f t="shared" si="9"/>
        <v>6.4846336797477463E-2</v>
      </c>
      <c r="K33" s="111">
        <f t="shared" si="10"/>
        <v>6.8203457717387173E-2</v>
      </c>
    </row>
    <row r="34" spans="1:11" s="1" customFormat="1" ht="13.5" customHeight="1" x14ac:dyDescent="0.2">
      <c r="A34" s="110" t="s">
        <v>91</v>
      </c>
      <c r="B34" s="74"/>
      <c r="C34" s="35"/>
      <c r="D34" s="35">
        <f>D29+D33</f>
        <v>739.42979000000003</v>
      </c>
      <c r="E34" s="73"/>
      <c r="F34" s="35"/>
      <c r="G34" s="35">
        <f>G29+G33</f>
        <v>753.55979000000002</v>
      </c>
      <c r="H34" s="35">
        <f t="shared" si="1"/>
        <v>14.129999999999995</v>
      </c>
      <c r="I34" s="36">
        <f t="shared" si="8"/>
        <v>1.9109319358096181E-2</v>
      </c>
      <c r="J34" s="36">
        <f t="shared" si="9"/>
        <v>0.28380232276233386</v>
      </c>
      <c r="K34" s="111">
        <f t="shared" si="10"/>
        <v>0.29849488308135347</v>
      </c>
    </row>
    <row r="35" spans="1:11" s="1" customFormat="1" ht="13.5" customHeight="1" x14ac:dyDescent="0.2">
      <c r="A35" s="110" t="s">
        <v>92</v>
      </c>
      <c r="B35" s="74"/>
      <c r="C35" s="35"/>
      <c r="D35" s="35">
        <f>D30+D33</f>
        <v>730.90738999999996</v>
      </c>
      <c r="E35" s="73"/>
      <c r="F35" s="35"/>
      <c r="G35" s="35">
        <f>G30+G33</f>
        <v>745.03738999999996</v>
      </c>
      <c r="H35" s="35">
        <f t="shared" si="1"/>
        <v>14.129999999999995</v>
      </c>
      <c r="I35" s="36">
        <f t="shared" si="8"/>
        <v>1.9332134540328012E-2</v>
      </c>
      <c r="J35" s="36">
        <f t="shared" si="9"/>
        <v>0.28059265453480048</v>
      </c>
      <c r="K35" s="111">
        <f t="shared" si="10"/>
        <v>0.29511904903960801</v>
      </c>
    </row>
    <row r="36" spans="1:11" x14ac:dyDescent="0.2">
      <c r="A36" s="107" t="s">
        <v>42</v>
      </c>
      <c r="B36" s="73">
        <f>B8</f>
        <v>16005</v>
      </c>
      <c r="C36" s="34">
        <v>3.5999999999999999E-3</v>
      </c>
      <c r="D36" s="22">
        <f>B36*C36</f>
        <v>57.617999999999995</v>
      </c>
      <c r="E36" s="73">
        <f t="shared" si="6"/>
        <v>16005</v>
      </c>
      <c r="F36" s="34">
        <v>3.5999999999999999E-3</v>
      </c>
      <c r="G36" s="22">
        <f>E36*F36</f>
        <v>57.617999999999995</v>
      </c>
      <c r="H36" s="22">
        <f t="shared" si="1"/>
        <v>0</v>
      </c>
      <c r="I36" s="23">
        <f t="shared" si="8"/>
        <v>0</v>
      </c>
      <c r="J36" s="23">
        <f t="shared" si="9"/>
        <v>2.1699833841877566E-2</v>
      </c>
      <c r="K36" s="108">
        <f t="shared" si="10"/>
        <v>2.2823242961758115E-2</v>
      </c>
    </row>
    <row r="37" spans="1:11" x14ac:dyDescent="0.2">
      <c r="A37" s="107" t="s">
        <v>43</v>
      </c>
      <c r="B37" s="73">
        <f>B8</f>
        <v>16005</v>
      </c>
      <c r="C37" s="34">
        <v>2.0999999999999999E-3</v>
      </c>
      <c r="D37" s="22">
        <f>B37*C37</f>
        <v>33.610499999999995</v>
      </c>
      <c r="E37" s="73">
        <f t="shared" si="6"/>
        <v>16005</v>
      </c>
      <c r="F37" s="34">
        <v>2.0999999999999999E-3</v>
      </c>
      <c r="G37" s="22">
        <f>E37*F37</f>
        <v>33.610499999999995</v>
      </c>
      <c r="H37" s="22">
        <f>G37-D37</f>
        <v>0</v>
      </c>
      <c r="I37" s="23">
        <f t="shared" si="8"/>
        <v>0</v>
      </c>
      <c r="J37" s="23">
        <f t="shared" si="9"/>
        <v>1.2658236407761913E-2</v>
      </c>
      <c r="K37" s="108">
        <f t="shared" si="10"/>
        <v>1.3313558394358899E-2</v>
      </c>
    </row>
    <row r="38" spans="1:11" x14ac:dyDescent="0.2">
      <c r="A38" s="107" t="s">
        <v>96</v>
      </c>
      <c r="B38" s="73">
        <f>B8</f>
        <v>16005</v>
      </c>
      <c r="C38" s="34">
        <v>0</v>
      </c>
      <c r="D38" s="22">
        <f>B38*C38</f>
        <v>0</v>
      </c>
      <c r="E38" s="73">
        <f t="shared" si="6"/>
        <v>16005</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9.4153883516772389E-5</v>
      </c>
      <c r="K39" s="108">
        <f t="shared" si="10"/>
        <v>9.9028267910019935E-5</v>
      </c>
    </row>
    <row r="40" spans="1:11" s="1" customFormat="1" x14ac:dyDescent="0.2">
      <c r="A40" s="110" t="s">
        <v>45</v>
      </c>
      <c r="B40" s="74"/>
      <c r="C40" s="35"/>
      <c r="D40" s="35">
        <f>SUM(D36:D39)</f>
        <v>91.478499999999997</v>
      </c>
      <c r="E40" s="73"/>
      <c r="F40" s="35"/>
      <c r="G40" s="35">
        <f>SUM(G36:G39)</f>
        <v>91.478499999999997</v>
      </c>
      <c r="H40" s="35">
        <f t="shared" si="1"/>
        <v>0</v>
      </c>
      <c r="I40" s="36">
        <f t="shared" si="8"/>
        <v>0</v>
      </c>
      <c r="J40" s="36">
        <f t="shared" si="9"/>
        <v>3.4452224133156253E-2</v>
      </c>
      <c r="K40" s="111">
        <f t="shared" si="10"/>
        <v>3.6235829624027036E-2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1"/>
        <v>0</v>
      </c>
      <c r="I41" s="117">
        <f t="shared" si="8"/>
        <v>0</v>
      </c>
      <c r="J41" s="117">
        <f t="shared" si="9"/>
        <v>3.9544631077044402E-2</v>
      </c>
      <c r="K41" s="118">
        <f t="shared" si="10"/>
        <v>4.1591872522208376E-2</v>
      </c>
    </row>
    <row r="42" spans="1:11" s="1" customFormat="1" x14ac:dyDescent="0.2">
      <c r="A42" s="37" t="s">
        <v>101</v>
      </c>
      <c r="B42" s="38"/>
      <c r="C42" s="39"/>
      <c r="D42" s="39">
        <f>SUM(D14,D25,D26,D27,D33,D40,D41)</f>
        <v>2514.6582900000003</v>
      </c>
      <c r="E42" s="38"/>
      <c r="F42" s="39"/>
      <c r="G42" s="39">
        <f>SUM(G14,G25,G26,G27,G33,G40,G41)</f>
        <v>2528.7882900000004</v>
      </c>
      <c r="H42" s="39">
        <f t="shared" si="1"/>
        <v>14.130000000000109</v>
      </c>
      <c r="I42" s="40">
        <f t="shared" si="8"/>
        <v>5.6190537124629E-3</v>
      </c>
      <c r="J42" s="40">
        <f t="shared" si="9"/>
        <v>0.95238095238095233</v>
      </c>
      <c r="K42" s="41"/>
    </row>
    <row r="43" spans="1:11" x14ac:dyDescent="0.2">
      <c r="A43" s="153" t="s">
        <v>102</v>
      </c>
      <c r="B43" s="43"/>
      <c r="C43" s="26">
        <v>0.13</v>
      </c>
      <c r="D43" s="26">
        <f>D42*C43</f>
        <v>326.90557770000004</v>
      </c>
      <c r="E43" s="26"/>
      <c r="F43" s="26">
        <f>C43</f>
        <v>0.13</v>
      </c>
      <c r="G43" s="26">
        <f>G42*F43</f>
        <v>328.74247770000005</v>
      </c>
      <c r="H43" s="26">
        <f t="shared" si="1"/>
        <v>1.8369000000000142</v>
      </c>
      <c r="I43" s="44">
        <f t="shared" si="8"/>
        <v>5.6190537124629E-3</v>
      </c>
      <c r="J43" s="44">
        <f t="shared" si="9"/>
        <v>0.1238095238095238</v>
      </c>
      <c r="K43" s="45"/>
    </row>
    <row r="44" spans="1:11" s="1" customFormat="1" x14ac:dyDescent="0.2">
      <c r="A44" s="46" t="s">
        <v>103</v>
      </c>
      <c r="B44" s="24"/>
      <c r="C44" s="25"/>
      <c r="D44" s="25">
        <f>SUM(D42:D43)</f>
        <v>2841.5638677000002</v>
      </c>
      <c r="E44" s="25"/>
      <c r="F44" s="25"/>
      <c r="G44" s="25">
        <f>SUM(G42:G43)</f>
        <v>2857.5307677000005</v>
      </c>
      <c r="H44" s="25">
        <f t="shared" si="1"/>
        <v>15.966900000000351</v>
      </c>
      <c r="I44" s="27">
        <f t="shared" si="8"/>
        <v>5.6190537124629798E-3</v>
      </c>
      <c r="J44" s="27">
        <f t="shared" si="9"/>
        <v>1.0761904761904761</v>
      </c>
      <c r="K44" s="47"/>
    </row>
    <row r="45" spans="1:11" x14ac:dyDescent="0.2">
      <c r="A45" s="42" t="s">
        <v>104</v>
      </c>
      <c r="B45" s="43"/>
      <c r="C45" s="26">
        <v>-0.08</v>
      </c>
      <c r="D45" s="26">
        <f>D42*C45</f>
        <v>-201.17266320000002</v>
      </c>
      <c r="E45" s="26"/>
      <c r="F45" s="26">
        <f>C45</f>
        <v>-0.08</v>
      </c>
      <c r="G45" s="26">
        <f>G42*F45</f>
        <v>-202.30306320000003</v>
      </c>
      <c r="H45" s="26">
        <f t="shared" si="1"/>
        <v>-1.1304000000000087</v>
      </c>
      <c r="I45" s="44">
        <f t="shared" si="8"/>
        <v>-5.6190537124629E-3</v>
      </c>
      <c r="J45" s="44">
        <f t="shared" si="9"/>
        <v>-7.6190476190476183E-2</v>
      </c>
      <c r="K45" s="45"/>
    </row>
    <row r="46" spans="1:11" s="1" customFormat="1" ht="13.5" thickBot="1" x14ac:dyDescent="0.25">
      <c r="A46" s="48" t="s">
        <v>105</v>
      </c>
      <c r="B46" s="49"/>
      <c r="C46" s="50"/>
      <c r="D46" s="50">
        <f>SUM(D44:D45)</f>
        <v>2640.3912045000002</v>
      </c>
      <c r="E46" s="50"/>
      <c r="F46" s="50"/>
      <c r="G46" s="50">
        <f>SUM(G44:G45)</f>
        <v>2655.2277045000005</v>
      </c>
      <c r="H46" s="50">
        <f t="shared" si="1"/>
        <v>14.836500000000342</v>
      </c>
      <c r="I46" s="51">
        <f t="shared" si="8"/>
        <v>5.6190537124629859E-3</v>
      </c>
      <c r="J46" s="51">
        <f t="shared" si="9"/>
        <v>1</v>
      </c>
      <c r="K46" s="52"/>
    </row>
    <row r="47" spans="1:11" x14ac:dyDescent="0.2">
      <c r="A47" s="53" t="s">
        <v>106</v>
      </c>
      <c r="B47" s="54"/>
      <c r="C47" s="55"/>
      <c r="D47" s="55">
        <f>SUM(D18,D25,D26,D28,D33,D40,D41)</f>
        <v>2390.1858900000002</v>
      </c>
      <c r="E47" s="55"/>
      <c r="F47" s="55"/>
      <c r="G47" s="55">
        <f>SUM(G18,G25,G26,G28,G33,G40,G41)</f>
        <v>2404.3158900000003</v>
      </c>
      <c r="H47" s="55">
        <f>G47-D47</f>
        <v>14.130000000000109</v>
      </c>
      <c r="I47" s="56">
        <f t="shared" si="8"/>
        <v>5.9116740915913062E-3</v>
      </c>
      <c r="J47" s="56"/>
      <c r="K47" s="57">
        <f>G47/$G$51</f>
        <v>0.95238095238095222</v>
      </c>
    </row>
    <row r="48" spans="1:11" x14ac:dyDescent="0.2">
      <c r="A48" s="58" t="s">
        <v>102</v>
      </c>
      <c r="B48" s="59"/>
      <c r="C48" s="31">
        <v>0.13</v>
      </c>
      <c r="D48" s="31">
        <f>D47*C48</f>
        <v>310.72416570000001</v>
      </c>
      <c r="E48" s="31"/>
      <c r="F48" s="31">
        <f>C48</f>
        <v>0.13</v>
      </c>
      <c r="G48" s="31">
        <f>G47*F48</f>
        <v>312.56106570000003</v>
      </c>
      <c r="H48" s="31">
        <f>G48-D48</f>
        <v>1.8369000000000142</v>
      </c>
      <c r="I48" s="32">
        <f t="shared" si="8"/>
        <v>5.9116740915913062E-3</v>
      </c>
      <c r="J48" s="32"/>
      <c r="K48" s="60">
        <f>G48/$G$51</f>
        <v>0.12380952380952379</v>
      </c>
    </row>
    <row r="49" spans="1:11" x14ac:dyDescent="0.2">
      <c r="A49" s="149" t="s">
        <v>107</v>
      </c>
      <c r="B49" s="29"/>
      <c r="C49" s="30"/>
      <c r="D49" s="30">
        <f>SUM(D47:D48)</f>
        <v>2700.9100557000002</v>
      </c>
      <c r="E49" s="30"/>
      <c r="F49" s="30"/>
      <c r="G49" s="30">
        <f>SUM(G47:G48)</f>
        <v>2716.8769557000005</v>
      </c>
      <c r="H49" s="30">
        <f>G49-D49</f>
        <v>15.966900000000351</v>
      </c>
      <c r="I49" s="33">
        <f t="shared" si="8"/>
        <v>5.9116740915913903E-3</v>
      </c>
      <c r="J49" s="33"/>
      <c r="K49" s="62">
        <f>G49/$G$51</f>
        <v>1.0761904761904761</v>
      </c>
    </row>
    <row r="50" spans="1:11" x14ac:dyDescent="0.2">
      <c r="A50" s="58" t="s">
        <v>104</v>
      </c>
      <c r="B50" s="59"/>
      <c r="C50" s="31">
        <v>-0.08</v>
      </c>
      <c r="D50" s="31">
        <f>D47*C50</f>
        <v>-191.21487120000003</v>
      </c>
      <c r="E50" s="31"/>
      <c r="F50" s="31">
        <f>C50</f>
        <v>-0.08</v>
      </c>
      <c r="G50" s="31">
        <f>G47*F50</f>
        <v>-192.34527120000004</v>
      </c>
      <c r="H50" s="31">
        <f>G50-D50</f>
        <v>-1.1304000000000087</v>
      </c>
      <c r="I50" s="32">
        <f t="shared" si="8"/>
        <v>-5.9116740915913062E-3</v>
      </c>
      <c r="J50" s="32"/>
      <c r="K50" s="60">
        <f>G50/$G$51</f>
        <v>-7.6190476190476183E-2</v>
      </c>
    </row>
    <row r="51" spans="1:11" ht="13.5" thickBot="1" x14ac:dyDescent="0.25">
      <c r="A51" s="63" t="s">
        <v>116</v>
      </c>
      <c r="B51" s="64"/>
      <c r="C51" s="65"/>
      <c r="D51" s="65">
        <f>SUM(D49:D50)</f>
        <v>2509.6951845000003</v>
      </c>
      <c r="E51" s="65"/>
      <c r="F51" s="65"/>
      <c r="G51" s="65">
        <f>SUM(G49:G50)</f>
        <v>2524.5316845000007</v>
      </c>
      <c r="H51" s="65">
        <f>G51-D51</f>
        <v>14.836500000000342</v>
      </c>
      <c r="I51" s="66">
        <f t="shared" si="8"/>
        <v>5.9116740915913964E-3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4" orientation="landscape" r:id="rId1"/>
  <headerFooter>
    <oddHeader>&amp;RUpdated: 2017-06-07
EB-2017-0049
Exhibit H1-4-1
Attachment 3
Page &amp;P of &amp;N</oddHead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tint="0.499984740745262"/>
    <pageSetUpPr fitToPage="1"/>
  </sheetPr>
  <dimension ref="A1:K68"/>
  <sheetViews>
    <sheetView tabSelected="1" view="pageLayout" topLeftCell="A10"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117</v>
      </c>
      <c r="B1" s="189"/>
      <c r="C1" s="189"/>
      <c r="D1" s="189"/>
      <c r="E1" s="189"/>
      <c r="F1" s="189"/>
      <c r="G1" s="189"/>
      <c r="H1" s="189"/>
      <c r="I1" s="189"/>
      <c r="J1" s="189"/>
      <c r="K1" s="190"/>
    </row>
    <row r="3" spans="1:11" x14ac:dyDescent="0.2">
      <c r="A3" s="13" t="s">
        <v>13</v>
      </c>
      <c r="B3" s="13" t="s">
        <v>4</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1096</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0.28945721304040195</v>
      </c>
      <c r="K12" s="106"/>
    </row>
    <row r="13" spans="1:11" x14ac:dyDescent="0.2">
      <c r="A13" s="107" t="s">
        <v>32</v>
      </c>
      <c r="B13" s="73">
        <f>IF(B4&gt;B7,(B4)-B7,0)</f>
        <v>250</v>
      </c>
      <c r="C13" s="21">
        <v>0.106</v>
      </c>
      <c r="D13" s="22">
        <f>B13*C13</f>
        <v>26.5</v>
      </c>
      <c r="E13" s="73">
        <f>B13</f>
        <v>250</v>
      </c>
      <c r="F13" s="21">
        <f>C13</f>
        <v>0.106</v>
      </c>
      <c r="G13" s="22">
        <f>E13*F13</f>
        <v>26.5</v>
      </c>
      <c r="H13" s="22">
        <f t="shared" ref="H13:H46" si="1">G13-D13</f>
        <v>0</v>
      </c>
      <c r="I13" s="23">
        <f t="shared" si="0"/>
        <v>0</v>
      </c>
      <c r="J13" s="23">
        <f>G13/$G$46</f>
        <v>0.11238998015488134</v>
      </c>
      <c r="K13" s="108"/>
    </row>
    <row r="14" spans="1:11" s="1" customFormat="1" x14ac:dyDescent="0.2">
      <c r="A14" s="46" t="s">
        <v>33</v>
      </c>
      <c r="B14" s="24"/>
      <c r="C14" s="25"/>
      <c r="D14" s="25">
        <f>SUM(D12:D13)</f>
        <v>94.75</v>
      </c>
      <c r="E14" s="76"/>
      <c r="F14" s="25"/>
      <c r="G14" s="25">
        <f>SUM(G12:G13)</f>
        <v>94.75</v>
      </c>
      <c r="H14" s="25">
        <f t="shared" si="1"/>
        <v>0</v>
      </c>
      <c r="I14" s="27">
        <f t="shared" si="0"/>
        <v>0</v>
      </c>
      <c r="J14" s="27">
        <f>G14/$G$46</f>
        <v>0.40184719319528328</v>
      </c>
      <c r="K14" s="108"/>
    </row>
    <row r="15" spans="1:11" s="1" customFormat="1" x14ac:dyDescent="0.2">
      <c r="A15" s="109" t="s">
        <v>34</v>
      </c>
      <c r="B15" s="75">
        <f>B4*0.65</f>
        <v>650</v>
      </c>
      <c r="C15" s="28">
        <v>7.6999999999999999E-2</v>
      </c>
      <c r="D15" s="22">
        <f>B15*C15</f>
        <v>50.05</v>
      </c>
      <c r="E15" s="73">
        <f t="shared" ref="E15:F17" si="2">B15</f>
        <v>650</v>
      </c>
      <c r="F15" s="28">
        <f t="shared" si="2"/>
        <v>7.6999999999999999E-2</v>
      </c>
      <c r="G15" s="22">
        <f>E15*F15</f>
        <v>50.05</v>
      </c>
      <c r="H15" s="22">
        <f t="shared" si="1"/>
        <v>0</v>
      </c>
      <c r="I15" s="23">
        <f t="shared" si="0"/>
        <v>0</v>
      </c>
      <c r="J15" s="23"/>
      <c r="K15" s="108">
        <f t="shared" ref="K15:K26" si="3">G15/$G$51</f>
        <v>0.21043571117210669</v>
      </c>
    </row>
    <row r="16" spans="1:11" s="1" customFormat="1" x14ac:dyDescent="0.2">
      <c r="A16" s="109" t="s">
        <v>35</v>
      </c>
      <c r="B16" s="75">
        <f>B4*0.17</f>
        <v>170</v>
      </c>
      <c r="C16" s="28">
        <v>0.113</v>
      </c>
      <c r="D16" s="22">
        <f>B16*C16</f>
        <v>19.21</v>
      </c>
      <c r="E16" s="73">
        <f t="shared" si="2"/>
        <v>170</v>
      </c>
      <c r="F16" s="28">
        <f t="shared" si="2"/>
        <v>0.113</v>
      </c>
      <c r="G16" s="22">
        <f>E16*F16</f>
        <v>19.21</v>
      </c>
      <c r="H16" s="22">
        <f t="shared" si="1"/>
        <v>0</v>
      </c>
      <c r="I16" s="23">
        <f t="shared" si="0"/>
        <v>0</v>
      </c>
      <c r="J16" s="23"/>
      <c r="K16" s="108">
        <f t="shared" si="3"/>
        <v>8.0768631600722673E-2</v>
      </c>
    </row>
    <row r="17" spans="1:11" s="1" customFormat="1" x14ac:dyDescent="0.2">
      <c r="A17" s="109" t="s">
        <v>36</v>
      </c>
      <c r="B17" s="75">
        <f>B4*0.18</f>
        <v>180</v>
      </c>
      <c r="C17" s="28">
        <v>0.157</v>
      </c>
      <c r="D17" s="22">
        <f>B17*C17</f>
        <v>28.26</v>
      </c>
      <c r="E17" s="73">
        <f t="shared" si="2"/>
        <v>180</v>
      </c>
      <c r="F17" s="28">
        <f t="shared" si="2"/>
        <v>0.157</v>
      </c>
      <c r="G17" s="22">
        <f>E17*F17</f>
        <v>28.26</v>
      </c>
      <c r="H17" s="22">
        <f t="shared" si="1"/>
        <v>0</v>
      </c>
      <c r="I17" s="23">
        <f t="shared" si="0"/>
        <v>0</v>
      </c>
      <c r="J17" s="23"/>
      <c r="K17" s="108">
        <f t="shared" si="3"/>
        <v>0.11881944450996475</v>
      </c>
    </row>
    <row r="18" spans="1:11" s="1" customFormat="1" x14ac:dyDescent="0.2">
      <c r="A18" s="61" t="s">
        <v>37</v>
      </c>
      <c r="B18" s="29"/>
      <c r="C18" s="30"/>
      <c r="D18" s="30">
        <f>SUM(D15:D17)</f>
        <v>97.52</v>
      </c>
      <c r="E18" s="77"/>
      <c r="F18" s="30"/>
      <c r="G18" s="30">
        <f>SUM(G15:G17)</f>
        <v>97.52</v>
      </c>
      <c r="H18" s="31">
        <f t="shared" si="1"/>
        <v>0</v>
      </c>
      <c r="I18" s="32">
        <f t="shared" si="0"/>
        <v>0</v>
      </c>
      <c r="J18" s="33">
        <f t="shared" ref="J18:J23" si="4">G18/$G$46</f>
        <v>0.41359512696996331</v>
      </c>
      <c r="K18" s="62">
        <f t="shared" si="3"/>
        <v>0.41002378728279409</v>
      </c>
    </row>
    <row r="19" spans="1:11" x14ac:dyDescent="0.2">
      <c r="A19" s="107" t="s">
        <v>38</v>
      </c>
      <c r="B19" s="73">
        <v>1</v>
      </c>
      <c r="C19" s="121">
        <f>VLOOKUP($B$3,'Data for Bill Impacts'!$A$3:$Y$15,7,0)</f>
        <v>30.2</v>
      </c>
      <c r="D19" s="22">
        <f t="shared" ref="D19:D24" si="5">B19*C19</f>
        <v>30.2</v>
      </c>
      <c r="E19" s="73">
        <f t="shared" ref="E19:E41" si="6">B19</f>
        <v>1</v>
      </c>
      <c r="F19" s="78">
        <f>VLOOKUP($B$3,'Data for Bill Impacts'!$A$3:$Y$15,17,0)</f>
        <v>30.88</v>
      </c>
      <c r="G19" s="22">
        <f t="shared" ref="G19:G24" si="7">E19*F19</f>
        <v>30.88</v>
      </c>
      <c r="H19" s="22">
        <f t="shared" si="1"/>
        <v>0.67999999999999972</v>
      </c>
      <c r="I19" s="23">
        <f>IF(ISERROR(H19/ABS(D19)),"N/A",(H19/ABS(D19)))</f>
        <v>2.2516556291390721E-2</v>
      </c>
      <c r="J19" s="23">
        <f t="shared" si="4"/>
        <v>0.13096613536538626</v>
      </c>
      <c r="K19" s="108">
        <f t="shared" si="3"/>
        <v>0.12983525995993317</v>
      </c>
    </row>
    <row r="20" spans="1:11" hidden="1" x14ac:dyDescent="0.2">
      <c r="A20" s="107" t="s">
        <v>83</v>
      </c>
      <c r="B20" s="73">
        <v>1</v>
      </c>
      <c r="C20" s="78">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110</v>
      </c>
      <c r="B21" s="73">
        <v>1</v>
      </c>
      <c r="C21" s="78">
        <v>0</v>
      </c>
      <c r="D21" s="22">
        <f t="shared" si="5"/>
        <v>0</v>
      </c>
      <c r="E21" s="73">
        <f t="shared" si="6"/>
        <v>1</v>
      </c>
      <c r="F21" s="121">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2E-3</v>
      </c>
      <c r="D22" s="22">
        <f t="shared" si="5"/>
        <v>2E-3</v>
      </c>
      <c r="E22" s="73">
        <f t="shared" si="6"/>
        <v>1</v>
      </c>
      <c r="F22" s="121">
        <f>VLOOKUP($B$3,'Data for Bill Impacts'!$A$3:$Y$15,22,0)</f>
        <v>2E-3</v>
      </c>
      <c r="G22" s="22">
        <f t="shared" si="7"/>
        <v>2E-3</v>
      </c>
      <c r="H22" s="22">
        <f t="shared" si="1"/>
        <v>0</v>
      </c>
      <c r="I22" s="23">
        <f t="shared" ref="I22:I51" si="8">IF(ISERROR(H22/ABS(D22)),"N/A",(H22/ABS(D22)))</f>
        <v>0</v>
      </c>
      <c r="J22" s="23">
        <f t="shared" si="4"/>
        <v>8.4822626531985928E-6</v>
      </c>
      <c r="K22" s="108">
        <f t="shared" si="3"/>
        <v>8.4090194274568122E-6</v>
      </c>
    </row>
    <row r="23" spans="1:11" x14ac:dyDescent="0.2">
      <c r="A23" s="107" t="s">
        <v>39</v>
      </c>
      <c r="B23" s="73">
        <f>IF($B$9="kWh",$B$4,$B$5)</f>
        <v>1000</v>
      </c>
      <c r="C23" s="78">
        <f>VLOOKUP($B$3,'Data for Bill Impacts'!$A$3:$Y$15,10,0)</f>
        <v>6.13E-2</v>
      </c>
      <c r="D23" s="22">
        <f t="shared" si="5"/>
        <v>61.3</v>
      </c>
      <c r="E23" s="73">
        <f t="shared" si="6"/>
        <v>1000</v>
      </c>
      <c r="F23" s="78">
        <f>VLOOKUP($B$3,'Data for Bill Impacts'!$A$3:$Y$15,19,0)</f>
        <v>6.3299999999999995E-2</v>
      </c>
      <c r="G23" s="22">
        <f t="shared" si="7"/>
        <v>63.3</v>
      </c>
      <c r="H23" s="22">
        <f t="shared" si="1"/>
        <v>2</v>
      </c>
      <c r="I23" s="23">
        <f t="shared" si="8"/>
        <v>3.2626427406199025E-2</v>
      </c>
      <c r="J23" s="23">
        <f t="shared" si="4"/>
        <v>0.26846361297373544</v>
      </c>
      <c r="K23" s="108">
        <f t="shared" si="3"/>
        <v>0.26614546487900809</v>
      </c>
    </row>
    <row r="24" spans="1:11" x14ac:dyDescent="0.2">
      <c r="A24" s="107" t="s">
        <v>121</v>
      </c>
      <c r="B24" s="73">
        <f>IF($B$9="kWh",$B$4,$B$5)</f>
        <v>1000</v>
      </c>
      <c r="C24" s="125">
        <f>VLOOKUP($B$3,'Data for Bill Impacts'!$A$3:$Y$15,14,0)</f>
        <v>2.0000000000000002E-5</v>
      </c>
      <c r="D24" s="22">
        <f t="shared" si="5"/>
        <v>0.02</v>
      </c>
      <c r="E24" s="73">
        <f t="shared" si="6"/>
        <v>1000</v>
      </c>
      <c r="F24" s="125">
        <f>VLOOKUP($B$3,'Data for Bill Impacts'!$A$3:$Y$15,23,0)</f>
        <v>2.0000000000000002E-5</v>
      </c>
      <c r="G24" s="22">
        <f t="shared" si="7"/>
        <v>0.02</v>
      </c>
      <c r="H24" s="22">
        <f t="shared" si="1"/>
        <v>0</v>
      </c>
      <c r="I24" s="23">
        <f t="shared" si="8"/>
        <v>0</v>
      </c>
      <c r="J24" s="23">
        <f>G24/$G$46</f>
        <v>8.4822626531985928E-5</v>
      </c>
      <c r="K24" s="108">
        <f t="shared" si="3"/>
        <v>8.4090194274568115E-5</v>
      </c>
    </row>
    <row r="25" spans="1:11" s="1" customFormat="1" x14ac:dyDescent="0.2">
      <c r="A25" s="110" t="s">
        <v>72</v>
      </c>
      <c r="B25" s="74"/>
      <c r="C25" s="35"/>
      <c r="D25" s="35">
        <f>SUM(D19:D24)</f>
        <v>91.521999999999991</v>
      </c>
      <c r="E25" s="73"/>
      <c r="F25" s="35"/>
      <c r="G25" s="35">
        <f>SUM(G19:G24)</f>
        <v>94.201999999999984</v>
      </c>
      <c r="H25" s="35">
        <f t="shared" si="1"/>
        <v>2.6799999999999926</v>
      </c>
      <c r="I25" s="36">
        <f t="shared" si="8"/>
        <v>2.9282576866764196E-2</v>
      </c>
      <c r="J25" s="36">
        <f>G25/$G$46</f>
        <v>0.39952305322830683</v>
      </c>
      <c r="K25" s="111">
        <f t="shared" si="3"/>
        <v>0.39607322405264322</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G26/$G$46</f>
        <v>3.3504937480134441E-3</v>
      </c>
      <c r="K26" s="108">
        <f t="shared" si="3"/>
        <v>3.3215626738454405E-3</v>
      </c>
    </row>
    <row r="27" spans="1:11" s="1" customFormat="1" x14ac:dyDescent="0.2">
      <c r="A27" s="119" t="s">
        <v>75</v>
      </c>
      <c r="B27" s="120">
        <f>B8-B4</f>
        <v>96</v>
      </c>
      <c r="C27" s="172">
        <f>IF(B4&gt;B7,C13,C12)</f>
        <v>0.106</v>
      </c>
      <c r="D27" s="22">
        <f>B27*C27</f>
        <v>10.176</v>
      </c>
      <c r="E27" s="73">
        <f>B27</f>
        <v>96</v>
      </c>
      <c r="F27" s="172">
        <f>C27</f>
        <v>0.106</v>
      </c>
      <c r="G27" s="22">
        <f>E27*F27</f>
        <v>10.176</v>
      </c>
      <c r="H27" s="22">
        <f t="shared" si="1"/>
        <v>0</v>
      </c>
      <c r="I27" s="23">
        <f t="shared" si="8"/>
        <v>0</v>
      </c>
      <c r="J27" s="23">
        <f t="shared" ref="J27:J46" si="9">G27/$G$46</f>
        <v>4.3157752379474439E-2</v>
      </c>
      <c r="K27" s="108">
        <f t="shared" ref="K27:K41" si="10">G27/$G$51</f>
        <v>4.2785090846900256E-2</v>
      </c>
    </row>
    <row r="28" spans="1:11" s="1" customFormat="1" x14ac:dyDescent="0.2">
      <c r="A28" s="119" t="s">
        <v>74</v>
      </c>
      <c r="B28" s="120">
        <f>B8-B4</f>
        <v>96</v>
      </c>
      <c r="C28" s="172">
        <f>0.65*C15+0.17*C16+0.18*C17</f>
        <v>9.7519999999999996E-2</v>
      </c>
      <c r="D28" s="22">
        <f>B28*C28</f>
        <v>9.3619199999999996</v>
      </c>
      <c r="E28" s="73">
        <f>B28</f>
        <v>96</v>
      </c>
      <c r="F28" s="172">
        <f>C28</f>
        <v>9.7519999999999996E-2</v>
      </c>
      <c r="G28" s="22">
        <f>E28*F28</f>
        <v>9.3619199999999996</v>
      </c>
      <c r="H28" s="22">
        <f t="shared" si="1"/>
        <v>0</v>
      </c>
      <c r="I28" s="23">
        <f t="shared" si="8"/>
        <v>0</v>
      </c>
      <c r="J28" s="23">
        <f t="shared" si="9"/>
        <v>3.9705132189116477E-2</v>
      </c>
      <c r="K28" s="108">
        <f t="shared" si="10"/>
        <v>3.9362283579148234E-2</v>
      </c>
    </row>
    <row r="29" spans="1:11" s="1" customFormat="1" x14ac:dyDescent="0.2">
      <c r="A29" s="110" t="s">
        <v>78</v>
      </c>
      <c r="B29" s="74"/>
      <c r="C29" s="35"/>
      <c r="D29" s="35">
        <f>SUM(D25,D26:D27)</f>
        <v>102.488</v>
      </c>
      <c r="E29" s="73"/>
      <c r="F29" s="35"/>
      <c r="G29" s="35">
        <f>SUM(G25,G26:G27)</f>
        <v>105.16799999999999</v>
      </c>
      <c r="H29" s="35">
        <f t="shared" si="1"/>
        <v>2.6799999999999926</v>
      </c>
      <c r="I29" s="36">
        <f t="shared" si="8"/>
        <v>2.6149402856919763E-2</v>
      </c>
      <c r="J29" s="36">
        <f t="shared" si="9"/>
        <v>0.44603129935579472</v>
      </c>
      <c r="K29" s="111">
        <f t="shared" si="10"/>
        <v>0.44217987757338895</v>
      </c>
    </row>
    <row r="30" spans="1:11" s="1" customFormat="1" x14ac:dyDescent="0.2">
      <c r="A30" s="110" t="s">
        <v>77</v>
      </c>
      <c r="B30" s="74"/>
      <c r="C30" s="35"/>
      <c r="D30" s="35">
        <f>SUM(D25,D26,D28)</f>
        <v>101.67392</v>
      </c>
      <c r="E30" s="73"/>
      <c r="F30" s="35"/>
      <c r="G30" s="35">
        <f>SUM(G25,G26,G28)</f>
        <v>104.35391999999999</v>
      </c>
      <c r="H30" s="35">
        <f t="shared" si="1"/>
        <v>2.6799999999999926</v>
      </c>
      <c r="I30" s="36">
        <f t="shared" si="8"/>
        <v>2.6358775190333892E-2</v>
      </c>
      <c r="J30" s="36">
        <f t="shared" si="9"/>
        <v>0.44257867916543675</v>
      </c>
      <c r="K30" s="111">
        <f t="shared" si="10"/>
        <v>0.43875707030563688</v>
      </c>
    </row>
    <row r="31" spans="1:11" x14ac:dyDescent="0.2">
      <c r="A31" s="107" t="s">
        <v>40</v>
      </c>
      <c r="B31" s="73">
        <f>B8</f>
        <v>1096</v>
      </c>
      <c r="C31" s="125">
        <f>VLOOKUP($B$3,'Data for Bill Impacts'!$A$3:$Y$15,15,0)</f>
        <v>5.6930000000000001E-3</v>
      </c>
      <c r="D31" s="22">
        <f>B31*C31</f>
        <v>6.239528</v>
      </c>
      <c r="E31" s="73">
        <f t="shared" si="6"/>
        <v>1096</v>
      </c>
      <c r="F31" s="125">
        <f>VLOOKUP($B$3,'Data for Bill Impacts'!$A$3:$Y$15,24,0)</f>
        <v>5.6930000000000001E-3</v>
      </c>
      <c r="G31" s="22">
        <f>E31*F31</f>
        <v>6.239528</v>
      </c>
      <c r="H31" s="22">
        <f t="shared" si="1"/>
        <v>0</v>
      </c>
      <c r="I31" s="23">
        <f t="shared" si="8"/>
        <v>0</v>
      </c>
      <c r="J31" s="23">
        <f t="shared" si="9"/>
        <v>2.6462657663993451E-2</v>
      </c>
      <c r="K31" s="108">
        <f t="shared" si="10"/>
        <v>2.6234156085080371E-2</v>
      </c>
    </row>
    <row r="32" spans="1:11" x14ac:dyDescent="0.2">
      <c r="A32" s="107" t="s">
        <v>41</v>
      </c>
      <c r="B32" s="73">
        <f>B8</f>
        <v>1096</v>
      </c>
      <c r="C32" s="125">
        <f>VLOOKUP($B$3,'Data for Bill Impacts'!$A$3:$Y$15,16,0)</f>
        <v>4.4740000000000005E-3</v>
      </c>
      <c r="D32" s="22">
        <f>B32*C32</f>
        <v>4.9035040000000008</v>
      </c>
      <c r="E32" s="73">
        <f t="shared" si="6"/>
        <v>1096</v>
      </c>
      <c r="F32" s="125">
        <f>VLOOKUP($B$3,'Data for Bill Impacts'!$A$3:$Y$15,25,0)</f>
        <v>4.4740000000000005E-3</v>
      </c>
      <c r="G32" s="22">
        <f>E32*F32</f>
        <v>4.9035040000000008</v>
      </c>
      <c r="H32" s="22">
        <f t="shared" si="1"/>
        <v>0</v>
      </c>
      <c r="I32" s="23">
        <f t="shared" si="8"/>
        <v>0</v>
      </c>
      <c r="J32" s="23">
        <f t="shared" si="9"/>
        <v>2.0796404424504956E-2</v>
      </c>
      <c r="K32" s="108">
        <f t="shared" si="10"/>
        <v>2.0616830199306095E-2</v>
      </c>
    </row>
    <row r="33" spans="1:11" s="1" customFormat="1" x14ac:dyDescent="0.2">
      <c r="A33" s="110" t="s">
        <v>76</v>
      </c>
      <c r="B33" s="74"/>
      <c r="C33" s="35"/>
      <c r="D33" s="35">
        <f>SUM(D31:D32)</f>
        <v>11.143032000000002</v>
      </c>
      <c r="E33" s="73"/>
      <c r="F33" s="35"/>
      <c r="G33" s="35">
        <f>SUM(G31:G32)</f>
        <v>11.143032000000002</v>
      </c>
      <c r="H33" s="35">
        <f t="shared" si="1"/>
        <v>0</v>
      </c>
      <c r="I33" s="36">
        <f t="shared" si="8"/>
        <v>0</v>
      </c>
      <c r="J33" s="36">
        <f t="shared" si="9"/>
        <v>4.7259062088498414E-2</v>
      </c>
      <c r="K33" s="111">
        <f t="shared" si="10"/>
        <v>4.685098628438647E-2</v>
      </c>
    </row>
    <row r="34" spans="1:11" s="1" customFormat="1" x14ac:dyDescent="0.2">
      <c r="A34" s="110" t="s">
        <v>91</v>
      </c>
      <c r="B34" s="74"/>
      <c r="C34" s="35"/>
      <c r="D34" s="35">
        <f>D29+D33</f>
        <v>113.631032</v>
      </c>
      <c r="E34" s="73"/>
      <c r="F34" s="35"/>
      <c r="G34" s="35">
        <f>G29+G33</f>
        <v>116.311032</v>
      </c>
      <c r="H34" s="35">
        <f t="shared" si="1"/>
        <v>2.6799999999999926</v>
      </c>
      <c r="I34" s="36">
        <f t="shared" si="8"/>
        <v>2.3585106575464285E-2</v>
      </c>
      <c r="J34" s="36">
        <f t="shared" si="9"/>
        <v>0.49329036144429317</v>
      </c>
      <c r="K34" s="111">
        <f t="shared" si="10"/>
        <v>0.48903086385777544</v>
      </c>
    </row>
    <row r="35" spans="1:11" s="1" customFormat="1" x14ac:dyDescent="0.2">
      <c r="A35" s="110" t="s">
        <v>92</v>
      </c>
      <c r="B35" s="74"/>
      <c r="C35" s="35"/>
      <c r="D35" s="35">
        <f>D30+D33</f>
        <v>112.816952</v>
      </c>
      <c r="E35" s="73"/>
      <c r="F35" s="35"/>
      <c r="G35" s="35">
        <f>G30+G33</f>
        <v>115.49695199999999</v>
      </c>
      <c r="H35" s="35">
        <f t="shared" si="1"/>
        <v>2.6799999999999926</v>
      </c>
      <c r="I35" s="36">
        <f t="shared" si="8"/>
        <v>2.3755295214853814E-2</v>
      </c>
      <c r="J35" s="36">
        <f t="shared" si="9"/>
        <v>0.4898377412539352</v>
      </c>
      <c r="K35" s="111">
        <f t="shared" si="10"/>
        <v>0.48560805659002337</v>
      </c>
    </row>
    <row r="36" spans="1:11" x14ac:dyDescent="0.2">
      <c r="A36" s="107" t="s">
        <v>42</v>
      </c>
      <c r="B36" s="73">
        <f>B8</f>
        <v>1096</v>
      </c>
      <c r="C36" s="34">
        <v>3.5999999999999999E-3</v>
      </c>
      <c r="D36" s="22">
        <f>B36*C36</f>
        <v>3.9455999999999998</v>
      </c>
      <c r="E36" s="73">
        <f t="shared" si="6"/>
        <v>1096</v>
      </c>
      <c r="F36" s="34">
        <v>3.5999999999999999E-3</v>
      </c>
      <c r="G36" s="22">
        <f>E36*F36</f>
        <v>3.9455999999999998</v>
      </c>
      <c r="H36" s="22">
        <f t="shared" si="1"/>
        <v>0</v>
      </c>
      <c r="I36" s="23">
        <f t="shared" si="8"/>
        <v>0</v>
      </c>
      <c r="J36" s="23">
        <f t="shared" si="9"/>
        <v>1.6733807762230182E-2</v>
      </c>
      <c r="K36" s="108">
        <f t="shared" si="10"/>
        <v>1.6589313526486796E-2</v>
      </c>
    </row>
    <row r="37" spans="1:11" x14ac:dyDescent="0.2">
      <c r="A37" s="107" t="s">
        <v>43</v>
      </c>
      <c r="B37" s="73">
        <f>B8</f>
        <v>1096</v>
      </c>
      <c r="C37" s="34">
        <v>2.0999999999999999E-3</v>
      </c>
      <c r="D37" s="22">
        <f>B37*C37</f>
        <v>2.3015999999999996</v>
      </c>
      <c r="E37" s="73">
        <f t="shared" si="6"/>
        <v>1096</v>
      </c>
      <c r="F37" s="34">
        <v>2.0999999999999999E-3</v>
      </c>
      <c r="G37" s="22">
        <f>E37*F37</f>
        <v>2.3015999999999996</v>
      </c>
      <c r="H37" s="22">
        <f>G37-D37</f>
        <v>0</v>
      </c>
      <c r="I37" s="23">
        <f t="shared" si="8"/>
        <v>0</v>
      </c>
      <c r="J37" s="23">
        <f t="shared" si="9"/>
        <v>9.7613878613009384E-3</v>
      </c>
      <c r="K37" s="108">
        <f t="shared" si="10"/>
        <v>9.6770995571172965E-3</v>
      </c>
    </row>
    <row r="38" spans="1:11" x14ac:dyDescent="0.2">
      <c r="A38" s="107" t="s">
        <v>96</v>
      </c>
      <c r="B38" s="73">
        <f>B8</f>
        <v>1096</v>
      </c>
      <c r="C38" s="34">
        <v>0</v>
      </c>
      <c r="D38" s="22">
        <f>B38*C38</f>
        <v>0</v>
      </c>
      <c r="E38" s="73">
        <f t="shared" si="6"/>
        <v>1096</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1.0602828316498239E-3</v>
      </c>
      <c r="K39" s="108">
        <f t="shared" si="10"/>
        <v>1.0511274284321014E-3</v>
      </c>
    </row>
    <row r="40" spans="1:11" s="1" customFormat="1" x14ac:dyDescent="0.2">
      <c r="A40" s="110" t="s">
        <v>45</v>
      </c>
      <c r="B40" s="74"/>
      <c r="C40" s="35"/>
      <c r="D40" s="35">
        <f>SUM(D36:D39)</f>
        <v>6.4971999999999994</v>
      </c>
      <c r="E40" s="73"/>
      <c r="F40" s="35"/>
      <c r="G40" s="35">
        <f>SUM(G36:G39)</f>
        <v>6.4971999999999994</v>
      </c>
      <c r="H40" s="35">
        <f t="shared" si="1"/>
        <v>0</v>
      </c>
      <c r="I40" s="36">
        <f t="shared" si="8"/>
        <v>0</v>
      </c>
      <c r="J40" s="36">
        <f t="shared" si="9"/>
        <v>2.7555478455180943E-2</v>
      </c>
      <c r="K40" s="111">
        <f t="shared" si="10"/>
        <v>2.7317540512036196E-2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1"/>
        <v>0</v>
      </c>
      <c r="I41" s="117">
        <f t="shared" si="8"/>
        <v>0</v>
      </c>
      <c r="J41" s="117">
        <f t="shared" si="9"/>
        <v>2.9687919286195071E-2</v>
      </c>
      <c r="K41" s="118">
        <f t="shared" si="10"/>
        <v>2.9431567996098841E-2</v>
      </c>
    </row>
    <row r="42" spans="1:11" s="1" customFormat="1" x14ac:dyDescent="0.2">
      <c r="A42" s="37" t="s">
        <v>101</v>
      </c>
      <c r="B42" s="38"/>
      <c r="C42" s="39"/>
      <c r="D42" s="39">
        <f>SUM(D14,D25,D26,D27,D33,D40,D41)</f>
        <v>221.87823199999997</v>
      </c>
      <c r="E42" s="38"/>
      <c r="F42" s="39"/>
      <c r="G42" s="39">
        <f>SUM(G14,G25,G26,G27,G33,G40,G41)</f>
        <v>224.55823199999998</v>
      </c>
      <c r="H42" s="39">
        <f t="shared" si="1"/>
        <v>2.6800000000000068</v>
      </c>
      <c r="I42" s="40">
        <f t="shared" si="8"/>
        <v>1.2078697291945283E-2</v>
      </c>
      <c r="J42" s="40">
        <f t="shared" si="9"/>
        <v>0.95238095238095233</v>
      </c>
      <c r="K42" s="41"/>
    </row>
    <row r="43" spans="1:11" x14ac:dyDescent="0.2">
      <c r="A43" s="153" t="s">
        <v>102</v>
      </c>
      <c r="B43" s="43"/>
      <c r="C43" s="26">
        <v>0.13</v>
      </c>
      <c r="D43" s="26">
        <f>D42*C43</f>
        <v>28.844170159999997</v>
      </c>
      <c r="E43" s="26"/>
      <c r="F43" s="26">
        <f>C43</f>
        <v>0.13</v>
      </c>
      <c r="G43" s="26">
        <f>G42*F43</f>
        <v>29.192570159999999</v>
      </c>
      <c r="H43" s="26">
        <f t="shared" si="1"/>
        <v>0.3484000000000016</v>
      </c>
      <c r="I43" s="44">
        <f t="shared" si="8"/>
        <v>1.2078697291945308E-2</v>
      </c>
      <c r="J43" s="44">
        <f t="shared" si="9"/>
        <v>0.12380952380952381</v>
      </c>
      <c r="K43" s="45"/>
    </row>
    <row r="44" spans="1:11" s="1" customFormat="1" x14ac:dyDescent="0.2">
      <c r="A44" s="46" t="s">
        <v>103</v>
      </c>
      <c r="B44" s="24"/>
      <c r="C44" s="25"/>
      <c r="D44" s="25">
        <f>SUM(D42:D43)</f>
        <v>250.72240215999997</v>
      </c>
      <c r="E44" s="25"/>
      <c r="F44" s="25"/>
      <c r="G44" s="25">
        <f>SUM(G42:G43)</f>
        <v>253.75080215999998</v>
      </c>
      <c r="H44" s="25">
        <f t="shared" si="1"/>
        <v>3.0284000000000049</v>
      </c>
      <c r="I44" s="27">
        <f t="shared" si="8"/>
        <v>1.2078697291945271E-2</v>
      </c>
      <c r="J44" s="27">
        <f t="shared" si="9"/>
        <v>1.0761904761904761</v>
      </c>
      <c r="K44" s="47"/>
    </row>
    <row r="45" spans="1:11" x14ac:dyDescent="0.2">
      <c r="A45" s="42" t="s">
        <v>104</v>
      </c>
      <c r="B45" s="43"/>
      <c r="C45" s="26">
        <v>-0.08</v>
      </c>
      <c r="D45" s="26">
        <f>D42*C45</f>
        <v>-17.750258559999999</v>
      </c>
      <c r="E45" s="26"/>
      <c r="F45" s="26">
        <f>C45</f>
        <v>-0.08</v>
      </c>
      <c r="G45" s="26">
        <f>G42*F45</f>
        <v>-17.96465856</v>
      </c>
      <c r="H45" s="26">
        <f t="shared" si="1"/>
        <v>-0.21440000000000126</v>
      </c>
      <c r="I45" s="44">
        <f t="shared" si="8"/>
        <v>-1.2078697291945321E-2</v>
      </c>
      <c r="J45" s="44">
        <f t="shared" si="9"/>
        <v>-7.6190476190476197E-2</v>
      </c>
      <c r="K45" s="45"/>
    </row>
    <row r="46" spans="1:11" s="1" customFormat="1" ht="13.5" thickBot="1" x14ac:dyDescent="0.25">
      <c r="A46" s="48" t="s">
        <v>105</v>
      </c>
      <c r="B46" s="49"/>
      <c r="C46" s="50"/>
      <c r="D46" s="50">
        <f>SUM(D44:D45)</f>
        <v>232.97214359999998</v>
      </c>
      <c r="E46" s="50"/>
      <c r="F46" s="50"/>
      <c r="G46" s="50">
        <f>SUM(G44:G45)</f>
        <v>235.78614359999997</v>
      </c>
      <c r="H46" s="50">
        <f t="shared" si="1"/>
        <v>2.813999999999993</v>
      </c>
      <c r="I46" s="51">
        <f t="shared" si="8"/>
        <v>1.2078697291945221E-2</v>
      </c>
      <c r="J46" s="51">
        <f t="shared" si="9"/>
        <v>1</v>
      </c>
      <c r="K46" s="52"/>
    </row>
    <row r="47" spans="1:11" x14ac:dyDescent="0.2">
      <c r="A47" s="53" t="s">
        <v>106</v>
      </c>
      <c r="B47" s="54"/>
      <c r="C47" s="55"/>
      <c r="D47" s="55">
        <f>SUM(D18,D25,D26,D28,D33,D40,D41)</f>
        <v>223.83415199999996</v>
      </c>
      <c r="E47" s="55"/>
      <c r="F47" s="55"/>
      <c r="G47" s="55">
        <f>SUM(G18,G25,G26,G28,G33,G40,G41)</f>
        <v>226.51415199999997</v>
      </c>
      <c r="H47" s="55">
        <f>G47-D47</f>
        <v>2.6800000000000068</v>
      </c>
      <c r="I47" s="56">
        <f t="shared" si="8"/>
        <v>1.1973150549430042E-2</v>
      </c>
      <c r="J47" s="56"/>
      <c r="K47" s="57">
        <f>G47/$G$51</f>
        <v>0.95238095238095244</v>
      </c>
    </row>
    <row r="48" spans="1:11" x14ac:dyDescent="0.2">
      <c r="A48" s="154" t="s">
        <v>102</v>
      </c>
      <c r="B48" s="59"/>
      <c r="C48" s="31">
        <v>0.13</v>
      </c>
      <c r="D48" s="31">
        <f>D47*C48</f>
        <v>29.098439759999994</v>
      </c>
      <c r="E48" s="31"/>
      <c r="F48" s="31">
        <f>C48</f>
        <v>0.13</v>
      </c>
      <c r="G48" s="31">
        <f>G47*F48</f>
        <v>29.446839759999996</v>
      </c>
      <c r="H48" s="31">
        <f>G48-D48</f>
        <v>0.3484000000000016</v>
      </c>
      <c r="I48" s="32">
        <f t="shared" si="8"/>
        <v>1.1973150549430066E-2</v>
      </c>
      <c r="J48" s="32"/>
      <c r="K48" s="60">
        <f>G48/$G$51</f>
        <v>0.12380952380952381</v>
      </c>
    </row>
    <row r="49" spans="1:11" x14ac:dyDescent="0.2">
      <c r="A49" s="149" t="s">
        <v>107</v>
      </c>
      <c r="B49" s="29"/>
      <c r="C49" s="30"/>
      <c r="D49" s="30">
        <f>SUM(D47:D48)</f>
        <v>252.93259175999995</v>
      </c>
      <c r="E49" s="30"/>
      <c r="F49" s="30"/>
      <c r="G49" s="30">
        <f>SUM(G47:G48)</f>
        <v>255.96099175999996</v>
      </c>
      <c r="H49" s="30">
        <f>G49-D49</f>
        <v>3.0284000000000049</v>
      </c>
      <c r="I49" s="33">
        <f t="shared" si="8"/>
        <v>1.1973150549430029E-2</v>
      </c>
      <c r="J49" s="33"/>
      <c r="K49" s="62">
        <f>G49/$G$51</f>
        <v>1.0761904761904761</v>
      </c>
    </row>
    <row r="50" spans="1:11" x14ac:dyDescent="0.2">
      <c r="A50" s="58" t="s">
        <v>104</v>
      </c>
      <c r="B50" s="59"/>
      <c r="C50" s="31">
        <v>-0.08</v>
      </c>
      <c r="D50" s="31">
        <f>D47*C50</f>
        <v>-17.906732159999997</v>
      </c>
      <c r="E50" s="31"/>
      <c r="F50" s="31">
        <f>C50</f>
        <v>-0.08</v>
      </c>
      <c r="G50" s="31">
        <f>G47*F50</f>
        <v>-18.121132159999998</v>
      </c>
      <c r="H50" s="31">
        <f>G50-D50</f>
        <v>-0.21440000000000126</v>
      </c>
      <c r="I50" s="32">
        <f t="shared" si="8"/>
        <v>-1.197315054943008E-2</v>
      </c>
      <c r="J50" s="32"/>
      <c r="K50" s="60">
        <f>G50/$G$51</f>
        <v>-7.6190476190476197E-2</v>
      </c>
    </row>
    <row r="51" spans="1:11" ht="13.5" thickBot="1" x14ac:dyDescent="0.25">
      <c r="A51" s="63" t="s">
        <v>116</v>
      </c>
      <c r="B51" s="64"/>
      <c r="C51" s="65"/>
      <c r="D51" s="65">
        <f>SUM(D49:D50)</f>
        <v>235.02585959999996</v>
      </c>
      <c r="E51" s="65"/>
      <c r="F51" s="65"/>
      <c r="G51" s="65">
        <f>SUM(G49:G50)</f>
        <v>237.83985959999995</v>
      </c>
      <c r="H51" s="65">
        <f>G51-D51</f>
        <v>2.813999999999993</v>
      </c>
      <c r="I51" s="66">
        <f t="shared" si="8"/>
        <v>1.1973150549429981E-2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4"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1" tint="0.499984740745262"/>
    <pageSetUpPr fitToPage="1"/>
  </sheetPr>
  <dimension ref="A1:K68"/>
  <sheetViews>
    <sheetView tabSelected="1" view="pageLayout"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118</v>
      </c>
      <c r="B1" s="189"/>
      <c r="C1" s="189"/>
      <c r="D1" s="189"/>
      <c r="E1" s="189"/>
      <c r="F1" s="189"/>
      <c r="G1" s="189"/>
      <c r="H1" s="189"/>
      <c r="I1" s="189"/>
      <c r="J1" s="189"/>
      <c r="K1" s="190"/>
    </row>
    <row r="3" spans="1:11" x14ac:dyDescent="0.2">
      <c r="A3" s="13" t="s">
        <v>13</v>
      </c>
      <c r="B3" s="13" t="s">
        <v>4</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2192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0.15171161133266503</v>
      </c>
      <c r="K12" s="106"/>
    </row>
    <row r="13" spans="1:11" x14ac:dyDescent="0.2">
      <c r="A13" s="107" t="s">
        <v>32</v>
      </c>
      <c r="B13" s="73">
        <f>IF(B4&gt;B7,(B4)-B7,0)</f>
        <v>1250</v>
      </c>
      <c r="C13" s="21">
        <v>0.106</v>
      </c>
      <c r="D13" s="22">
        <f>B13*C13</f>
        <v>132.5</v>
      </c>
      <c r="E13" s="73">
        <f>B13</f>
        <v>1250</v>
      </c>
      <c r="F13" s="21">
        <f>C13</f>
        <v>0.106</v>
      </c>
      <c r="G13" s="22">
        <f>E13*F13</f>
        <v>132.5</v>
      </c>
      <c r="H13" s="22">
        <f t="shared" ref="H13:H46" si="1">G13-D13</f>
        <v>0</v>
      </c>
      <c r="I13" s="23">
        <f t="shared" si="0"/>
        <v>0</v>
      </c>
      <c r="J13" s="23">
        <f>G13/$G$46</f>
        <v>0.29453169965682224</v>
      </c>
      <c r="K13" s="108"/>
    </row>
    <row r="14" spans="1:11" s="1" customFormat="1" x14ac:dyDescent="0.2">
      <c r="A14" s="46" t="s">
        <v>33</v>
      </c>
      <c r="B14" s="24"/>
      <c r="C14" s="25"/>
      <c r="D14" s="25">
        <f>SUM(D12:D13)</f>
        <v>200.75</v>
      </c>
      <c r="E14" s="76"/>
      <c r="F14" s="25"/>
      <c r="G14" s="25">
        <f>SUM(G12:G13)</f>
        <v>200.75</v>
      </c>
      <c r="H14" s="25">
        <f t="shared" si="1"/>
        <v>0</v>
      </c>
      <c r="I14" s="27">
        <f t="shared" si="0"/>
        <v>0</v>
      </c>
      <c r="J14" s="27">
        <f>G14/$G$46</f>
        <v>0.44624331098948727</v>
      </c>
      <c r="K14" s="108"/>
    </row>
    <row r="15" spans="1:11" s="1" customFormat="1" x14ac:dyDescent="0.2">
      <c r="A15" s="109" t="s">
        <v>34</v>
      </c>
      <c r="B15" s="75">
        <f>B4*0.65</f>
        <v>1300</v>
      </c>
      <c r="C15" s="28">
        <v>7.6999999999999999E-2</v>
      </c>
      <c r="D15" s="22">
        <f>B15*C15</f>
        <v>100.1</v>
      </c>
      <c r="E15" s="73">
        <f t="shared" ref="E15:F17" si="2">B15</f>
        <v>1300</v>
      </c>
      <c r="F15" s="28">
        <f t="shared" si="2"/>
        <v>7.6999999999999999E-2</v>
      </c>
      <c r="G15" s="22">
        <f>E15*F15</f>
        <v>100.1</v>
      </c>
      <c r="H15" s="22">
        <f t="shared" si="1"/>
        <v>0</v>
      </c>
      <c r="I15" s="23">
        <f t="shared" si="0"/>
        <v>0</v>
      </c>
      <c r="J15" s="23"/>
      <c r="K15" s="108">
        <f t="shared" ref="K15:K26" si="3">G15/$G$51</f>
        <v>0.2263878085599339</v>
      </c>
    </row>
    <row r="16" spans="1:11" s="1" customFormat="1" x14ac:dyDescent="0.2">
      <c r="A16" s="109" t="s">
        <v>35</v>
      </c>
      <c r="B16" s="75">
        <f>B4*0.17</f>
        <v>340</v>
      </c>
      <c r="C16" s="28">
        <v>0.113</v>
      </c>
      <c r="D16" s="22">
        <f>B16*C16</f>
        <v>38.42</v>
      </c>
      <c r="E16" s="73">
        <f t="shared" si="2"/>
        <v>340</v>
      </c>
      <c r="F16" s="28">
        <f t="shared" si="2"/>
        <v>0.113</v>
      </c>
      <c r="G16" s="22">
        <f>E16*F16</f>
        <v>38.42</v>
      </c>
      <c r="H16" s="22">
        <f t="shared" si="1"/>
        <v>0</v>
      </c>
      <c r="I16" s="23">
        <f t="shared" si="0"/>
        <v>0</v>
      </c>
      <c r="J16" s="23"/>
      <c r="K16" s="108">
        <f t="shared" si="3"/>
        <v>8.6891304743982628E-2</v>
      </c>
    </row>
    <row r="17" spans="1:11" s="1" customFormat="1" x14ac:dyDescent="0.2">
      <c r="A17" s="109" t="s">
        <v>36</v>
      </c>
      <c r="B17" s="75">
        <f>B4*0.18</f>
        <v>360</v>
      </c>
      <c r="C17" s="28">
        <v>0.157</v>
      </c>
      <c r="D17" s="22">
        <f>B17*C17</f>
        <v>56.52</v>
      </c>
      <c r="E17" s="73">
        <f t="shared" si="2"/>
        <v>360</v>
      </c>
      <c r="F17" s="28">
        <f t="shared" si="2"/>
        <v>0.157</v>
      </c>
      <c r="G17" s="22">
        <f>E17*F17</f>
        <v>56.52</v>
      </c>
      <c r="H17" s="22">
        <f t="shared" si="1"/>
        <v>0</v>
      </c>
      <c r="I17" s="23">
        <f t="shared" si="0"/>
        <v>0</v>
      </c>
      <c r="J17" s="23"/>
      <c r="K17" s="108">
        <f t="shared" si="3"/>
        <v>0.12782656283523941</v>
      </c>
    </row>
    <row r="18" spans="1:11" s="1" customFormat="1" x14ac:dyDescent="0.2">
      <c r="A18" s="61" t="s">
        <v>37</v>
      </c>
      <c r="B18" s="29"/>
      <c r="C18" s="30"/>
      <c r="D18" s="30">
        <f>SUM(D15:D17)</f>
        <v>195.04</v>
      </c>
      <c r="E18" s="77"/>
      <c r="F18" s="30"/>
      <c r="G18" s="30">
        <f>SUM(G15:G17)</f>
        <v>195.04</v>
      </c>
      <c r="H18" s="31">
        <f t="shared" si="1"/>
        <v>0</v>
      </c>
      <c r="I18" s="32">
        <f t="shared" si="0"/>
        <v>0</v>
      </c>
      <c r="J18" s="33">
        <f t="shared" ref="J18:J23" si="4">G18/$G$46</f>
        <v>0.43355066189484232</v>
      </c>
      <c r="K18" s="62">
        <f t="shared" si="3"/>
        <v>0.44110567613915591</v>
      </c>
    </row>
    <row r="19" spans="1:11" x14ac:dyDescent="0.2">
      <c r="A19" s="107" t="s">
        <v>38</v>
      </c>
      <c r="B19" s="73">
        <v>1</v>
      </c>
      <c r="C19" s="121">
        <f>VLOOKUP($B$3,'Data for Bill Impacts'!$A$3:$Y$15,7,0)</f>
        <v>30.2</v>
      </c>
      <c r="D19" s="22">
        <f t="shared" ref="D19:D24" si="5">B19*C19</f>
        <v>30.2</v>
      </c>
      <c r="E19" s="73">
        <f t="shared" ref="E19:E41" si="6">B19</f>
        <v>1</v>
      </c>
      <c r="F19" s="78">
        <f>VLOOKUP($B$3,'Data for Bill Impacts'!$A$3:$Y$15,17,0)</f>
        <v>30.88</v>
      </c>
      <c r="G19" s="22">
        <f t="shared" ref="G19:G24" si="7">E19*F19</f>
        <v>30.88</v>
      </c>
      <c r="H19" s="22">
        <f t="shared" si="1"/>
        <v>0.67999999999999972</v>
      </c>
      <c r="I19" s="23">
        <f>IF(ISERROR(H19/ABS(D19)),"N/A",(H19/ABS(D19)))</f>
        <v>2.2516556291390721E-2</v>
      </c>
      <c r="J19" s="23">
        <f t="shared" si="4"/>
        <v>6.8642557625680528E-2</v>
      </c>
      <c r="K19" s="108">
        <f t="shared" si="3"/>
        <v>6.9838716566740844E-2</v>
      </c>
    </row>
    <row r="20" spans="1:11" hidden="1" x14ac:dyDescent="0.2">
      <c r="A20" s="107" t="s">
        <v>83</v>
      </c>
      <c r="B20" s="73">
        <v>1</v>
      </c>
      <c r="C20" s="78">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110</v>
      </c>
      <c r="B21" s="73">
        <v>1</v>
      </c>
      <c r="C21" s="78">
        <v>0</v>
      </c>
      <c r="D21" s="22">
        <f t="shared" si="5"/>
        <v>0</v>
      </c>
      <c r="E21" s="73">
        <f t="shared" si="6"/>
        <v>1</v>
      </c>
      <c r="F21" s="121">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2E-3</v>
      </c>
      <c r="D22" s="22">
        <f t="shared" si="5"/>
        <v>2E-3</v>
      </c>
      <c r="E22" s="73">
        <f t="shared" si="6"/>
        <v>1</v>
      </c>
      <c r="F22" s="121">
        <f>VLOOKUP($B$3,'Data for Bill Impacts'!$A$3:$Y$15,22,0)</f>
        <v>2E-3</v>
      </c>
      <c r="G22" s="22">
        <f t="shared" si="7"/>
        <v>2E-3</v>
      </c>
      <c r="H22" s="22">
        <f t="shared" si="1"/>
        <v>0</v>
      </c>
      <c r="I22" s="23">
        <f t="shared" ref="I22:I51" si="8">IF(ISERROR(H22/ABS(D22)),"N/A",(H22/ABS(D22)))</f>
        <v>0</v>
      </c>
      <c r="J22" s="23">
        <f t="shared" si="4"/>
        <v>4.445761504253921E-6</v>
      </c>
      <c r="K22" s="108">
        <f t="shared" si="3"/>
        <v>4.5232329382604177E-6</v>
      </c>
    </row>
    <row r="23" spans="1:11" x14ac:dyDescent="0.2">
      <c r="A23" s="107" t="s">
        <v>39</v>
      </c>
      <c r="B23" s="73">
        <f>IF($B$9="kWh",$B$4,$B$5)</f>
        <v>2000</v>
      </c>
      <c r="C23" s="78">
        <f>VLOOKUP($B$3,'Data for Bill Impacts'!$A$3:$Y$15,10,0)</f>
        <v>6.13E-2</v>
      </c>
      <c r="D23" s="22">
        <f t="shared" si="5"/>
        <v>122.6</v>
      </c>
      <c r="E23" s="73">
        <f t="shared" si="6"/>
        <v>2000</v>
      </c>
      <c r="F23" s="78">
        <f>VLOOKUP($B$3,'Data for Bill Impacts'!$A$3:$Y$15,19,0)</f>
        <v>6.3299999999999995E-2</v>
      </c>
      <c r="G23" s="22">
        <f t="shared" si="7"/>
        <v>126.6</v>
      </c>
      <c r="H23" s="22">
        <f t="shared" si="1"/>
        <v>4</v>
      </c>
      <c r="I23" s="23">
        <f t="shared" si="8"/>
        <v>3.2626427406199025E-2</v>
      </c>
      <c r="J23" s="23">
        <f t="shared" si="4"/>
        <v>0.28141670321927315</v>
      </c>
      <c r="K23" s="108">
        <f t="shared" si="3"/>
        <v>0.28632064499188442</v>
      </c>
    </row>
    <row r="24" spans="1:11" x14ac:dyDescent="0.2">
      <c r="A24" s="107" t="s">
        <v>121</v>
      </c>
      <c r="B24" s="73">
        <f>IF($B$9="kWh",$B$4,$B$5)</f>
        <v>2000</v>
      </c>
      <c r="C24" s="125">
        <f>VLOOKUP($B$3,'Data for Bill Impacts'!$A$3:$Y$15,14,0)</f>
        <v>2.0000000000000002E-5</v>
      </c>
      <c r="D24" s="22">
        <f t="shared" si="5"/>
        <v>0.04</v>
      </c>
      <c r="E24" s="73">
        <f t="shared" si="6"/>
        <v>2000</v>
      </c>
      <c r="F24" s="125">
        <f>VLOOKUP($B$3,'Data for Bill Impacts'!$A$3:$Y$15,23,0)</f>
        <v>2.0000000000000002E-5</v>
      </c>
      <c r="G24" s="22">
        <f t="shared" si="7"/>
        <v>0.04</v>
      </c>
      <c r="H24" s="22">
        <f t="shared" si="1"/>
        <v>0</v>
      </c>
      <c r="I24" s="23">
        <f t="shared" si="8"/>
        <v>0</v>
      </c>
      <c r="J24" s="23">
        <f>G24/$G$46</f>
        <v>8.8915230085078416E-5</v>
      </c>
      <c r="K24" s="108">
        <f t="shared" si="3"/>
        <v>9.0464658765208351E-5</v>
      </c>
    </row>
    <row r="25" spans="1:11" s="1" customFormat="1" x14ac:dyDescent="0.2">
      <c r="A25" s="110" t="s">
        <v>72</v>
      </c>
      <c r="B25" s="74"/>
      <c r="C25" s="35"/>
      <c r="D25" s="35">
        <f>SUM(D19:D24)</f>
        <v>152.84199999999998</v>
      </c>
      <c r="E25" s="73"/>
      <c r="F25" s="35"/>
      <c r="G25" s="35">
        <f>SUM(G19:G24)</f>
        <v>157.52199999999999</v>
      </c>
      <c r="H25" s="35">
        <f t="shared" si="1"/>
        <v>4.6800000000000068</v>
      </c>
      <c r="I25" s="36">
        <f t="shared" si="8"/>
        <v>3.0619855798798806E-2</v>
      </c>
      <c r="J25" s="36">
        <f>G25/$G$46</f>
        <v>0.350152621836543</v>
      </c>
      <c r="K25" s="111">
        <f t="shared" si="3"/>
        <v>0.35625434945032874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G26/$G$46</f>
        <v>1.7560757941802987E-3</v>
      </c>
      <c r="K26" s="108">
        <f t="shared" si="3"/>
        <v>1.7866770106128652E-3</v>
      </c>
    </row>
    <row r="27" spans="1:11" s="1" customFormat="1" x14ac:dyDescent="0.2">
      <c r="A27" s="119" t="s">
        <v>75</v>
      </c>
      <c r="B27" s="120">
        <f>B8-B4</f>
        <v>192</v>
      </c>
      <c r="C27" s="172">
        <f>IF(B4&gt;B7,C13,C12)</f>
        <v>0.106</v>
      </c>
      <c r="D27" s="22">
        <f>B27*C27</f>
        <v>20.352</v>
      </c>
      <c r="E27" s="73">
        <f>B27</f>
        <v>192</v>
      </c>
      <c r="F27" s="172">
        <f>C27</f>
        <v>0.106</v>
      </c>
      <c r="G27" s="22">
        <f>E27*F27</f>
        <v>20.352</v>
      </c>
      <c r="H27" s="22">
        <f t="shared" si="1"/>
        <v>0</v>
      </c>
      <c r="I27" s="23">
        <f t="shared" si="8"/>
        <v>0</v>
      </c>
      <c r="J27" s="23">
        <f t="shared" ref="J27:J46" si="9">G27/$G$46</f>
        <v>4.5240069067287898E-2</v>
      </c>
      <c r="K27" s="108">
        <f t="shared" ref="K27:K41" si="10">G27/$G$51</f>
        <v>4.6028418379738013E-2</v>
      </c>
    </row>
    <row r="28" spans="1:11" s="1" customFormat="1" x14ac:dyDescent="0.2">
      <c r="A28" s="119" t="s">
        <v>74</v>
      </c>
      <c r="B28" s="120">
        <f>B8-B4</f>
        <v>192</v>
      </c>
      <c r="C28" s="172">
        <f>0.65*C15+0.17*C16+0.18*C17</f>
        <v>9.7519999999999996E-2</v>
      </c>
      <c r="D28" s="22">
        <f>B28*C28</f>
        <v>18.723839999999999</v>
      </c>
      <c r="E28" s="73">
        <f>B28</f>
        <v>192</v>
      </c>
      <c r="F28" s="172">
        <f>C28</f>
        <v>9.7519999999999996E-2</v>
      </c>
      <c r="G28" s="22">
        <f>E28*F28</f>
        <v>18.723839999999999</v>
      </c>
      <c r="H28" s="22">
        <f t="shared" si="1"/>
        <v>0</v>
      </c>
      <c r="I28" s="23">
        <f t="shared" si="8"/>
        <v>0</v>
      </c>
      <c r="J28" s="23">
        <f t="shared" si="9"/>
        <v>4.1620863541904862E-2</v>
      </c>
      <c r="K28" s="108">
        <f t="shared" si="10"/>
        <v>4.2346144909358965E-2</v>
      </c>
    </row>
    <row r="29" spans="1:11" s="1" customFormat="1" x14ac:dyDescent="0.2">
      <c r="A29" s="110" t="s">
        <v>78</v>
      </c>
      <c r="B29" s="74"/>
      <c r="C29" s="35"/>
      <c r="D29" s="35">
        <f>SUM(D25,D26:D27)</f>
        <v>173.98399999999998</v>
      </c>
      <c r="E29" s="73"/>
      <c r="F29" s="35"/>
      <c r="G29" s="35">
        <f>SUM(G25,G26:G27)</f>
        <v>178.66399999999999</v>
      </c>
      <c r="H29" s="35">
        <f t="shared" si="1"/>
        <v>4.6800000000000068</v>
      </c>
      <c r="I29" s="36">
        <f t="shared" si="8"/>
        <v>2.6899025197719372E-2</v>
      </c>
      <c r="J29" s="36">
        <f t="shared" si="9"/>
        <v>0.39714876669801119</v>
      </c>
      <c r="K29" s="111">
        <f t="shared" si="10"/>
        <v>0.40406944484067958</v>
      </c>
    </row>
    <row r="30" spans="1:11" s="1" customFormat="1" x14ac:dyDescent="0.2">
      <c r="A30" s="110" t="s">
        <v>77</v>
      </c>
      <c r="B30" s="74"/>
      <c r="C30" s="35"/>
      <c r="D30" s="35">
        <f>SUM(D25,D26,D28)</f>
        <v>172.35583999999997</v>
      </c>
      <c r="E30" s="73"/>
      <c r="F30" s="35"/>
      <c r="G30" s="35">
        <f>SUM(G25,G26,G28)</f>
        <v>177.03583999999998</v>
      </c>
      <c r="H30" s="35">
        <f t="shared" si="1"/>
        <v>4.6800000000000068</v>
      </c>
      <c r="I30" s="36">
        <f t="shared" si="8"/>
        <v>2.7153126926247509E-2</v>
      </c>
      <c r="J30" s="36">
        <f t="shared" si="9"/>
        <v>0.39352956117262816</v>
      </c>
      <c r="K30" s="111">
        <f t="shared" si="10"/>
        <v>0.40038717137030055</v>
      </c>
    </row>
    <row r="31" spans="1:11" x14ac:dyDescent="0.2">
      <c r="A31" s="107" t="s">
        <v>40</v>
      </c>
      <c r="B31" s="73">
        <f>B8</f>
        <v>2192</v>
      </c>
      <c r="C31" s="125">
        <f>VLOOKUP($B$3,'Data for Bill Impacts'!$A$3:$Y$15,15,0)</f>
        <v>5.6930000000000001E-3</v>
      </c>
      <c r="D31" s="22">
        <f>B31*C31</f>
        <v>12.479056</v>
      </c>
      <c r="E31" s="73">
        <f t="shared" si="6"/>
        <v>2192</v>
      </c>
      <c r="F31" s="125">
        <f>VLOOKUP($B$3,'Data for Bill Impacts'!$A$3:$Y$15,24,0)</f>
        <v>5.6930000000000001E-3</v>
      </c>
      <c r="G31" s="22">
        <f>E31*F31</f>
        <v>12.479056</v>
      </c>
      <c r="H31" s="22">
        <f t="shared" si="1"/>
        <v>0</v>
      </c>
      <c r="I31" s="23">
        <f t="shared" si="8"/>
        <v>0</v>
      </c>
      <c r="J31" s="23">
        <f t="shared" si="9"/>
        <v>2.7739453387114456E-2</v>
      </c>
      <c r="K31" s="108">
        <f t="shared" si="10"/>
        <v>2.8222838568798148E-2</v>
      </c>
    </row>
    <row r="32" spans="1:11" x14ac:dyDescent="0.2">
      <c r="A32" s="107" t="s">
        <v>41</v>
      </c>
      <c r="B32" s="73">
        <f>B8</f>
        <v>2192</v>
      </c>
      <c r="C32" s="125">
        <f>VLOOKUP($B$3,'Data for Bill Impacts'!$A$3:$Y$15,16,0)</f>
        <v>4.4740000000000005E-3</v>
      </c>
      <c r="D32" s="22">
        <f>B32*C32</f>
        <v>9.8070080000000015</v>
      </c>
      <c r="E32" s="73">
        <f t="shared" si="6"/>
        <v>2192</v>
      </c>
      <c r="F32" s="125">
        <f>VLOOKUP($B$3,'Data for Bill Impacts'!$A$3:$Y$15,25,0)</f>
        <v>4.4740000000000005E-3</v>
      </c>
      <c r="G32" s="22">
        <f>E32*F32</f>
        <v>9.8070080000000015</v>
      </c>
      <c r="H32" s="22">
        <f t="shared" si="1"/>
        <v>0</v>
      </c>
      <c r="I32" s="23">
        <f t="shared" si="8"/>
        <v>0</v>
      </c>
      <c r="J32" s="23">
        <f t="shared" si="9"/>
        <v>2.1799809319155119E-2</v>
      </c>
      <c r="K32" s="108">
        <f t="shared" si="10"/>
        <v>2.2179690805691713E-2</v>
      </c>
    </row>
    <row r="33" spans="1:11" s="1" customFormat="1" x14ac:dyDescent="0.2">
      <c r="A33" s="110" t="s">
        <v>76</v>
      </c>
      <c r="B33" s="74"/>
      <c r="C33" s="35"/>
      <c r="D33" s="35">
        <f>SUM(D31:D32)</f>
        <v>22.286064000000003</v>
      </c>
      <c r="E33" s="73"/>
      <c r="F33" s="35"/>
      <c r="G33" s="35">
        <f>SUM(G31:G32)</f>
        <v>22.286064000000003</v>
      </c>
      <c r="H33" s="35">
        <f t="shared" si="1"/>
        <v>0</v>
      </c>
      <c r="I33" s="36">
        <f t="shared" si="8"/>
        <v>0</v>
      </c>
      <c r="J33" s="36">
        <f t="shared" si="9"/>
        <v>4.9539262706269578E-2</v>
      </c>
      <c r="K33" s="111">
        <f t="shared" si="10"/>
        <v>5.0402529374489864E-2</v>
      </c>
    </row>
    <row r="34" spans="1:11" s="1" customFormat="1" x14ac:dyDescent="0.2">
      <c r="A34" s="110" t="s">
        <v>91</v>
      </c>
      <c r="B34" s="74"/>
      <c r="C34" s="35"/>
      <c r="D34" s="35">
        <f>D29+D33</f>
        <v>196.27006399999999</v>
      </c>
      <c r="E34" s="73"/>
      <c r="F34" s="35"/>
      <c r="G34" s="35">
        <f>G29+G33</f>
        <v>200.950064</v>
      </c>
      <c r="H34" s="35">
        <f t="shared" si="1"/>
        <v>4.6800000000000068</v>
      </c>
      <c r="I34" s="36">
        <f t="shared" si="8"/>
        <v>2.384469594914896E-2</v>
      </c>
      <c r="J34" s="36">
        <f t="shared" si="9"/>
        <v>0.44668802940428082</v>
      </c>
      <c r="K34" s="111">
        <f t="shared" si="10"/>
        <v>0.45447197421516949</v>
      </c>
    </row>
    <row r="35" spans="1:11" s="1" customFormat="1" x14ac:dyDescent="0.2">
      <c r="A35" s="110" t="s">
        <v>92</v>
      </c>
      <c r="B35" s="74"/>
      <c r="C35" s="35"/>
      <c r="D35" s="35">
        <f>D30+D33</f>
        <v>194.64190399999998</v>
      </c>
      <c r="E35" s="73"/>
      <c r="F35" s="35"/>
      <c r="G35" s="35">
        <f>G30+G33</f>
        <v>199.32190399999999</v>
      </c>
      <c r="H35" s="35">
        <f t="shared" si="1"/>
        <v>4.6800000000000068</v>
      </c>
      <c r="I35" s="36">
        <f t="shared" si="8"/>
        <v>2.4044154438604377E-2</v>
      </c>
      <c r="J35" s="36">
        <f t="shared" si="9"/>
        <v>0.44306882387889773</v>
      </c>
      <c r="K35" s="111">
        <f t="shared" si="10"/>
        <v>0.45078970074479041</v>
      </c>
    </row>
    <row r="36" spans="1:11" x14ac:dyDescent="0.2">
      <c r="A36" s="107" t="s">
        <v>42</v>
      </c>
      <c r="B36" s="73">
        <f>B8</f>
        <v>2192</v>
      </c>
      <c r="C36" s="34">
        <v>3.5999999999999999E-3</v>
      </c>
      <c r="D36" s="22">
        <f>B36*C36</f>
        <v>7.8911999999999995</v>
      </c>
      <c r="E36" s="73">
        <f t="shared" si="6"/>
        <v>2192</v>
      </c>
      <c r="F36" s="34">
        <v>3.5999999999999999E-3</v>
      </c>
      <c r="G36" s="22">
        <f>E36*F36</f>
        <v>7.8911999999999995</v>
      </c>
      <c r="H36" s="22">
        <f t="shared" si="1"/>
        <v>0</v>
      </c>
      <c r="I36" s="23">
        <f t="shared" si="8"/>
        <v>0</v>
      </c>
      <c r="J36" s="23">
        <f t="shared" si="9"/>
        <v>1.7541196591184267E-2</v>
      </c>
      <c r="K36" s="108">
        <f t="shared" si="10"/>
        <v>1.7846867881200303E-2</v>
      </c>
    </row>
    <row r="37" spans="1:11" x14ac:dyDescent="0.2">
      <c r="A37" s="107" t="s">
        <v>43</v>
      </c>
      <c r="B37" s="73">
        <f>B8</f>
        <v>2192</v>
      </c>
      <c r="C37" s="34">
        <v>2.0999999999999999E-3</v>
      </c>
      <c r="D37" s="22">
        <f>B37*C37</f>
        <v>4.6031999999999993</v>
      </c>
      <c r="E37" s="73">
        <f t="shared" si="6"/>
        <v>2192</v>
      </c>
      <c r="F37" s="34">
        <v>2.0999999999999999E-3</v>
      </c>
      <c r="G37" s="22">
        <f>E37*F37</f>
        <v>4.6031999999999993</v>
      </c>
      <c r="H37" s="22">
        <f>G37-D37</f>
        <v>0</v>
      </c>
      <c r="I37" s="23">
        <f t="shared" si="8"/>
        <v>0</v>
      </c>
      <c r="J37" s="23">
        <f t="shared" si="9"/>
        <v>1.0232364678190822E-2</v>
      </c>
      <c r="K37" s="108">
        <f t="shared" si="10"/>
        <v>1.0410672930700176E-2</v>
      </c>
    </row>
    <row r="38" spans="1:11" x14ac:dyDescent="0.2">
      <c r="A38" s="107" t="s">
        <v>96</v>
      </c>
      <c r="B38" s="73">
        <f>B8</f>
        <v>2192</v>
      </c>
      <c r="C38" s="34">
        <v>0</v>
      </c>
      <c r="D38" s="22">
        <f>B38*C38</f>
        <v>0</v>
      </c>
      <c r="E38" s="73">
        <f t="shared" si="6"/>
        <v>2192</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5.5572018803174013E-4</v>
      </c>
      <c r="K39" s="108">
        <f t="shared" si="10"/>
        <v>5.654041172825522E-4</v>
      </c>
    </row>
    <row r="40" spans="1:11" s="1" customFormat="1" x14ac:dyDescent="0.2">
      <c r="A40" s="110" t="s">
        <v>45</v>
      </c>
      <c r="B40" s="74"/>
      <c r="C40" s="35"/>
      <c r="D40" s="35">
        <f>SUM(D36:D39)</f>
        <v>12.744399999999999</v>
      </c>
      <c r="E40" s="73"/>
      <c r="F40" s="35"/>
      <c r="G40" s="35">
        <f>SUM(G36:G39)</f>
        <v>12.744399999999999</v>
      </c>
      <c r="H40" s="35">
        <f t="shared" si="1"/>
        <v>0</v>
      </c>
      <c r="I40" s="36">
        <f t="shared" si="8"/>
        <v>0</v>
      </c>
      <c r="J40" s="36">
        <f t="shared" si="9"/>
        <v>2.8329281457406829E-2</v>
      </c>
      <c r="K40" s="111">
        <f t="shared" si="10"/>
        <v>2.8822944929183032E-2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1"/>
        <v>0</v>
      </c>
      <c r="I41" s="117">
        <f t="shared" si="8"/>
        <v>0</v>
      </c>
      <c r="J41" s="117">
        <f t="shared" si="9"/>
        <v>3.1120330529777446E-2</v>
      </c>
      <c r="K41" s="118">
        <f t="shared" si="10"/>
        <v>3.1662630567822925E-2</v>
      </c>
    </row>
    <row r="42" spans="1:11" s="1" customFormat="1" x14ac:dyDescent="0.2">
      <c r="A42" s="37" t="s">
        <v>101</v>
      </c>
      <c r="B42" s="38"/>
      <c r="C42" s="39"/>
      <c r="D42" s="39">
        <f>SUM(D14,D25,D26,D27,D33,D40,D41)</f>
        <v>423.76446399999998</v>
      </c>
      <c r="E42" s="38"/>
      <c r="F42" s="39"/>
      <c r="G42" s="39">
        <f>SUM(G14,G25,G26,G27,G33,G40,G41)</f>
        <v>428.44446399999998</v>
      </c>
      <c r="H42" s="39">
        <f t="shared" si="1"/>
        <v>4.6800000000000068</v>
      </c>
      <c r="I42" s="40">
        <f t="shared" si="8"/>
        <v>1.1043870823486528E-2</v>
      </c>
      <c r="J42" s="40">
        <f t="shared" si="9"/>
        <v>0.95238095238095233</v>
      </c>
      <c r="K42" s="41"/>
    </row>
    <row r="43" spans="1:11" x14ac:dyDescent="0.2">
      <c r="A43" s="153" t="s">
        <v>102</v>
      </c>
      <c r="B43" s="43"/>
      <c r="C43" s="26">
        <v>0.13</v>
      </c>
      <c r="D43" s="26">
        <f>D42*C43</f>
        <v>55.089380319999997</v>
      </c>
      <c r="E43" s="26"/>
      <c r="F43" s="26">
        <f>C43</f>
        <v>0.13</v>
      </c>
      <c r="G43" s="26">
        <f>G42*F43</f>
        <v>55.69778032</v>
      </c>
      <c r="H43" s="26">
        <f t="shared" si="1"/>
        <v>0.60840000000000316</v>
      </c>
      <c r="I43" s="44">
        <f t="shared" si="8"/>
        <v>1.104387082348657E-2</v>
      </c>
      <c r="J43" s="44">
        <f t="shared" si="9"/>
        <v>0.12380952380952381</v>
      </c>
      <c r="K43" s="45"/>
    </row>
    <row r="44" spans="1:11" s="1" customFormat="1" x14ac:dyDescent="0.2">
      <c r="A44" s="46" t="s">
        <v>103</v>
      </c>
      <c r="B44" s="24"/>
      <c r="C44" s="25"/>
      <c r="D44" s="25">
        <f>SUM(D42:D43)</f>
        <v>478.85384431999995</v>
      </c>
      <c r="E44" s="25"/>
      <c r="F44" s="25"/>
      <c r="G44" s="25">
        <f>SUM(G42:G43)</f>
        <v>484.14224431999997</v>
      </c>
      <c r="H44" s="25">
        <f t="shared" si="1"/>
        <v>5.2884000000000242</v>
      </c>
      <c r="I44" s="27">
        <f t="shared" si="8"/>
        <v>1.1043870823486563E-2</v>
      </c>
      <c r="J44" s="27">
        <f t="shared" si="9"/>
        <v>1.0761904761904761</v>
      </c>
      <c r="K44" s="47"/>
    </row>
    <row r="45" spans="1:11" x14ac:dyDescent="0.2">
      <c r="A45" s="42" t="s">
        <v>104</v>
      </c>
      <c r="B45" s="43"/>
      <c r="C45" s="26">
        <v>-0.08</v>
      </c>
      <c r="D45" s="26">
        <f>D42*C45</f>
        <v>-33.901157120000001</v>
      </c>
      <c r="E45" s="26"/>
      <c r="F45" s="26">
        <f>C45</f>
        <v>-0.08</v>
      </c>
      <c r="G45" s="26">
        <f>G42*F45</f>
        <v>-34.275557120000002</v>
      </c>
      <c r="H45" s="26">
        <f t="shared" si="1"/>
        <v>-0.3744000000000014</v>
      </c>
      <c r="I45" s="44">
        <f t="shared" si="8"/>
        <v>-1.1043870823486552E-2</v>
      </c>
      <c r="J45" s="44">
        <f t="shared" si="9"/>
        <v>-7.6190476190476197E-2</v>
      </c>
      <c r="K45" s="45"/>
    </row>
    <row r="46" spans="1:11" s="1" customFormat="1" ht="13.5" thickBot="1" x14ac:dyDescent="0.25">
      <c r="A46" s="48" t="s">
        <v>105</v>
      </c>
      <c r="B46" s="49"/>
      <c r="C46" s="50"/>
      <c r="D46" s="50">
        <f>SUM(D44:D45)</f>
        <v>444.95268719999996</v>
      </c>
      <c r="E46" s="50"/>
      <c r="F46" s="50"/>
      <c r="G46" s="50">
        <f>SUM(G44:G45)</f>
        <v>449.8666872</v>
      </c>
      <c r="H46" s="50">
        <f t="shared" si="1"/>
        <v>4.9140000000000441</v>
      </c>
      <c r="I46" s="51">
        <f t="shared" si="8"/>
        <v>1.1043870823486611E-2</v>
      </c>
      <c r="J46" s="51">
        <f t="shared" si="9"/>
        <v>1</v>
      </c>
      <c r="K46" s="52"/>
    </row>
    <row r="47" spans="1:11" x14ac:dyDescent="0.2">
      <c r="A47" s="53" t="s">
        <v>106</v>
      </c>
      <c r="B47" s="54"/>
      <c r="C47" s="55"/>
      <c r="D47" s="55">
        <f>SUM(D18,D25,D26,D28,D33,D40,D41)</f>
        <v>416.42630399999996</v>
      </c>
      <c r="E47" s="55"/>
      <c r="F47" s="55"/>
      <c r="G47" s="55">
        <f>SUM(G18,G25,G26,G28,G33,G40,G41)</f>
        <v>421.10630400000002</v>
      </c>
      <c r="H47" s="55">
        <f>G47-D47</f>
        <v>4.6800000000000637</v>
      </c>
      <c r="I47" s="56">
        <f t="shared" si="8"/>
        <v>1.123848314826929E-2</v>
      </c>
      <c r="J47" s="56"/>
      <c r="K47" s="57">
        <f>G47/$G$51</f>
        <v>0.95238095238095244</v>
      </c>
    </row>
    <row r="48" spans="1:11" x14ac:dyDescent="0.2">
      <c r="A48" s="58" t="s">
        <v>102</v>
      </c>
      <c r="B48" s="59"/>
      <c r="C48" s="31">
        <v>0.13</v>
      </c>
      <c r="D48" s="31">
        <f>D47*C48</f>
        <v>54.135419519999999</v>
      </c>
      <c r="E48" s="31"/>
      <c r="F48" s="31">
        <f>C48</f>
        <v>0.13</v>
      </c>
      <c r="G48" s="31">
        <f>G47*F48</f>
        <v>54.743819520000002</v>
      </c>
      <c r="H48" s="31">
        <f>G48-D48</f>
        <v>0.60840000000000316</v>
      </c>
      <c r="I48" s="32">
        <f t="shared" si="8"/>
        <v>1.1238483148269194E-2</v>
      </c>
      <c r="J48" s="32"/>
      <c r="K48" s="60">
        <f>G48/$G$51</f>
        <v>0.12380952380952381</v>
      </c>
    </row>
    <row r="49" spans="1:11" x14ac:dyDescent="0.2">
      <c r="A49" s="149" t="s">
        <v>107</v>
      </c>
      <c r="B49" s="29"/>
      <c r="C49" s="30"/>
      <c r="D49" s="30">
        <f>SUM(D47:D48)</f>
        <v>470.56172351999999</v>
      </c>
      <c r="E49" s="30"/>
      <c r="F49" s="30"/>
      <c r="G49" s="30">
        <f>SUM(G47:G48)</f>
        <v>475.85012352000001</v>
      </c>
      <c r="H49" s="30">
        <f>G49-D49</f>
        <v>5.2884000000000242</v>
      </c>
      <c r="I49" s="33">
        <f t="shared" si="8"/>
        <v>1.1238483148269187E-2</v>
      </c>
      <c r="J49" s="33"/>
      <c r="K49" s="62">
        <f>G49/$G$51</f>
        <v>1.0761904761904761</v>
      </c>
    </row>
    <row r="50" spans="1:11" x14ac:dyDescent="0.2">
      <c r="A50" s="58" t="s">
        <v>104</v>
      </c>
      <c r="B50" s="59"/>
      <c r="C50" s="31">
        <v>-0.08</v>
      </c>
      <c r="D50" s="31">
        <f>D47*C50</f>
        <v>-33.314104319999998</v>
      </c>
      <c r="E50" s="31"/>
      <c r="F50" s="31">
        <f>C50</f>
        <v>-0.08</v>
      </c>
      <c r="G50" s="31">
        <f>G47*F50</f>
        <v>-33.68850432</v>
      </c>
      <c r="H50" s="31">
        <f>G50-D50</f>
        <v>-0.3744000000000014</v>
      </c>
      <c r="I50" s="32">
        <f t="shared" si="8"/>
        <v>-1.1238483148269177E-2</v>
      </c>
      <c r="J50" s="32"/>
      <c r="K50" s="60">
        <f>G50/$G$51</f>
        <v>-7.6190476190476183E-2</v>
      </c>
    </row>
    <row r="51" spans="1:11" ht="13.5" thickBot="1" x14ac:dyDescent="0.25">
      <c r="A51" s="63" t="s">
        <v>116</v>
      </c>
      <c r="B51" s="64"/>
      <c r="C51" s="65"/>
      <c r="D51" s="65">
        <f>SUM(D49:D50)</f>
        <v>437.24761919999997</v>
      </c>
      <c r="E51" s="65"/>
      <c r="F51" s="65"/>
      <c r="G51" s="65">
        <f>SUM(G49:G50)</f>
        <v>442.16161920000002</v>
      </c>
      <c r="H51" s="65">
        <f>G51-D51</f>
        <v>4.9140000000000441</v>
      </c>
      <c r="I51" s="66">
        <f t="shared" si="8"/>
        <v>1.1238483148269238E-2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4"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1" tint="0.499984740745262"/>
    <pageSetUpPr fitToPage="1"/>
  </sheetPr>
  <dimension ref="A1:K68"/>
  <sheetViews>
    <sheetView tabSelected="1" view="pageLayout" topLeftCell="A19"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119</v>
      </c>
      <c r="B1" s="189"/>
      <c r="C1" s="189"/>
      <c r="D1" s="189"/>
      <c r="E1" s="189"/>
      <c r="F1" s="189"/>
      <c r="G1" s="189"/>
      <c r="H1" s="189"/>
      <c r="I1" s="189"/>
      <c r="J1" s="189"/>
      <c r="K1" s="190"/>
    </row>
    <row r="3" spans="1:11" x14ac:dyDescent="0.2">
      <c r="A3" s="13" t="s">
        <v>13</v>
      </c>
      <c r="B3" s="13" t="s">
        <v>4</v>
      </c>
    </row>
    <row r="4" spans="1:11" x14ac:dyDescent="0.2">
      <c r="A4" s="15" t="s">
        <v>62</v>
      </c>
      <c r="B4" s="167">
        <f>VLOOKUP(B3,'Data for Bill Impacts'!A19:D32,3,FALSE)</f>
        <v>1982</v>
      </c>
    </row>
    <row r="5" spans="1:11" x14ac:dyDescent="0.2">
      <c r="A5" s="15" t="s">
        <v>16</v>
      </c>
      <c r="B5" s="167">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67">
        <f>B4*B6</f>
        <v>2172.2720000000004</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0.15302236407944347</v>
      </c>
      <c r="K12" s="106"/>
    </row>
    <row r="13" spans="1:11" x14ac:dyDescent="0.2">
      <c r="A13" s="107" t="s">
        <v>32</v>
      </c>
      <c r="B13" s="73">
        <f>IF(B4&gt;B7,(B4)-B7,0)</f>
        <v>1232</v>
      </c>
      <c r="C13" s="21">
        <v>0.106</v>
      </c>
      <c r="D13" s="22">
        <f>B13*C13</f>
        <v>130.59199999999998</v>
      </c>
      <c r="E13" s="73">
        <f>B13</f>
        <v>1232</v>
      </c>
      <c r="F13" s="21">
        <f>C13</f>
        <v>0.106</v>
      </c>
      <c r="G13" s="22">
        <f>E13*F13</f>
        <v>130.59199999999998</v>
      </c>
      <c r="H13" s="22">
        <f t="shared" ref="H13:H46" si="1">G13-D13</f>
        <v>0</v>
      </c>
      <c r="I13" s="23">
        <f t="shared" si="0"/>
        <v>0</v>
      </c>
      <c r="J13" s="23">
        <f>G13/$G$46</f>
        <v>0.29279848454011254</v>
      </c>
      <c r="K13" s="108"/>
    </row>
    <row r="14" spans="1:11" s="1" customFormat="1" x14ac:dyDescent="0.2">
      <c r="A14" s="46" t="s">
        <v>33</v>
      </c>
      <c r="B14" s="24"/>
      <c r="C14" s="25"/>
      <c r="D14" s="25">
        <f>SUM(D12:D13)</f>
        <v>198.84199999999998</v>
      </c>
      <c r="E14" s="76"/>
      <c r="F14" s="25"/>
      <c r="G14" s="25">
        <f>SUM(G12:G13)</f>
        <v>198.84199999999998</v>
      </c>
      <c r="H14" s="25">
        <f t="shared" si="1"/>
        <v>0</v>
      </c>
      <c r="I14" s="27">
        <f t="shared" si="0"/>
        <v>0</v>
      </c>
      <c r="J14" s="27">
        <f>G14/$G$46</f>
        <v>0.44582084861955601</v>
      </c>
      <c r="K14" s="108"/>
    </row>
    <row r="15" spans="1:11" s="1" customFormat="1" x14ac:dyDescent="0.2">
      <c r="A15" s="109" t="s">
        <v>34</v>
      </c>
      <c r="B15" s="75">
        <f>B4*0.65</f>
        <v>1288.3</v>
      </c>
      <c r="C15" s="28">
        <v>7.6999999999999999E-2</v>
      </c>
      <c r="D15" s="22">
        <f>B15*C15</f>
        <v>99.199100000000001</v>
      </c>
      <c r="E15" s="73">
        <f t="shared" ref="E15:F17" si="2">B15</f>
        <v>1288.3</v>
      </c>
      <c r="F15" s="28">
        <f t="shared" si="2"/>
        <v>7.6999999999999999E-2</v>
      </c>
      <c r="G15" s="22">
        <f>E15*F15</f>
        <v>99.199100000000001</v>
      </c>
      <c r="H15" s="22">
        <f t="shared" si="1"/>
        <v>0</v>
      </c>
      <c r="I15" s="23">
        <f t="shared" si="0"/>
        <v>0</v>
      </c>
      <c r="J15" s="23"/>
      <c r="K15" s="108">
        <f t="shared" ref="K15:K26" si="3">G15/$G$51</f>
        <v>0.22623206096203505</v>
      </c>
    </row>
    <row r="16" spans="1:11" s="1" customFormat="1" x14ac:dyDescent="0.2">
      <c r="A16" s="109" t="s">
        <v>35</v>
      </c>
      <c r="B16" s="75">
        <f>B4*0.17</f>
        <v>336.94</v>
      </c>
      <c r="C16" s="28">
        <v>0.113</v>
      </c>
      <c r="D16" s="22">
        <f>B16*C16</f>
        <v>38.074220000000004</v>
      </c>
      <c r="E16" s="73">
        <f t="shared" si="2"/>
        <v>336.94</v>
      </c>
      <c r="F16" s="28">
        <f t="shared" si="2"/>
        <v>0.113</v>
      </c>
      <c r="G16" s="22">
        <f>E16*F16</f>
        <v>38.074220000000004</v>
      </c>
      <c r="H16" s="22">
        <f t="shared" si="1"/>
        <v>0</v>
      </c>
      <c r="I16" s="23">
        <f t="shared" si="0"/>
        <v>0</v>
      </c>
      <c r="J16" s="23"/>
      <c r="K16" s="108">
        <f t="shared" si="3"/>
        <v>8.6831526295318553E-2</v>
      </c>
    </row>
    <row r="17" spans="1:11" s="1" customFormat="1" x14ac:dyDescent="0.2">
      <c r="A17" s="109" t="s">
        <v>36</v>
      </c>
      <c r="B17" s="75">
        <f>B4*0.18</f>
        <v>356.76</v>
      </c>
      <c r="C17" s="28">
        <v>0.157</v>
      </c>
      <c r="D17" s="22">
        <f>B17*C17</f>
        <v>56.011319999999998</v>
      </c>
      <c r="E17" s="73">
        <f t="shared" si="2"/>
        <v>356.76</v>
      </c>
      <c r="F17" s="28">
        <f t="shared" si="2"/>
        <v>0.157</v>
      </c>
      <c r="G17" s="22">
        <f>E17*F17</f>
        <v>56.011319999999998</v>
      </c>
      <c r="H17" s="22">
        <f t="shared" si="1"/>
        <v>0</v>
      </c>
      <c r="I17" s="23">
        <f t="shared" si="0"/>
        <v>0</v>
      </c>
      <c r="J17" s="23"/>
      <c r="K17" s="108">
        <f t="shared" si="3"/>
        <v>0.12773862223350871</v>
      </c>
    </row>
    <row r="18" spans="1:11" s="1" customFormat="1" x14ac:dyDescent="0.2">
      <c r="A18" s="61" t="s">
        <v>37</v>
      </c>
      <c r="B18" s="29"/>
      <c r="C18" s="30"/>
      <c r="D18" s="30">
        <f>SUM(D15:D17)</f>
        <v>193.28464000000002</v>
      </c>
      <c r="E18" s="77"/>
      <c r="F18" s="30"/>
      <c r="G18" s="30">
        <f>SUM(G15:G17)</f>
        <v>193.28464000000002</v>
      </c>
      <c r="H18" s="31">
        <f t="shared" si="1"/>
        <v>0</v>
      </c>
      <c r="I18" s="32">
        <f t="shared" si="0"/>
        <v>0</v>
      </c>
      <c r="J18" s="33">
        <f t="shared" ref="J18:J23" si="4">G18/$G$46</f>
        <v>0.43336077000797313</v>
      </c>
      <c r="K18" s="62">
        <f t="shared" si="3"/>
        <v>0.44080220949086235</v>
      </c>
    </row>
    <row r="19" spans="1:11" x14ac:dyDescent="0.2">
      <c r="A19" s="107" t="s">
        <v>38</v>
      </c>
      <c r="B19" s="73">
        <v>1</v>
      </c>
      <c r="C19" s="121">
        <f>VLOOKUP($B$3,'Data for Bill Impacts'!$A$3:$Y$15,7,0)</f>
        <v>30.2</v>
      </c>
      <c r="D19" s="22">
        <f t="shared" ref="D19:D24" si="5">B19*C19</f>
        <v>30.2</v>
      </c>
      <c r="E19" s="73">
        <f t="shared" ref="E19:E41" si="6">B19</f>
        <v>1</v>
      </c>
      <c r="F19" s="78">
        <f>VLOOKUP($B$3,'Data for Bill Impacts'!$A$3:$Y$15,17,0)</f>
        <v>30.88</v>
      </c>
      <c r="G19" s="22">
        <f t="shared" ref="G19:G24" si="7">E19*F19</f>
        <v>30.88</v>
      </c>
      <c r="H19" s="22">
        <f t="shared" si="1"/>
        <v>0.67999999999999972</v>
      </c>
      <c r="I19" s="23">
        <f>IF(ISERROR(H19/ABS(D19)),"N/A",(H19/ABS(D19)))</f>
        <v>2.2516556291390721E-2</v>
      </c>
      <c r="J19" s="23">
        <f t="shared" si="4"/>
        <v>6.9235613227446369E-2</v>
      </c>
      <c r="K19" s="108">
        <f t="shared" si="3"/>
        <v>7.0424490166822507E-2</v>
      </c>
    </row>
    <row r="20" spans="1:11" hidden="1" x14ac:dyDescent="0.2">
      <c r="A20" s="107" t="s">
        <v>83</v>
      </c>
      <c r="B20" s="73">
        <v>1</v>
      </c>
      <c r="C20" s="78">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110</v>
      </c>
      <c r="B21" s="73">
        <v>1</v>
      </c>
      <c r="C21" s="78">
        <v>0</v>
      </c>
      <c r="D21" s="22">
        <f t="shared" si="5"/>
        <v>0</v>
      </c>
      <c r="E21" s="73">
        <f t="shared" si="6"/>
        <v>1</v>
      </c>
      <c r="F21" s="121">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2E-3</v>
      </c>
      <c r="D22" s="22">
        <f t="shared" si="5"/>
        <v>2E-3</v>
      </c>
      <c r="E22" s="73">
        <f t="shared" si="6"/>
        <v>1</v>
      </c>
      <c r="F22" s="121">
        <f>VLOOKUP($B$3,'Data for Bill Impacts'!$A$3:$Y$15,22,0)</f>
        <v>2E-3</v>
      </c>
      <c r="G22" s="22">
        <f t="shared" si="7"/>
        <v>2E-3</v>
      </c>
      <c r="H22" s="22">
        <f t="shared" si="1"/>
        <v>0</v>
      </c>
      <c r="I22" s="23">
        <f t="shared" ref="I22:I51" si="8">IF(ISERROR(H22/ABS(D22)),"N/A",(H22/ABS(D22)))</f>
        <v>0</v>
      </c>
      <c r="J22" s="23">
        <f t="shared" si="4"/>
        <v>4.4841718411558532E-6</v>
      </c>
      <c r="K22" s="108">
        <f t="shared" si="3"/>
        <v>4.5611716429289189E-6</v>
      </c>
    </row>
    <row r="23" spans="1:11" x14ac:dyDescent="0.2">
      <c r="A23" s="107" t="s">
        <v>39</v>
      </c>
      <c r="B23" s="73">
        <f>IF($B$9="kWh",$B$4,$B$5)</f>
        <v>1982</v>
      </c>
      <c r="C23" s="78">
        <f>VLOOKUP($B$3,'Data for Bill Impacts'!$A$3:$Y$15,10,0)</f>
        <v>6.13E-2</v>
      </c>
      <c r="D23" s="22">
        <f t="shared" si="5"/>
        <v>121.4966</v>
      </c>
      <c r="E23" s="73">
        <f t="shared" si="6"/>
        <v>1982</v>
      </c>
      <c r="F23" s="78">
        <f>VLOOKUP($B$3,'Data for Bill Impacts'!$A$3:$Y$15,19,0)</f>
        <v>6.3299999999999995E-2</v>
      </c>
      <c r="G23" s="22">
        <f t="shared" si="7"/>
        <v>125.46059999999999</v>
      </c>
      <c r="H23" s="22">
        <f t="shared" si="1"/>
        <v>3.9639999999999844</v>
      </c>
      <c r="I23" s="23">
        <f t="shared" si="8"/>
        <v>3.2626427406198893E-2</v>
      </c>
      <c r="J23" s="23">
        <f t="shared" si="4"/>
        <v>0.28129344484725899</v>
      </c>
      <c r="K23" s="108">
        <f t="shared" si="3"/>
        <v>0.28612366551242391</v>
      </c>
    </row>
    <row r="24" spans="1:11" x14ac:dyDescent="0.2">
      <c r="A24" s="107" t="s">
        <v>121</v>
      </c>
      <c r="B24" s="73">
        <f>IF($B$9="kWh",$B$4,$B$5)</f>
        <v>1982</v>
      </c>
      <c r="C24" s="125">
        <f>VLOOKUP($B$3,'Data for Bill Impacts'!$A$3:$Y$15,14,0)</f>
        <v>2.0000000000000002E-5</v>
      </c>
      <c r="D24" s="22">
        <f t="shared" si="5"/>
        <v>3.9640000000000002E-2</v>
      </c>
      <c r="E24" s="73">
        <f t="shared" si="6"/>
        <v>1982</v>
      </c>
      <c r="F24" s="125">
        <f>VLOOKUP($B$3,'Data for Bill Impacts'!$A$3:$Y$15,23,0)</f>
        <v>2.0000000000000002E-5</v>
      </c>
      <c r="G24" s="22">
        <f t="shared" si="7"/>
        <v>3.9640000000000002E-2</v>
      </c>
      <c r="H24" s="22">
        <f t="shared" si="1"/>
        <v>0</v>
      </c>
      <c r="I24" s="23">
        <f t="shared" si="8"/>
        <v>0</v>
      </c>
      <c r="J24" s="23">
        <f>G24/$G$46</f>
        <v>8.8876285891709009E-5</v>
      </c>
      <c r="K24" s="108">
        <f t="shared" si="3"/>
        <v>9.0402421962851182E-5</v>
      </c>
    </row>
    <row r="25" spans="1:11" s="1" customFormat="1" x14ac:dyDescent="0.2">
      <c r="A25" s="110" t="s">
        <v>72</v>
      </c>
      <c r="B25" s="74"/>
      <c r="C25" s="35"/>
      <c r="D25" s="35">
        <f>SUM(D19:D24)</f>
        <v>151.73823999999999</v>
      </c>
      <c r="E25" s="73"/>
      <c r="F25" s="35"/>
      <c r="G25" s="35">
        <f>SUM(G19:G24)</f>
        <v>156.38223999999997</v>
      </c>
      <c r="H25" s="35">
        <f t="shared" si="1"/>
        <v>4.643999999999977</v>
      </c>
      <c r="I25" s="36">
        <f t="shared" si="8"/>
        <v>3.0605337191204916E-2</v>
      </c>
      <c r="J25" s="36">
        <f>G25/$G$46</f>
        <v>0.35062241853243814</v>
      </c>
      <c r="K25" s="111">
        <f t="shared" si="3"/>
        <v>0.35664311927285219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G26/$G$46</f>
        <v>1.771247877256562E-3</v>
      </c>
      <c r="K26" s="108">
        <f t="shared" si="3"/>
        <v>1.8016627989569231E-3</v>
      </c>
    </row>
    <row r="27" spans="1:11" s="1" customFormat="1" x14ac:dyDescent="0.2">
      <c r="A27" s="119" t="s">
        <v>75</v>
      </c>
      <c r="B27" s="120">
        <f>B8-B4</f>
        <v>190.27200000000039</v>
      </c>
      <c r="C27" s="172">
        <f>IF(B4&gt;B7,C13,C12)</f>
        <v>0.106</v>
      </c>
      <c r="D27" s="22">
        <f>B27*C27</f>
        <v>20.168832000000041</v>
      </c>
      <c r="E27" s="73">
        <f>B27</f>
        <v>190.27200000000039</v>
      </c>
      <c r="F27" s="172">
        <f>C27</f>
        <v>0.106</v>
      </c>
      <c r="G27" s="22">
        <f>E27*F27</f>
        <v>20.168832000000041</v>
      </c>
      <c r="H27" s="22">
        <f t="shared" si="1"/>
        <v>0</v>
      </c>
      <c r="I27" s="23">
        <f t="shared" si="8"/>
        <v>0</v>
      </c>
      <c r="J27" s="23">
        <f t="shared" ref="J27:J46" si="9">G27/$G$46</f>
        <v>4.5220254261701634E-2</v>
      </c>
      <c r="K27" s="108">
        <f t="shared" ref="K27:K41" si="10">G27/$G$51</f>
        <v>4.5996752294698767E-2</v>
      </c>
    </row>
    <row r="28" spans="1:11" s="1" customFormat="1" x14ac:dyDescent="0.2">
      <c r="A28" s="119" t="s">
        <v>74</v>
      </c>
      <c r="B28" s="120">
        <f>B8-B4</f>
        <v>190.27200000000039</v>
      </c>
      <c r="C28" s="172">
        <f>0.65*C15+0.17*C16+0.18*C17</f>
        <v>9.7519999999999996E-2</v>
      </c>
      <c r="D28" s="22">
        <f>B28*C28</f>
        <v>18.555325440000036</v>
      </c>
      <c r="E28" s="73">
        <f>B28</f>
        <v>190.27200000000039</v>
      </c>
      <c r="F28" s="172">
        <f>C28</f>
        <v>9.7519999999999996E-2</v>
      </c>
      <c r="G28" s="22">
        <f>E28*F28</f>
        <v>18.555325440000036</v>
      </c>
      <c r="H28" s="22">
        <f t="shared" si="1"/>
        <v>0</v>
      </c>
      <c r="I28" s="23">
        <f t="shared" si="8"/>
        <v>0</v>
      </c>
      <c r="J28" s="23">
        <f t="shared" si="9"/>
        <v>4.1602633920765499E-2</v>
      </c>
      <c r="K28" s="108">
        <f t="shared" si="10"/>
        <v>4.2317012111122862E-2</v>
      </c>
    </row>
    <row r="29" spans="1:11" s="1" customFormat="1" x14ac:dyDescent="0.2">
      <c r="A29" s="110" t="s">
        <v>78</v>
      </c>
      <c r="B29" s="74"/>
      <c r="C29" s="35"/>
      <c r="D29" s="35">
        <f>SUM(D25,D26:D27)</f>
        <v>172.69707200000002</v>
      </c>
      <c r="E29" s="73"/>
      <c r="F29" s="35"/>
      <c r="G29" s="35">
        <f>SUM(G25,G26:G27)</f>
        <v>177.341072</v>
      </c>
      <c r="H29" s="35">
        <f t="shared" si="1"/>
        <v>4.643999999999977</v>
      </c>
      <c r="I29" s="36">
        <f t="shared" si="8"/>
        <v>2.6891017584826087E-2</v>
      </c>
      <c r="J29" s="36">
        <f t="shared" si="9"/>
        <v>0.39761392067139634</v>
      </c>
      <c r="K29" s="111">
        <f t="shared" si="10"/>
        <v>0.40444153436650782</v>
      </c>
    </row>
    <row r="30" spans="1:11" s="1" customFormat="1" x14ac:dyDescent="0.2">
      <c r="A30" s="110" t="s">
        <v>77</v>
      </c>
      <c r="B30" s="74"/>
      <c r="C30" s="35"/>
      <c r="D30" s="35">
        <f>SUM(D25,D26,D28)</f>
        <v>171.08356544000003</v>
      </c>
      <c r="E30" s="73"/>
      <c r="F30" s="35"/>
      <c r="G30" s="35">
        <f>SUM(G25,G26,G28)</f>
        <v>175.72756544000001</v>
      </c>
      <c r="H30" s="35">
        <f t="shared" si="1"/>
        <v>4.643999999999977</v>
      </c>
      <c r="I30" s="36">
        <f t="shared" si="8"/>
        <v>2.7144629515151494E-2</v>
      </c>
      <c r="J30" s="36">
        <f t="shared" si="9"/>
        <v>0.39399630033046024</v>
      </c>
      <c r="K30" s="111">
        <f t="shared" si="10"/>
        <v>0.40076179418293195</v>
      </c>
    </row>
    <row r="31" spans="1:11" x14ac:dyDescent="0.2">
      <c r="A31" s="107" t="s">
        <v>40</v>
      </c>
      <c r="B31" s="73">
        <f>B8</f>
        <v>2172.2720000000004</v>
      </c>
      <c r="C31" s="125">
        <f>VLOOKUP($B$3,'Data for Bill Impacts'!$A$3:$Y$15,15,0)</f>
        <v>5.6930000000000001E-3</v>
      </c>
      <c r="D31" s="22">
        <f>B31*C31</f>
        <v>12.366744496000003</v>
      </c>
      <c r="E31" s="73">
        <f t="shared" si="6"/>
        <v>2172.2720000000004</v>
      </c>
      <c r="F31" s="125">
        <f>VLOOKUP($B$3,'Data for Bill Impacts'!$A$3:$Y$15,24,0)</f>
        <v>5.6930000000000001E-3</v>
      </c>
      <c r="G31" s="22">
        <f>E31*F31</f>
        <v>12.366744496000003</v>
      </c>
      <c r="H31" s="22">
        <f t="shared" si="1"/>
        <v>0</v>
      </c>
      <c r="I31" s="23">
        <f t="shared" si="8"/>
        <v>0</v>
      </c>
      <c r="J31" s="23">
        <f t="shared" si="9"/>
        <v>2.7727303717866171E-2</v>
      </c>
      <c r="K31" s="108">
        <f t="shared" si="10"/>
        <v>2.8203422155251248E-2</v>
      </c>
    </row>
    <row r="32" spans="1:11" x14ac:dyDescent="0.2">
      <c r="A32" s="107" t="s">
        <v>41</v>
      </c>
      <c r="B32" s="73">
        <f>B8</f>
        <v>2172.2720000000004</v>
      </c>
      <c r="C32" s="125">
        <f>VLOOKUP($B$3,'Data for Bill Impacts'!$A$3:$Y$15,16,0)</f>
        <v>4.4740000000000005E-3</v>
      </c>
      <c r="D32" s="22">
        <f>B32*C32</f>
        <v>9.7187449280000031</v>
      </c>
      <c r="E32" s="73">
        <f t="shared" si="6"/>
        <v>2172.2720000000004</v>
      </c>
      <c r="F32" s="125">
        <f>VLOOKUP($B$3,'Data for Bill Impacts'!$A$3:$Y$15,25,0)</f>
        <v>4.4740000000000005E-3</v>
      </c>
      <c r="G32" s="22">
        <f>E32*F32</f>
        <v>9.7187449280000031</v>
      </c>
      <c r="H32" s="22">
        <f t="shared" si="1"/>
        <v>0</v>
      </c>
      <c r="I32" s="23">
        <f t="shared" si="8"/>
        <v>0</v>
      </c>
      <c r="J32" s="23">
        <f t="shared" si="9"/>
        <v>2.1790261168756941E-2</v>
      </c>
      <c r="K32" s="108">
        <f t="shared" si="10"/>
        <v>2.2164431885226436E-2</v>
      </c>
    </row>
    <row r="33" spans="1:11" s="1" customFormat="1" x14ac:dyDescent="0.2">
      <c r="A33" s="110" t="s">
        <v>76</v>
      </c>
      <c r="B33" s="74"/>
      <c r="C33" s="35"/>
      <c r="D33" s="35">
        <f>SUM(D31:D32)</f>
        <v>22.085489424000006</v>
      </c>
      <c r="E33" s="73"/>
      <c r="F33" s="35"/>
      <c r="G33" s="35">
        <f>SUM(G31:G32)</f>
        <v>22.085489424000006</v>
      </c>
      <c r="H33" s="35">
        <f t="shared" si="1"/>
        <v>0</v>
      </c>
      <c r="I33" s="36">
        <f t="shared" si="8"/>
        <v>0</v>
      </c>
      <c r="J33" s="36">
        <f t="shared" si="9"/>
        <v>4.9517564886623108E-2</v>
      </c>
      <c r="K33" s="111">
        <f t="shared" si="10"/>
        <v>5.0367854040477687E-2</v>
      </c>
    </row>
    <row r="34" spans="1:11" s="1" customFormat="1" x14ac:dyDescent="0.2">
      <c r="A34" s="110" t="s">
        <v>91</v>
      </c>
      <c r="B34" s="74"/>
      <c r="C34" s="35"/>
      <c r="D34" s="35">
        <f>D29+D33</f>
        <v>194.78256142400002</v>
      </c>
      <c r="E34" s="73"/>
      <c r="F34" s="35"/>
      <c r="G34" s="35">
        <f>G29+G33</f>
        <v>199.426561424</v>
      </c>
      <c r="H34" s="35">
        <f t="shared" si="1"/>
        <v>4.643999999999977</v>
      </c>
      <c r="I34" s="36">
        <f t="shared" si="8"/>
        <v>2.3841970071904851E-2</v>
      </c>
      <c r="J34" s="36">
        <f t="shared" si="9"/>
        <v>0.4471314855580194</v>
      </c>
      <c r="K34" s="111">
        <f t="shared" si="10"/>
        <v>0.45480938840698554</v>
      </c>
    </row>
    <row r="35" spans="1:11" s="1" customFormat="1" x14ac:dyDescent="0.2">
      <c r="A35" s="110" t="s">
        <v>92</v>
      </c>
      <c r="B35" s="74"/>
      <c r="C35" s="35"/>
      <c r="D35" s="35">
        <f>D30+D33</f>
        <v>193.16905486400003</v>
      </c>
      <c r="E35" s="73"/>
      <c r="F35" s="35"/>
      <c r="G35" s="35">
        <f>G30+G33</f>
        <v>197.81305486400001</v>
      </c>
      <c r="H35" s="35">
        <f t="shared" si="1"/>
        <v>4.643999999999977</v>
      </c>
      <c r="I35" s="36">
        <f t="shared" si="8"/>
        <v>2.4041117782915945E-2</v>
      </c>
      <c r="J35" s="36">
        <f t="shared" si="9"/>
        <v>0.4435138652170833</v>
      </c>
      <c r="K35" s="111">
        <f t="shared" si="10"/>
        <v>0.45112964822340962</v>
      </c>
    </row>
    <row r="36" spans="1:11" x14ac:dyDescent="0.2">
      <c r="A36" s="107" t="s">
        <v>42</v>
      </c>
      <c r="B36" s="73">
        <f>B8</f>
        <v>2172.2720000000004</v>
      </c>
      <c r="C36" s="34">
        <v>3.5999999999999999E-3</v>
      </c>
      <c r="D36" s="22">
        <f>B36*C36</f>
        <v>7.820179200000001</v>
      </c>
      <c r="E36" s="73">
        <f t="shared" si="6"/>
        <v>2172.2720000000004</v>
      </c>
      <c r="F36" s="34">
        <v>3.5999999999999999E-3</v>
      </c>
      <c r="G36" s="22">
        <f>E36*F36</f>
        <v>7.820179200000001</v>
      </c>
      <c r="H36" s="22">
        <f t="shared" si="1"/>
        <v>0</v>
      </c>
      <c r="I36" s="23">
        <f t="shared" si="8"/>
        <v>0</v>
      </c>
      <c r="J36" s="23">
        <f t="shared" si="9"/>
        <v>1.7533513680716355E-2</v>
      </c>
      <c r="K36" s="108">
        <f t="shared" si="10"/>
        <v>1.7834589804831283E-2</v>
      </c>
    </row>
    <row r="37" spans="1:11" x14ac:dyDescent="0.2">
      <c r="A37" s="107" t="s">
        <v>43</v>
      </c>
      <c r="B37" s="73">
        <f>B8</f>
        <v>2172.2720000000004</v>
      </c>
      <c r="C37" s="34">
        <v>2.0999999999999999E-3</v>
      </c>
      <c r="D37" s="22">
        <f>B37*C37</f>
        <v>4.5617712000000008</v>
      </c>
      <c r="E37" s="73">
        <f t="shared" si="6"/>
        <v>2172.2720000000004</v>
      </c>
      <c r="F37" s="34">
        <v>2.0999999999999999E-3</v>
      </c>
      <c r="G37" s="22">
        <f>E37*F37</f>
        <v>4.5617712000000008</v>
      </c>
      <c r="H37" s="22">
        <f>G37-D37</f>
        <v>0</v>
      </c>
      <c r="I37" s="23">
        <f t="shared" si="8"/>
        <v>0</v>
      </c>
      <c r="J37" s="23">
        <f t="shared" si="9"/>
        <v>1.0227882980417874E-2</v>
      </c>
      <c r="K37" s="108">
        <f t="shared" si="10"/>
        <v>1.0403510719484914E-2</v>
      </c>
    </row>
    <row r="38" spans="1:11" x14ac:dyDescent="0.2">
      <c r="A38" s="107" t="s">
        <v>96</v>
      </c>
      <c r="B38" s="73">
        <f>B8</f>
        <v>2172.2720000000004</v>
      </c>
      <c r="C38" s="34">
        <v>0</v>
      </c>
      <c r="D38" s="22">
        <f>B38*C38</f>
        <v>0</v>
      </c>
      <c r="E38" s="73">
        <f t="shared" si="6"/>
        <v>2172.2720000000004</v>
      </c>
      <c r="F38" s="34">
        <v>0</v>
      </c>
      <c r="G38" s="22">
        <f>E38*F38</f>
        <v>0</v>
      </c>
      <c r="H38" s="22">
        <f>G38-D38</f>
        <v>0</v>
      </c>
      <c r="I38" s="23" t="str">
        <f t="shared" si="8"/>
        <v>N/A</v>
      </c>
      <c r="J38" s="23">
        <f t="shared" si="9"/>
        <v>0</v>
      </c>
      <c r="K38" s="108">
        <f t="shared" si="10"/>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5.605214801444816E-4</v>
      </c>
      <c r="K39" s="108">
        <f t="shared" si="10"/>
        <v>5.7014645536611482E-4</v>
      </c>
    </row>
    <row r="40" spans="1:11" s="1" customFormat="1" x14ac:dyDescent="0.2">
      <c r="A40" s="110" t="s">
        <v>45</v>
      </c>
      <c r="B40" s="74"/>
      <c r="C40" s="35"/>
      <c r="D40" s="35">
        <f>SUM(D36:D39)</f>
        <v>12.631950400000001</v>
      </c>
      <c r="E40" s="73"/>
      <c r="F40" s="35"/>
      <c r="G40" s="35">
        <f>SUM(G36:G39)</f>
        <v>12.631950400000001</v>
      </c>
      <c r="H40" s="35">
        <f t="shared" si="1"/>
        <v>0</v>
      </c>
      <c r="I40" s="36">
        <f t="shared" si="8"/>
        <v>0</v>
      </c>
      <c r="J40" s="36">
        <f t="shared" si="9"/>
        <v>2.8321918141278709E-2</v>
      </c>
      <c r="K40" s="111">
        <f t="shared" si="10"/>
        <v>2.880824697968231E-2</v>
      </c>
    </row>
    <row r="41" spans="1:11" s="1" customFormat="1" ht="13.5" thickBot="1" x14ac:dyDescent="0.25">
      <c r="A41" s="112" t="s">
        <v>46</v>
      </c>
      <c r="B41" s="113">
        <f>B4</f>
        <v>1982</v>
      </c>
      <c r="C41" s="114">
        <v>7.0000000000000001E-3</v>
      </c>
      <c r="D41" s="115">
        <f>B41*C41</f>
        <v>13.874000000000001</v>
      </c>
      <c r="E41" s="116">
        <f t="shared" si="6"/>
        <v>1982</v>
      </c>
      <c r="F41" s="114">
        <f>C41</f>
        <v>7.0000000000000001E-3</v>
      </c>
      <c r="G41" s="115">
        <f>E41*F41</f>
        <v>13.874000000000001</v>
      </c>
      <c r="H41" s="115">
        <f t="shared" si="1"/>
        <v>0</v>
      </c>
      <c r="I41" s="117">
        <f t="shared" si="8"/>
        <v>0</v>
      </c>
      <c r="J41" s="117">
        <f t="shared" si="9"/>
        <v>3.1106700062098154E-2</v>
      </c>
      <c r="K41" s="118">
        <f t="shared" si="10"/>
        <v>3.164084768699791E-2</v>
      </c>
    </row>
    <row r="42" spans="1:11" s="1" customFormat="1" x14ac:dyDescent="0.2">
      <c r="A42" s="37" t="s">
        <v>101</v>
      </c>
      <c r="B42" s="38"/>
      <c r="C42" s="39"/>
      <c r="D42" s="39">
        <f>SUM(D14,D25,D26,D27,D33,D40,D41)</f>
        <v>420.13051182400011</v>
      </c>
      <c r="E42" s="38"/>
      <c r="F42" s="39"/>
      <c r="G42" s="39">
        <f>SUM(G14,G25,G26,G27,G33,G40,G41)</f>
        <v>424.77451182400006</v>
      </c>
      <c r="H42" s="39">
        <f t="shared" si="1"/>
        <v>4.6439999999999486</v>
      </c>
      <c r="I42" s="40">
        <f t="shared" si="8"/>
        <v>1.1053708000968518E-2</v>
      </c>
      <c r="J42" s="40">
        <f t="shared" si="9"/>
        <v>0.95238095238095244</v>
      </c>
      <c r="K42" s="41"/>
    </row>
    <row r="43" spans="1:11" x14ac:dyDescent="0.2">
      <c r="A43" s="153" t="s">
        <v>102</v>
      </c>
      <c r="B43" s="43"/>
      <c r="C43" s="26">
        <v>0.13</v>
      </c>
      <c r="D43" s="26">
        <f>D42*C43</f>
        <v>54.616966537120014</v>
      </c>
      <c r="E43" s="26"/>
      <c r="F43" s="26">
        <f>C43</f>
        <v>0.13</v>
      </c>
      <c r="G43" s="26">
        <f>G42*F43</f>
        <v>55.22068653712001</v>
      </c>
      <c r="H43" s="26">
        <f t="shared" si="1"/>
        <v>0.60371999999999559</v>
      </c>
      <c r="I43" s="44">
        <f t="shared" si="8"/>
        <v>1.1053708000968559E-2</v>
      </c>
      <c r="J43" s="44">
        <f t="shared" si="9"/>
        <v>0.12380952380952383</v>
      </c>
      <c r="K43" s="45"/>
    </row>
    <row r="44" spans="1:11" s="1" customFormat="1" x14ac:dyDescent="0.2">
      <c r="A44" s="46" t="s">
        <v>103</v>
      </c>
      <c r="B44" s="24"/>
      <c r="C44" s="25"/>
      <c r="D44" s="25">
        <f>SUM(D42:D43)</f>
        <v>474.7474783611201</v>
      </c>
      <c r="E44" s="25"/>
      <c r="F44" s="25"/>
      <c r="G44" s="25">
        <f>SUM(G42:G43)</f>
        <v>479.99519836112006</v>
      </c>
      <c r="H44" s="25">
        <f t="shared" si="1"/>
        <v>5.2477199999999584</v>
      </c>
      <c r="I44" s="27">
        <f t="shared" si="8"/>
        <v>1.1053708000968554E-2</v>
      </c>
      <c r="J44" s="27">
        <f t="shared" si="9"/>
        <v>1.0761904761904764</v>
      </c>
      <c r="K44" s="47"/>
    </row>
    <row r="45" spans="1:11" x14ac:dyDescent="0.2">
      <c r="A45" s="42" t="s">
        <v>104</v>
      </c>
      <c r="B45" s="43"/>
      <c r="C45" s="26">
        <v>-0.08</v>
      </c>
      <c r="D45" s="26">
        <f>D42*C45</f>
        <v>-33.610440945920011</v>
      </c>
      <c r="E45" s="26"/>
      <c r="F45" s="26">
        <f>C45</f>
        <v>-0.08</v>
      </c>
      <c r="G45" s="26">
        <f>G42*F45</f>
        <v>-33.981960945920008</v>
      </c>
      <c r="H45" s="26">
        <f t="shared" si="1"/>
        <v>-0.37151999999999674</v>
      </c>
      <c r="I45" s="44">
        <f t="shared" si="8"/>
        <v>-1.1053708000968542E-2</v>
      </c>
      <c r="J45" s="44">
        <f t="shared" si="9"/>
        <v>-7.6190476190476211E-2</v>
      </c>
      <c r="K45" s="45"/>
    </row>
    <row r="46" spans="1:11" s="1" customFormat="1" ht="13.5" thickBot="1" x14ac:dyDescent="0.25">
      <c r="A46" s="48" t="s">
        <v>105</v>
      </c>
      <c r="B46" s="49"/>
      <c r="C46" s="50"/>
      <c r="D46" s="50">
        <f>SUM(D44:D45)</f>
        <v>441.1370374152001</v>
      </c>
      <c r="E46" s="50"/>
      <c r="F46" s="50"/>
      <c r="G46" s="50">
        <f>SUM(G44:G45)</f>
        <v>446.01323741520002</v>
      </c>
      <c r="H46" s="50">
        <f t="shared" si="1"/>
        <v>4.8761999999999261</v>
      </c>
      <c r="I46" s="51">
        <f t="shared" si="8"/>
        <v>1.1053708000968474E-2</v>
      </c>
      <c r="J46" s="51">
        <f t="shared" si="9"/>
        <v>1</v>
      </c>
      <c r="K46" s="52"/>
    </row>
    <row r="47" spans="1:11" x14ac:dyDescent="0.2">
      <c r="A47" s="53" t="s">
        <v>106</v>
      </c>
      <c r="B47" s="54"/>
      <c r="C47" s="55"/>
      <c r="D47" s="55">
        <f>SUM(D18,D25,D26,D28,D33,D40,D41)</f>
        <v>412.95964526400007</v>
      </c>
      <c r="E47" s="55"/>
      <c r="F47" s="55"/>
      <c r="G47" s="55">
        <f>SUM(G18,G25,G26,G28,G33,G40,G41)</f>
        <v>417.60364526400008</v>
      </c>
      <c r="H47" s="55">
        <f>G47-D47</f>
        <v>4.6440000000000055</v>
      </c>
      <c r="I47" s="56">
        <f t="shared" si="8"/>
        <v>1.1245650884437275E-2</v>
      </c>
      <c r="J47" s="56"/>
      <c r="K47" s="57">
        <f>G47/$G$51</f>
        <v>0.95238095238095233</v>
      </c>
    </row>
    <row r="48" spans="1:11" x14ac:dyDescent="0.2">
      <c r="A48" s="58" t="s">
        <v>102</v>
      </c>
      <c r="B48" s="59"/>
      <c r="C48" s="31">
        <v>0.13</v>
      </c>
      <c r="D48" s="31">
        <f>D47*C48</f>
        <v>53.68475388432001</v>
      </c>
      <c r="E48" s="31"/>
      <c r="F48" s="31">
        <f>C48</f>
        <v>0.13</v>
      </c>
      <c r="G48" s="31">
        <f>G47*F48</f>
        <v>54.288473884320013</v>
      </c>
      <c r="H48" s="31">
        <f>G48-D48</f>
        <v>0.6037200000000027</v>
      </c>
      <c r="I48" s="32">
        <f t="shared" si="8"/>
        <v>1.1245650884437311E-2</v>
      </c>
      <c r="J48" s="32"/>
      <c r="K48" s="60">
        <f>G48/$G$51</f>
        <v>0.12380952380952381</v>
      </c>
    </row>
    <row r="49" spans="1:11" x14ac:dyDescent="0.2">
      <c r="A49" s="149" t="s">
        <v>107</v>
      </c>
      <c r="B49" s="29"/>
      <c r="C49" s="30"/>
      <c r="D49" s="30">
        <f>SUM(D47:D48)</f>
        <v>466.64439914832008</v>
      </c>
      <c r="E49" s="30"/>
      <c r="F49" s="30"/>
      <c r="G49" s="30">
        <f>SUM(G47:G48)</f>
        <v>471.89211914832009</v>
      </c>
      <c r="H49" s="30">
        <f>G49-D49</f>
        <v>5.2477200000000153</v>
      </c>
      <c r="I49" s="33">
        <f t="shared" si="8"/>
        <v>1.1245650884437294E-2</v>
      </c>
      <c r="J49" s="33"/>
      <c r="K49" s="62">
        <f>G49/$G$51</f>
        <v>1.0761904761904761</v>
      </c>
    </row>
    <row r="50" spans="1:11" x14ac:dyDescent="0.2">
      <c r="A50" s="58" t="s">
        <v>104</v>
      </c>
      <c r="B50" s="59"/>
      <c r="C50" s="31">
        <v>-0.08</v>
      </c>
      <c r="D50" s="31">
        <f>D47*C50</f>
        <v>-33.036771621120003</v>
      </c>
      <c r="E50" s="31"/>
      <c r="F50" s="31">
        <f>C50</f>
        <v>-0.08</v>
      </c>
      <c r="G50" s="31">
        <f>G47*F50</f>
        <v>-33.408291621120007</v>
      </c>
      <c r="H50" s="31">
        <f>G50-D50</f>
        <v>-0.37152000000000385</v>
      </c>
      <c r="I50" s="32">
        <f t="shared" si="8"/>
        <v>-1.1245650884437379E-2</v>
      </c>
      <c r="J50" s="32"/>
      <c r="K50" s="60">
        <f>G50/$G$51</f>
        <v>-7.6190476190476183E-2</v>
      </c>
    </row>
    <row r="51" spans="1:11" ht="13.5" thickBot="1" x14ac:dyDescent="0.25">
      <c r="A51" s="63" t="s">
        <v>116</v>
      </c>
      <c r="B51" s="64"/>
      <c r="C51" s="65"/>
      <c r="D51" s="65">
        <f>SUM(D49:D50)</f>
        <v>433.60762752720007</v>
      </c>
      <c r="E51" s="65"/>
      <c r="F51" s="65"/>
      <c r="G51" s="65">
        <f>SUM(G49:G50)</f>
        <v>438.48382752720011</v>
      </c>
      <c r="H51" s="65">
        <f>G51-D51</f>
        <v>4.8762000000000398</v>
      </c>
      <c r="I51" s="66">
        <f t="shared" si="8"/>
        <v>1.1245650884437353E-2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6"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tabColor theme="1" tint="0.499984740745262"/>
    <pageSetUpPr fitToPage="1"/>
  </sheetPr>
  <dimension ref="A1:K68"/>
  <sheetViews>
    <sheetView tabSelected="1" view="pageLayout"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120</v>
      </c>
      <c r="B1" s="189"/>
      <c r="C1" s="189"/>
      <c r="D1" s="189"/>
      <c r="E1" s="189"/>
      <c r="F1" s="189"/>
      <c r="G1" s="189"/>
      <c r="H1" s="189"/>
      <c r="I1" s="189"/>
      <c r="J1" s="189"/>
      <c r="K1" s="190"/>
    </row>
    <row r="3" spans="1:11" x14ac:dyDescent="0.2">
      <c r="A3" s="13" t="s">
        <v>13</v>
      </c>
      <c r="B3" s="13" t="s">
        <v>4</v>
      </c>
    </row>
    <row r="4" spans="1:11" x14ac:dyDescent="0.2">
      <c r="A4" s="15" t="s">
        <v>62</v>
      </c>
      <c r="B4" s="15">
        <v>15000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16440</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2.1110986927985957E-2</v>
      </c>
      <c r="K12" s="106"/>
    </row>
    <row r="13" spans="1:11" x14ac:dyDescent="0.2">
      <c r="A13" s="107" t="s">
        <v>32</v>
      </c>
      <c r="B13" s="73">
        <f>IF(B4&gt;B7,(B4)-B7,0)</f>
        <v>14250</v>
      </c>
      <c r="C13" s="21">
        <v>0.106</v>
      </c>
      <c r="D13" s="22">
        <f>B13*C13</f>
        <v>1510.5</v>
      </c>
      <c r="E13" s="73">
        <f>B13</f>
        <v>14250</v>
      </c>
      <c r="F13" s="21">
        <f>C13</f>
        <v>0.106</v>
      </c>
      <c r="G13" s="22">
        <f>E13*F13</f>
        <v>1510.5</v>
      </c>
      <c r="H13" s="22">
        <f t="shared" ref="H13:H46" si="1">G13-D13</f>
        <v>0</v>
      </c>
      <c r="I13" s="23">
        <f t="shared" si="0"/>
        <v>0</v>
      </c>
      <c r="J13" s="23">
        <f>G13/$G$46</f>
        <v>0.46722557882377708</v>
      </c>
      <c r="K13" s="108"/>
    </row>
    <row r="14" spans="1:11" s="1" customFormat="1" x14ac:dyDescent="0.2">
      <c r="A14" s="46" t="s">
        <v>33</v>
      </c>
      <c r="B14" s="24"/>
      <c r="C14" s="25"/>
      <c r="D14" s="25">
        <f>SUM(D12:D13)</f>
        <v>1578.75</v>
      </c>
      <c r="E14" s="76"/>
      <c r="F14" s="25"/>
      <c r="G14" s="25">
        <f>SUM(G12:G13)</f>
        <v>1578.75</v>
      </c>
      <c r="H14" s="25">
        <f t="shared" si="1"/>
        <v>0</v>
      </c>
      <c r="I14" s="27">
        <f t="shared" si="0"/>
        <v>0</v>
      </c>
      <c r="J14" s="27">
        <f>G14/$G$46</f>
        <v>0.48833656575176304</v>
      </c>
      <c r="K14" s="108"/>
    </row>
    <row r="15" spans="1:11" s="1" customFormat="1" x14ac:dyDescent="0.2">
      <c r="A15" s="109" t="s">
        <v>34</v>
      </c>
      <c r="B15" s="75">
        <f>B4*0.65</f>
        <v>9750</v>
      </c>
      <c r="C15" s="28">
        <v>7.6999999999999999E-2</v>
      </c>
      <c r="D15" s="22">
        <f>B15*C15</f>
        <v>750.75</v>
      </c>
      <c r="E15" s="73">
        <f t="shared" ref="E15:F17" si="2">B15</f>
        <v>9750</v>
      </c>
      <c r="F15" s="28">
        <f t="shared" si="2"/>
        <v>7.6999999999999999E-2</v>
      </c>
      <c r="G15" s="22">
        <f>E15*F15</f>
        <v>750.75</v>
      </c>
      <c r="H15" s="22">
        <f t="shared" si="1"/>
        <v>0</v>
      </c>
      <c r="I15" s="23">
        <f t="shared" si="0"/>
        <v>0</v>
      </c>
      <c r="J15" s="23"/>
      <c r="K15" s="108">
        <f t="shared" ref="K15:K26" si="3">G15/$G$51</f>
        <v>0.24230681948177191</v>
      </c>
    </row>
    <row r="16" spans="1:11" s="1" customFormat="1" x14ac:dyDescent="0.2">
      <c r="A16" s="109" t="s">
        <v>35</v>
      </c>
      <c r="B16" s="75">
        <f>B4*0.17</f>
        <v>2550</v>
      </c>
      <c r="C16" s="28">
        <v>0.113</v>
      </c>
      <c r="D16" s="22">
        <f>B16*C16</f>
        <v>288.15000000000003</v>
      </c>
      <c r="E16" s="73">
        <f t="shared" si="2"/>
        <v>2550</v>
      </c>
      <c r="F16" s="28">
        <f t="shared" si="2"/>
        <v>0.113</v>
      </c>
      <c r="G16" s="22">
        <f>E16*F16</f>
        <v>288.15000000000003</v>
      </c>
      <c r="H16" s="22">
        <f t="shared" si="1"/>
        <v>0</v>
      </c>
      <c r="I16" s="23">
        <f t="shared" si="0"/>
        <v>0</v>
      </c>
      <c r="J16" s="23"/>
      <c r="K16" s="108">
        <f t="shared" si="3"/>
        <v>9.3001278766130652E-2</v>
      </c>
    </row>
    <row r="17" spans="1:11" s="1" customFormat="1" x14ac:dyDescent="0.2">
      <c r="A17" s="109" t="s">
        <v>36</v>
      </c>
      <c r="B17" s="75">
        <f>B4*0.18</f>
        <v>2700</v>
      </c>
      <c r="C17" s="28">
        <v>0.157</v>
      </c>
      <c r="D17" s="22">
        <f>B17*C17</f>
        <v>423.9</v>
      </c>
      <c r="E17" s="73">
        <f t="shared" si="2"/>
        <v>2700</v>
      </c>
      <c r="F17" s="28">
        <f t="shared" si="2"/>
        <v>0.157</v>
      </c>
      <c r="G17" s="22">
        <f>E17*F17</f>
        <v>423.9</v>
      </c>
      <c r="H17" s="22">
        <f t="shared" si="1"/>
        <v>0</v>
      </c>
      <c r="I17" s="23">
        <f t="shared" si="0"/>
        <v>0</v>
      </c>
      <c r="J17" s="23"/>
      <c r="K17" s="108">
        <f t="shared" si="3"/>
        <v>0.13681499937172575</v>
      </c>
    </row>
    <row r="18" spans="1:11" s="1" customFormat="1" x14ac:dyDescent="0.2">
      <c r="A18" s="61" t="s">
        <v>37</v>
      </c>
      <c r="B18" s="29"/>
      <c r="C18" s="30"/>
      <c r="D18" s="30">
        <f>SUM(D15:D17)</f>
        <v>1462.8000000000002</v>
      </c>
      <c r="E18" s="77"/>
      <c r="F18" s="30"/>
      <c r="G18" s="30">
        <f>SUM(G15:G17)</f>
        <v>1462.8000000000002</v>
      </c>
      <c r="H18" s="31">
        <f t="shared" si="1"/>
        <v>0</v>
      </c>
      <c r="I18" s="32">
        <f t="shared" si="0"/>
        <v>0</v>
      </c>
      <c r="J18" s="33">
        <f t="shared" ref="J18:J23" si="4">G18/$G$46</f>
        <v>0.45247108686092102</v>
      </c>
      <c r="K18" s="62">
        <f t="shared" si="3"/>
        <v>0.47212309761962834</v>
      </c>
    </row>
    <row r="19" spans="1:11" x14ac:dyDescent="0.2">
      <c r="A19" s="107" t="s">
        <v>38</v>
      </c>
      <c r="B19" s="73">
        <v>1</v>
      </c>
      <c r="C19" s="121">
        <f>VLOOKUP($B$3,'Data for Bill Impacts'!$A$3:$Y$15,7,0)</f>
        <v>30.2</v>
      </c>
      <c r="D19" s="22">
        <f t="shared" ref="D19:D24" si="5">B19*C19</f>
        <v>30.2</v>
      </c>
      <c r="E19" s="73">
        <f t="shared" ref="E19:E41" si="6">B19</f>
        <v>1</v>
      </c>
      <c r="F19" s="78">
        <f>VLOOKUP($B$3,'Data for Bill Impacts'!$A$3:$Y$15,17,0)</f>
        <v>30.88</v>
      </c>
      <c r="G19" s="22">
        <f t="shared" ref="G19:G24" si="7">E19*F19</f>
        <v>30.88</v>
      </c>
      <c r="H19" s="22">
        <f t="shared" si="1"/>
        <v>0.67999999999999972</v>
      </c>
      <c r="I19" s="23">
        <f>IF(ISERROR(H19/ABS(D19)),"N/A",(H19/ABS(D19)))</f>
        <v>2.2516556291390721E-2</v>
      </c>
      <c r="J19" s="23">
        <f t="shared" si="4"/>
        <v>9.55175496463306E-3</v>
      </c>
      <c r="K19" s="108">
        <f t="shared" si="3"/>
        <v>9.9666128346281926E-3</v>
      </c>
    </row>
    <row r="20" spans="1:11" hidden="1" x14ac:dyDescent="0.2">
      <c r="A20" s="107" t="s">
        <v>83</v>
      </c>
      <c r="B20" s="73">
        <v>1</v>
      </c>
      <c r="C20" s="78">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110</v>
      </c>
      <c r="B21" s="73">
        <v>1</v>
      </c>
      <c r="C21" s="78">
        <v>0</v>
      </c>
      <c r="D21" s="22">
        <f t="shared" si="5"/>
        <v>0</v>
      </c>
      <c r="E21" s="73">
        <f t="shared" si="6"/>
        <v>1</v>
      </c>
      <c r="F21" s="121">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2E-3</v>
      </c>
      <c r="D22" s="22">
        <f t="shared" si="5"/>
        <v>2E-3</v>
      </c>
      <c r="E22" s="73">
        <f t="shared" si="6"/>
        <v>1</v>
      </c>
      <c r="F22" s="121">
        <f>VLOOKUP($B$3,'Data for Bill Impacts'!$A$3:$Y$15,22,0)</f>
        <v>2E-3</v>
      </c>
      <c r="G22" s="22">
        <f t="shared" si="7"/>
        <v>2E-3</v>
      </c>
      <c r="H22" s="22">
        <f t="shared" si="1"/>
        <v>0</v>
      </c>
      <c r="I22" s="23">
        <f t="shared" ref="I22:I51" si="8">IF(ISERROR(H22/ABS(D22)),"N/A",(H22/ABS(D22)))</f>
        <v>0</v>
      </c>
      <c r="J22" s="23">
        <f t="shared" si="4"/>
        <v>6.1863697957468008E-7</v>
      </c>
      <c r="K22" s="108">
        <f t="shared" si="3"/>
        <v>6.4550601260545301E-7</v>
      </c>
    </row>
    <row r="23" spans="1:11" x14ac:dyDescent="0.2">
      <c r="A23" s="107" t="s">
        <v>39</v>
      </c>
      <c r="B23" s="73">
        <f>IF($B$9="kWh",$B$4,$B$5)</f>
        <v>15000</v>
      </c>
      <c r="C23" s="78">
        <f>VLOOKUP($B$3,'Data for Bill Impacts'!$A$3:$Y$15,10,0)</f>
        <v>6.13E-2</v>
      </c>
      <c r="D23" s="22">
        <f t="shared" si="5"/>
        <v>919.5</v>
      </c>
      <c r="E23" s="73">
        <f t="shared" si="6"/>
        <v>15000</v>
      </c>
      <c r="F23" s="78">
        <f>VLOOKUP($B$3,'Data for Bill Impacts'!$A$3:$Y$15,19,0)</f>
        <v>6.3299999999999995E-2</v>
      </c>
      <c r="G23" s="22">
        <f t="shared" si="7"/>
        <v>949.49999999999989</v>
      </c>
      <c r="H23" s="22">
        <f t="shared" si="1"/>
        <v>29.999999999999886</v>
      </c>
      <c r="I23" s="23">
        <f t="shared" si="8"/>
        <v>3.26264274061989E-2</v>
      </c>
      <c r="J23" s="23">
        <f t="shared" si="4"/>
        <v>0.29369790605307933</v>
      </c>
      <c r="K23" s="108">
        <f t="shared" si="3"/>
        <v>0.30645397948443875</v>
      </c>
    </row>
    <row r="24" spans="1:11" x14ac:dyDescent="0.2">
      <c r="A24" s="107" t="s">
        <v>121</v>
      </c>
      <c r="B24" s="73">
        <f>IF($B$9="kWh",$B$4,$B$5)</f>
        <v>15000</v>
      </c>
      <c r="C24" s="125">
        <f>VLOOKUP($B$3,'Data for Bill Impacts'!$A$3:$Y$15,14,0)</f>
        <v>2.0000000000000002E-5</v>
      </c>
      <c r="D24" s="22">
        <f t="shared" si="5"/>
        <v>0.30000000000000004</v>
      </c>
      <c r="E24" s="73">
        <f t="shared" si="6"/>
        <v>15000</v>
      </c>
      <c r="F24" s="125">
        <f>VLOOKUP($B$3,'Data for Bill Impacts'!$A$3:$Y$15,23,0)</f>
        <v>2.0000000000000002E-5</v>
      </c>
      <c r="G24" s="22">
        <f t="shared" si="7"/>
        <v>0.30000000000000004</v>
      </c>
      <c r="H24" s="22">
        <f t="shared" si="1"/>
        <v>0</v>
      </c>
      <c r="I24" s="23">
        <f t="shared" si="8"/>
        <v>0</v>
      </c>
      <c r="J24" s="23">
        <f>G24/$G$46</f>
        <v>9.2795546936202025E-5</v>
      </c>
      <c r="K24" s="108">
        <f t="shared" si="3"/>
        <v>9.6825901890817951E-5</v>
      </c>
    </row>
    <row r="25" spans="1:11" s="1" customFormat="1" x14ac:dyDescent="0.2">
      <c r="A25" s="110" t="s">
        <v>72</v>
      </c>
      <c r="B25" s="74"/>
      <c r="C25" s="35"/>
      <c r="D25" s="35">
        <f>SUM(D19:D24)</f>
        <v>950.00199999999995</v>
      </c>
      <c r="E25" s="73"/>
      <c r="F25" s="35"/>
      <c r="G25" s="35">
        <f>SUM(G19:G24)</f>
        <v>980.68199999999979</v>
      </c>
      <c r="H25" s="35">
        <f t="shared" si="1"/>
        <v>30.679999999999836</v>
      </c>
      <c r="I25" s="36">
        <f t="shared" si="8"/>
        <v>3.2294668853328559E-2</v>
      </c>
      <c r="J25" s="36">
        <f>G25/$G$46</f>
        <v>0.30334307520162812</v>
      </c>
      <c r="K25" s="111">
        <f t="shared" si="3"/>
        <v>0.31651806372697033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G26/$G$46</f>
        <v>2.4436160693199865E-4</v>
      </c>
      <c r="K26" s="108">
        <f t="shared" si="3"/>
        <v>2.5497487497915395E-4</v>
      </c>
    </row>
    <row r="27" spans="1:11" s="1" customFormat="1" x14ac:dyDescent="0.2">
      <c r="A27" s="119" t="s">
        <v>75</v>
      </c>
      <c r="B27" s="120">
        <f>B8-B4</f>
        <v>1440</v>
      </c>
      <c r="C27" s="172">
        <f>IF(B4&gt;B7,C13,C12)</f>
        <v>0.106</v>
      </c>
      <c r="D27" s="22">
        <f>B27*C27</f>
        <v>152.63999999999999</v>
      </c>
      <c r="E27" s="73">
        <f>B27</f>
        <v>1440</v>
      </c>
      <c r="F27" s="172">
        <f>C27</f>
        <v>0.106</v>
      </c>
      <c r="G27" s="22">
        <f>E27*F27</f>
        <v>152.63999999999999</v>
      </c>
      <c r="H27" s="22">
        <f t="shared" si="1"/>
        <v>0</v>
      </c>
      <c r="I27" s="23">
        <f t="shared" si="8"/>
        <v>0</v>
      </c>
      <c r="J27" s="23">
        <f t="shared" ref="J27:J46" si="9">G27/$G$46</f>
        <v>4.7214374281139573E-2</v>
      </c>
      <c r="K27" s="108">
        <f t="shared" ref="K27:K41" si="10">G27/$G$51</f>
        <v>4.9265018882048164E-2</v>
      </c>
    </row>
    <row r="28" spans="1:11" s="1" customFormat="1" x14ac:dyDescent="0.2">
      <c r="A28" s="119" t="s">
        <v>74</v>
      </c>
      <c r="B28" s="120">
        <f>B8-B4</f>
        <v>1440</v>
      </c>
      <c r="C28" s="172">
        <f>0.65*C15+0.17*C16+0.18*C17</f>
        <v>9.7519999999999996E-2</v>
      </c>
      <c r="D28" s="22">
        <f>B28*C28</f>
        <v>140.4288</v>
      </c>
      <c r="E28" s="73">
        <f>B28</f>
        <v>1440</v>
      </c>
      <c r="F28" s="172">
        <f>C28</f>
        <v>9.7519999999999996E-2</v>
      </c>
      <c r="G28" s="22">
        <f>E28*F28</f>
        <v>140.4288</v>
      </c>
      <c r="H28" s="22">
        <f t="shared" si="1"/>
        <v>0</v>
      </c>
      <c r="I28" s="23">
        <f t="shared" si="8"/>
        <v>0</v>
      </c>
      <c r="J28" s="23">
        <f t="shared" si="9"/>
        <v>4.3437224338648411E-2</v>
      </c>
      <c r="K28" s="108">
        <f t="shared" si="10"/>
        <v>4.5323817371484311E-2</v>
      </c>
    </row>
    <row r="29" spans="1:11" s="1" customFormat="1" x14ac:dyDescent="0.2">
      <c r="A29" s="110" t="s">
        <v>78</v>
      </c>
      <c r="B29" s="74"/>
      <c r="C29" s="35"/>
      <c r="D29" s="35">
        <f>SUM(D25,D26:D27)</f>
        <v>1103.4319999999998</v>
      </c>
      <c r="E29" s="73"/>
      <c r="F29" s="35"/>
      <c r="G29" s="35">
        <f>SUM(G25,G26:G27)</f>
        <v>1134.1119999999996</v>
      </c>
      <c r="H29" s="35">
        <f t="shared" si="1"/>
        <v>30.679999999999836</v>
      </c>
      <c r="I29" s="36">
        <f t="shared" si="8"/>
        <v>2.7804160111361501E-2</v>
      </c>
      <c r="J29" s="36">
        <f t="shared" si="9"/>
        <v>0.35080181108969966</v>
      </c>
      <c r="K29" s="111">
        <f t="shared" si="10"/>
        <v>0.36603805748399759</v>
      </c>
    </row>
    <row r="30" spans="1:11" s="1" customFormat="1" x14ac:dyDescent="0.2">
      <c r="A30" s="110" t="s">
        <v>77</v>
      </c>
      <c r="B30" s="74"/>
      <c r="C30" s="35"/>
      <c r="D30" s="35">
        <f>SUM(D25,D26,D28)</f>
        <v>1091.2207999999998</v>
      </c>
      <c r="E30" s="73"/>
      <c r="F30" s="35"/>
      <c r="G30" s="35">
        <f>SUM(G25,G26,G28)</f>
        <v>1121.9007999999997</v>
      </c>
      <c r="H30" s="35">
        <f t="shared" si="1"/>
        <v>30.679999999999836</v>
      </c>
      <c r="I30" s="36">
        <f t="shared" si="8"/>
        <v>2.8115299854987955E-2</v>
      </c>
      <c r="J30" s="36">
        <f t="shared" si="9"/>
        <v>0.34702466114720848</v>
      </c>
      <c r="K30" s="111">
        <f t="shared" si="10"/>
        <v>0.36209685597343377</v>
      </c>
    </row>
    <row r="31" spans="1:11" x14ac:dyDescent="0.2">
      <c r="A31" s="107" t="s">
        <v>40</v>
      </c>
      <c r="B31" s="73">
        <f>B8</f>
        <v>16440</v>
      </c>
      <c r="C31" s="125">
        <f>VLOOKUP($B$3,'Data for Bill Impacts'!$A$3:$Y$15,15,0)</f>
        <v>5.6930000000000001E-3</v>
      </c>
      <c r="D31" s="22">
        <f>B31*C31</f>
        <v>93.592920000000007</v>
      </c>
      <c r="E31" s="73">
        <f t="shared" si="6"/>
        <v>16440</v>
      </c>
      <c r="F31" s="125">
        <f>VLOOKUP($B$3,'Data for Bill Impacts'!$A$3:$Y$15,24,0)</f>
        <v>5.6930000000000001E-3</v>
      </c>
      <c r="G31" s="22">
        <f>E31*F31</f>
        <v>93.592920000000007</v>
      </c>
      <c r="H31" s="22">
        <f t="shared" si="1"/>
        <v>0</v>
      </c>
      <c r="I31" s="23">
        <f t="shared" si="8"/>
        <v>0</v>
      </c>
      <c r="J31" s="23">
        <f t="shared" si="9"/>
        <v>2.8950020669187334E-2</v>
      </c>
      <c r="K31" s="108">
        <f t="shared" si="10"/>
        <v>3.0207396298650577E-2</v>
      </c>
    </row>
    <row r="32" spans="1:11" x14ac:dyDescent="0.2">
      <c r="A32" s="107" t="s">
        <v>41</v>
      </c>
      <c r="B32" s="73">
        <f>B8</f>
        <v>16440</v>
      </c>
      <c r="C32" s="125">
        <f>VLOOKUP($B$3,'Data for Bill Impacts'!$A$3:$Y$15,16,0)</f>
        <v>4.4740000000000005E-3</v>
      </c>
      <c r="D32" s="22">
        <f>B32*C32</f>
        <v>73.552560000000014</v>
      </c>
      <c r="E32" s="73">
        <f t="shared" si="6"/>
        <v>16440</v>
      </c>
      <c r="F32" s="125">
        <f>VLOOKUP($B$3,'Data for Bill Impacts'!$A$3:$Y$15,25,0)</f>
        <v>4.4740000000000005E-3</v>
      </c>
      <c r="G32" s="22">
        <f>E32*F32</f>
        <v>73.552560000000014</v>
      </c>
      <c r="H32" s="22">
        <f t="shared" si="1"/>
        <v>0</v>
      </c>
      <c r="I32" s="23">
        <f t="shared" si="8"/>
        <v>0</v>
      </c>
      <c r="J32" s="23">
        <f t="shared" si="9"/>
        <v>2.2751166779192717E-2</v>
      </c>
      <c r="K32" s="108">
        <f t="shared" si="10"/>
        <v>2.3739309861261673E-2</v>
      </c>
    </row>
    <row r="33" spans="1:11" s="1" customFormat="1" x14ac:dyDescent="0.2">
      <c r="A33" s="110" t="s">
        <v>76</v>
      </c>
      <c r="B33" s="74"/>
      <c r="C33" s="35"/>
      <c r="D33" s="35">
        <f>SUM(D31:D32)</f>
        <v>167.14548000000002</v>
      </c>
      <c r="E33" s="73"/>
      <c r="F33" s="35"/>
      <c r="G33" s="35">
        <f>SUM(G31:G32)</f>
        <v>167.14548000000002</v>
      </c>
      <c r="H33" s="35">
        <f t="shared" si="1"/>
        <v>0</v>
      </c>
      <c r="I33" s="36">
        <f t="shared" si="8"/>
        <v>0</v>
      </c>
      <c r="J33" s="36">
        <f t="shared" si="9"/>
        <v>5.1701187448380051E-2</v>
      </c>
      <c r="K33" s="111">
        <f t="shared" si="10"/>
        <v>5.3946706159912247E-2</v>
      </c>
    </row>
    <row r="34" spans="1:11" s="1" customFormat="1" x14ac:dyDescent="0.2">
      <c r="A34" s="110" t="s">
        <v>91</v>
      </c>
      <c r="B34" s="74"/>
      <c r="C34" s="35"/>
      <c r="D34" s="35">
        <f>D29+D33</f>
        <v>1270.5774799999999</v>
      </c>
      <c r="E34" s="73"/>
      <c r="F34" s="35"/>
      <c r="G34" s="35">
        <f>G29+G33</f>
        <v>1301.2574799999998</v>
      </c>
      <c r="H34" s="35">
        <f t="shared" si="1"/>
        <v>30.679999999999836</v>
      </c>
      <c r="I34" s="36">
        <f t="shared" si="8"/>
        <v>2.4146500691952951E-2</v>
      </c>
      <c r="J34" s="36">
        <f t="shared" si="9"/>
        <v>0.40250299853807975</v>
      </c>
      <c r="K34" s="111">
        <f t="shared" si="10"/>
        <v>0.41998476364390991</v>
      </c>
    </row>
    <row r="35" spans="1:11" s="1" customFormat="1" x14ac:dyDescent="0.2">
      <c r="A35" s="110" t="s">
        <v>92</v>
      </c>
      <c r="B35" s="74"/>
      <c r="C35" s="35"/>
      <c r="D35" s="35">
        <f>D30+D33</f>
        <v>1258.3662799999997</v>
      </c>
      <c r="E35" s="73"/>
      <c r="F35" s="35"/>
      <c r="G35" s="35">
        <f>G30+G33</f>
        <v>1289.0462799999996</v>
      </c>
      <c r="H35" s="35">
        <f t="shared" si="1"/>
        <v>30.679999999999836</v>
      </c>
      <c r="I35" s="36">
        <f t="shared" si="8"/>
        <v>2.4380818595997219E-2</v>
      </c>
      <c r="J35" s="36">
        <f t="shared" si="9"/>
        <v>0.39872584859558852</v>
      </c>
      <c r="K35" s="111">
        <f t="shared" si="10"/>
        <v>0.41604356213334598</v>
      </c>
    </row>
    <row r="36" spans="1:11" x14ac:dyDescent="0.2">
      <c r="A36" s="107" t="s">
        <v>42</v>
      </c>
      <c r="B36" s="73">
        <f>B8</f>
        <v>16440</v>
      </c>
      <c r="C36" s="34">
        <v>3.5999999999999999E-3</v>
      </c>
      <c r="D36" s="22">
        <f>B36*C36</f>
        <v>59.183999999999997</v>
      </c>
      <c r="E36" s="73">
        <f t="shared" si="6"/>
        <v>16440</v>
      </c>
      <c r="F36" s="34">
        <v>3.5999999999999999E-3</v>
      </c>
      <c r="G36" s="22">
        <f>E36*F36</f>
        <v>59.183999999999997</v>
      </c>
      <c r="H36" s="22">
        <f t="shared" si="1"/>
        <v>0</v>
      </c>
      <c r="I36" s="23">
        <f t="shared" si="8"/>
        <v>0</v>
      </c>
      <c r="J36" s="23">
        <f t="shared" si="9"/>
        <v>1.830670549957393E-2</v>
      </c>
      <c r="K36" s="108">
        <f t="shared" si="10"/>
        <v>1.9101813925020562E-2</v>
      </c>
    </row>
    <row r="37" spans="1:11" x14ac:dyDescent="0.2">
      <c r="A37" s="107" t="s">
        <v>43</v>
      </c>
      <c r="B37" s="73">
        <f>B8</f>
        <v>16440</v>
      </c>
      <c r="C37" s="34">
        <v>2.0999999999999999E-3</v>
      </c>
      <c r="D37" s="22">
        <f>B37*C37</f>
        <v>34.524000000000001</v>
      </c>
      <c r="E37" s="73">
        <f t="shared" si="6"/>
        <v>16440</v>
      </c>
      <c r="F37" s="34">
        <v>2.0999999999999999E-3</v>
      </c>
      <c r="G37" s="22">
        <f>E37*F37</f>
        <v>34.524000000000001</v>
      </c>
      <c r="H37" s="22">
        <f>G37-D37</f>
        <v>0</v>
      </c>
      <c r="I37" s="23">
        <f t="shared" si="8"/>
        <v>0</v>
      </c>
      <c r="J37" s="23">
        <f t="shared" si="9"/>
        <v>1.0678911541418127E-2</v>
      </c>
      <c r="K37" s="108">
        <f t="shared" si="10"/>
        <v>1.114272478959533E-2</v>
      </c>
    </row>
    <row r="38" spans="1:11" x14ac:dyDescent="0.2">
      <c r="A38" s="107" t="s">
        <v>96</v>
      </c>
      <c r="B38" s="73">
        <f>B8</f>
        <v>16440</v>
      </c>
      <c r="C38" s="34">
        <v>0</v>
      </c>
      <c r="D38" s="22">
        <f>B38*C38</f>
        <v>0</v>
      </c>
      <c r="E38" s="73">
        <f t="shared" si="6"/>
        <v>16440</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7.7329622446835005E-5</v>
      </c>
      <c r="K39" s="108">
        <f t="shared" si="10"/>
        <v>8.0688251575681617E-5</v>
      </c>
    </row>
    <row r="40" spans="1:11" s="1" customFormat="1" x14ac:dyDescent="0.2">
      <c r="A40" s="110" t="s">
        <v>45</v>
      </c>
      <c r="B40" s="74"/>
      <c r="C40" s="35"/>
      <c r="D40" s="35">
        <f>SUM(D36:D39)</f>
        <v>93.957999999999998</v>
      </c>
      <c r="E40" s="73"/>
      <c r="F40" s="35"/>
      <c r="G40" s="35">
        <f>SUM(G36:G39)</f>
        <v>93.957999999999998</v>
      </c>
      <c r="H40" s="35">
        <f t="shared" si="1"/>
        <v>0</v>
      </c>
      <c r="I40" s="36">
        <f t="shared" si="8"/>
        <v>0</v>
      </c>
      <c r="J40" s="36">
        <f t="shared" si="9"/>
        <v>2.9062946663438893E-2</v>
      </c>
      <c r="K40" s="111">
        <f t="shared" si="10"/>
        <v>3.0325226966191575E-2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1"/>
        <v>0</v>
      </c>
      <c r="I41" s="117">
        <f t="shared" si="8"/>
        <v>0</v>
      </c>
      <c r="J41" s="117">
        <f t="shared" si="9"/>
        <v>3.2478441427670701E-2</v>
      </c>
      <c r="K41" s="118">
        <f t="shared" si="10"/>
        <v>3.3889065661786281E-2</v>
      </c>
    </row>
    <row r="42" spans="1:11" s="1" customFormat="1" x14ac:dyDescent="0.2">
      <c r="A42" s="37" t="s">
        <v>101</v>
      </c>
      <c r="B42" s="38"/>
      <c r="C42" s="39"/>
      <c r="D42" s="39">
        <f>SUM(D14,D25,D26,D27,D33,D40,D41)</f>
        <v>3048.28548</v>
      </c>
      <c r="E42" s="38"/>
      <c r="F42" s="39"/>
      <c r="G42" s="39">
        <f>SUM(G14,G25,G26,G27,G33,G40,G41)</f>
        <v>3078.9654799999998</v>
      </c>
      <c r="H42" s="39">
        <f t="shared" si="1"/>
        <v>30.679999999999836</v>
      </c>
      <c r="I42" s="40">
        <f t="shared" si="8"/>
        <v>1.0064674126256652E-2</v>
      </c>
      <c r="J42" s="40">
        <f t="shared" si="9"/>
        <v>0.95238095238095244</v>
      </c>
      <c r="K42" s="41"/>
    </row>
    <row r="43" spans="1:11" x14ac:dyDescent="0.2">
      <c r="A43" s="153" t="s">
        <v>102</v>
      </c>
      <c r="B43" s="43"/>
      <c r="C43" s="26">
        <v>0.13</v>
      </c>
      <c r="D43" s="26">
        <f>D42*C43</f>
        <v>396.27711240000002</v>
      </c>
      <c r="E43" s="26"/>
      <c r="F43" s="26">
        <f>C43</f>
        <v>0.13</v>
      </c>
      <c r="G43" s="26">
        <f>G42*F43</f>
        <v>400.26551239999998</v>
      </c>
      <c r="H43" s="26">
        <f t="shared" si="1"/>
        <v>3.988399999999956</v>
      </c>
      <c r="I43" s="44">
        <f t="shared" si="8"/>
        <v>1.0064674126256593E-2</v>
      </c>
      <c r="J43" s="44">
        <f t="shared" si="9"/>
        <v>0.12380952380952381</v>
      </c>
      <c r="K43" s="45"/>
    </row>
    <row r="44" spans="1:11" s="1" customFormat="1" x14ac:dyDescent="0.2">
      <c r="A44" s="46" t="s">
        <v>103</v>
      </c>
      <c r="B44" s="24"/>
      <c r="C44" s="25"/>
      <c r="D44" s="25">
        <f>SUM(D42:D43)</f>
        <v>3444.5625924000001</v>
      </c>
      <c r="E44" s="25"/>
      <c r="F44" s="25"/>
      <c r="G44" s="25">
        <f>SUM(G42:G43)</f>
        <v>3479.2309923999996</v>
      </c>
      <c r="H44" s="25">
        <f t="shared" si="1"/>
        <v>34.668399999999565</v>
      </c>
      <c r="I44" s="27">
        <f t="shared" si="8"/>
        <v>1.0064674126256579E-2</v>
      </c>
      <c r="J44" s="27">
        <f t="shared" si="9"/>
        <v>1.0761904761904761</v>
      </c>
      <c r="K44" s="47"/>
    </row>
    <row r="45" spans="1:11" x14ac:dyDescent="0.2">
      <c r="A45" s="42" t="s">
        <v>104</v>
      </c>
      <c r="B45" s="43"/>
      <c r="C45" s="26">
        <v>-0.08</v>
      </c>
      <c r="D45" s="26">
        <f>D42*C45</f>
        <v>-243.86283840000002</v>
      </c>
      <c r="E45" s="26"/>
      <c r="F45" s="26">
        <f>C45</f>
        <v>-0.08</v>
      </c>
      <c r="G45" s="26">
        <f>G42*F45</f>
        <v>-246.31723839999998</v>
      </c>
      <c r="H45" s="26">
        <f t="shared" si="1"/>
        <v>-2.4543999999999642</v>
      </c>
      <c r="I45" s="44">
        <f t="shared" si="8"/>
        <v>-1.0064674126256556E-2</v>
      </c>
      <c r="J45" s="44">
        <f t="shared" si="9"/>
        <v>-7.6190476190476197E-2</v>
      </c>
      <c r="K45" s="45"/>
    </row>
    <row r="46" spans="1:11" s="1" customFormat="1" ht="13.5" thickBot="1" x14ac:dyDescent="0.25">
      <c r="A46" s="48" t="s">
        <v>105</v>
      </c>
      <c r="B46" s="49"/>
      <c r="C46" s="50"/>
      <c r="D46" s="50">
        <f>SUM(D44:D45)</f>
        <v>3200.6997540000002</v>
      </c>
      <c r="E46" s="50"/>
      <c r="F46" s="50"/>
      <c r="G46" s="50">
        <f>SUM(G44:G45)</f>
        <v>3232.9137539999997</v>
      </c>
      <c r="H46" s="50">
        <f t="shared" si="1"/>
        <v>32.213999999999487</v>
      </c>
      <c r="I46" s="51">
        <f t="shared" si="8"/>
        <v>1.0064674126256544E-2</v>
      </c>
      <c r="J46" s="51">
        <f t="shared" si="9"/>
        <v>1</v>
      </c>
      <c r="K46" s="52"/>
    </row>
    <row r="47" spans="1:11" x14ac:dyDescent="0.2">
      <c r="A47" s="53" t="s">
        <v>106</v>
      </c>
      <c r="B47" s="54"/>
      <c r="C47" s="55"/>
      <c r="D47" s="55">
        <f>SUM(D18,D25,D26,D28,D33,D40,D41)</f>
        <v>2920.1242800000005</v>
      </c>
      <c r="E47" s="55"/>
      <c r="F47" s="55"/>
      <c r="G47" s="55">
        <f>SUM(G18,G25,G26,G28,G33,G40,G41)</f>
        <v>2950.8042800000003</v>
      </c>
      <c r="H47" s="55">
        <f>G47-D47</f>
        <v>30.679999999999836</v>
      </c>
      <c r="I47" s="56">
        <f t="shared" si="8"/>
        <v>1.0506402145322332E-2</v>
      </c>
      <c r="J47" s="56"/>
      <c r="K47" s="57">
        <f>G47/$G$51</f>
        <v>0.95238095238095233</v>
      </c>
    </row>
    <row r="48" spans="1:11" x14ac:dyDescent="0.2">
      <c r="A48" s="58" t="s">
        <v>102</v>
      </c>
      <c r="B48" s="59"/>
      <c r="C48" s="31">
        <v>0.13</v>
      </c>
      <c r="D48" s="31">
        <f>D47*C48</f>
        <v>379.61615640000008</v>
      </c>
      <c r="E48" s="31"/>
      <c r="F48" s="31">
        <f>C48</f>
        <v>0.13</v>
      </c>
      <c r="G48" s="31">
        <f>G47*F48</f>
        <v>383.60455640000004</v>
      </c>
      <c r="H48" s="31">
        <f>G48-D48</f>
        <v>3.988399999999956</v>
      </c>
      <c r="I48" s="32">
        <f t="shared" si="8"/>
        <v>1.0506402145322271E-2</v>
      </c>
      <c r="J48" s="32"/>
      <c r="K48" s="60">
        <f>G48/$G$51</f>
        <v>0.1238095238095238</v>
      </c>
    </row>
    <row r="49" spans="1:11" x14ac:dyDescent="0.2">
      <c r="A49" s="149" t="s">
        <v>107</v>
      </c>
      <c r="B49" s="29"/>
      <c r="C49" s="30"/>
      <c r="D49" s="30">
        <f>SUM(D47:D48)</f>
        <v>3299.7404364000004</v>
      </c>
      <c r="E49" s="30"/>
      <c r="F49" s="30"/>
      <c r="G49" s="30">
        <f>SUM(G47:G48)</f>
        <v>3334.4088364000004</v>
      </c>
      <c r="H49" s="30">
        <f>G49-D49</f>
        <v>34.66840000000002</v>
      </c>
      <c r="I49" s="33">
        <f t="shared" si="8"/>
        <v>1.0506402145322394E-2</v>
      </c>
      <c r="J49" s="33"/>
      <c r="K49" s="62">
        <f>G49/$G$51</f>
        <v>1.0761904761904761</v>
      </c>
    </row>
    <row r="50" spans="1:11" x14ac:dyDescent="0.2">
      <c r="A50" s="58" t="s">
        <v>104</v>
      </c>
      <c r="B50" s="59"/>
      <c r="C50" s="31">
        <v>-0.08</v>
      </c>
      <c r="D50" s="31">
        <f>D47*C50</f>
        <v>-233.60994240000005</v>
      </c>
      <c r="E50" s="31"/>
      <c r="F50" s="31">
        <f>C50</f>
        <v>-0.08</v>
      </c>
      <c r="G50" s="31">
        <f>G47*F50</f>
        <v>-236.06434240000002</v>
      </c>
      <c r="H50" s="31">
        <f>G50-D50</f>
        <v>-2.4543999999999642</v>
      </c>
      <c r="I50" s="32">
        <f t="shared" si="8"/>
        <v>-1.0506402145322235E-2</v>
      </c>
      <c r="J50" s="32"/>
      <c r="K50" s="60">
        <f>G50/$G$51</f>
        <v>-7.6190476190476183E-2</v>
      </c>
    </row>
    <row r="51" spans="1:11" ht="13.5" thickBot="1" x14ac:dyDescent="0.25">
      <c r="A51" s="63" t="s">
        <v>116</v>
      </c>
      <c r="B51" s="64"/>
      <c r="C51" s="65"/>
      <c r="D51" s="65">
        <f>SUM(D49:D50)</f>
        <v>3066.1304940000005</v>
      </c>
      <c r="E51" s="65"/>
      <c r="F51" s="65"/>
      <c r="G51" s="65">
        <f>SUM(G49:G50)</f>
        <v>3098.3444940000004</v>
      </c>
      <c r="H51" s="65">
        <f>G51-D51</f>
        <v>32.213999999999942</v>
      </c>
      <c r="I51" s="66">
        <f t="shared" si="8"/>
        <v>1.050640214532237E-2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4" orientation="landscape" r:id="rId1"/>
  <headerFooter>
    <oddHeader>&amp;RUpdated: 2017-06-07
EB-2017-0049
Exhibit H1-4-1
Attachment 3
Page &amp;P of &amp;N</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1" tint="0.499984740745262"/>
    <pageSetUpPr fitToPage="1"/>
  </sheetPr>
  <dimension ref="A1:J43"/>
  <sheetViews>
    <sheetView tabSelected="1" view="pageLayout"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117</v>
      </c>
      <c r="B1" s="189"/>
      <c r="C1" s="189"/>
      <c r="D1" s="189"/>
      <c r="E1" s="189"/>
      <c r="F1" s="189"/>
      <c r="G1" s="189"/>
      <c r="H1" s="189"/>
      <c r="I1" s="189"/>
      <c r="J1" s="190"/>
    </row>
    <row r="3" spans="1:10" x14ac:dyDescent="0.2">
      <c r="A3" s="13" t="s">
        <v>13</v>
      </c>
      <c r="B3" s="13" t="s">
        <v>7</v>
      </c>
    </row>
    <row r="4" spans="1:10" x14ac:dyDescent="0.2">
      <c r="A4" s="15" t="s">
        <v>62</v>
      </c>
      <c r="B4" s="79">
        <v>15000</v>
      </c>
    </row>
    <row r="5" spans="1:10" x14ac:dyDescent="0.2">
      <c r="A5" s="15" t="s">
        <v>16</v>
      </c>
      <c r="B5" s="79">
        <v>60</v>
      </c>
    </row>
    <row r="6" spans="1:10" x14ac:dyDescent="0.2">
      <c r="A6" s="15" t="s">
        <v>20</v>
      </c>
      <c r="B6" s="80">
        <f>VLOOKUP($B$3,'Data for Bill Impacts'!$A$3:$Y$15,2,0)</f>
        <v>1.05</v>
      </c>
    </row>
    <row r="7" spans="1:10" x14ac:dyDescent="0.2">
      <c r="A7" s="81" t="s">
        <v>48</v>
      </c>
      <c r="B7" s="82">
        <f>B4/(B5*730)</f>
        <v>0.34246575342465752</v>
      </c>
    </row>
    <row r="8" spans="1:10" x14ac:dyDescent="0.2">
      <c r="A8" s="15" t="s">
        <v>15</v>
      </c>
      <c r="B8" s="79">
        <f>VLOOKUP($B$3,'Data for Bill Impacts'!$A$3:$Y$15,4,0)</f>
        <v>0</v>
      </c>
    </row>
    <row r="9" spans="1:10" x14ac:dyDescent="0.2">
      <c r="A9" s="15" t="s">
        <v>82</v>
      </c>
      <c r="B9" s="79">
        <f>B4*B6</f>
        <v>15750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15750</v>
      </c>
      <c r="C13" s="103">
        <v>9.0999999999999998E-2</v>
      </c>
      <c r="D13" s="104">
        <f>B13*C13</f>
        <v>1433.25</v>
      </c>
      <c r="E13" s="102">
        <f>B13</f>
        <v>15750</v>
      </c>
      <c r="F13" s="103">
        <f>C13</f>
        <v>9.0999999999999998E-2</v>
      </c>
      <c r="G13" s="104">
        <f>E13*F13</f>
        <v>1433.25</v>
      </c>
      <c r="H13" s="104">
        <f>G13-D13</f>
        <v>0</v>
      </c>
      <c r="I13" s="105">
        <f t="shared" ref="I13:I18" si="0">IF(ISERROR(H13/ABS(D13)),"N/A",(H13/ABS(D13)))</f>
        <v>0</v>
      </c>
      <c r="J13" s="123">
        <f t="shared" ref="J13:J21" si="1">G13/$G$38</f>
        <v>0.4901471059657323</v>
      </c>
    </row>
    <row r="14" spans="1:10" x14ac:dyDescent="0.2">
      <c r="A14" s="107" t="s">
        <v>32</v>
      </c>
      <c r="B14" s="73">
        <v>0</v>
      </c>
      <c r="C14" s="21">
        <v>0.106</v>
      </c>
      <c r="D14" s="22">
        <f>B14*C14</f>
        <v>0</v>
      </c>
      <c r="E14" s="73">
        <f>B14</f>
        <v>0</v>
      </c>
      <c r="F14" s="21">
        <f>C14</f>
        <v>0.106</v>
      </c>
      <c r="G14" s="22">
        <f>E14*F14</f>
        <v>0</v>
      </c>
      <c r="H14" s="22">
        <f t="shared" ref="H14:H38" si="2">G14-D14</f>
        <v>0</v>
      </c>
      <c r="I14" s="23" t="str">
        <f t="shared" si="0"/>
        <v>N/A</v>
      </c>
      <c r="J14" s="124">
        <f t="shared" si="1"/>
        <v>0</v>
      </c>
    </row>
    <row r="15" spans="1:10" s="1" customFormat="1" x14ac:dyDescent="0.2">
      <c r="A15" s="46" t="s">
        <v>33</v>
      </c>
      <c r="B15" s="24"/>
      <c r="C15" s="25"/>
      <c r="D15" s="25">
        <f>SUM(D13:D14)</f>
        <v>1433.25</v>
      </c>
      <c r="E15" s="76"/>
      <c r="F15" s="25"/>
      <c r="G15" s="25">
        <f>SUM(G13:G14)</f>
        <v>1433.25</v>
      </c>
      <c r="H15" s="25">
        <f t="shared" si="2"/>
        <v>0</v>
      </c>
      <c r="I15" s="27">
        <f t="shared" si="0"/>
        <v>0</v>
      </c>
      <c r="J15" s="47">
        <f t="shared" si="1"/>
        <v>0.4901471059657323</v>
      </c>
    </row>
    <row r="16" spans="1:10" s="1" customFormat="1" x14ac:dyDescent="0.2">
      <c r="A16" s="107" t="s">
        <v>38</v>
      </c>
      <c r="B16" s="73">
        <v>1</v>
      </c>
      <c r="C16" s="78">
        <f>VLOOKUP($B$3,'Data for Bill Impacts'!$A$3:$Y$15,7,0)</f>
        <v>102.72</v>
      </c>
      <c r="D16" s="22">
        <f t="shared" ref="D16:D22" si="3">B16*C16</f>
        <v>102.72</v>
      </c>
      <c r="E16" s="73">
        <f t="shared" ref="E16:E33" si="4">B16</f>
        <v>1</v>
      </c>
      <c r="F16" s="78">
        <f>VLOOKUP($B$3,'Data for Bill Impacts'!$A$3:$Y$15,17,0)</f>
        <v>105.02</v>
      </c>
      <c r="G16" s="22">
        <f t="shared" ref="G16:G22" si="5">E16*F16</f>
        <v>105.02</v>
      </c>
      <c r="H16" s="22">
        <f t="shared" si="2"/>
        <v>2.2999999999999972</v>
      </c>
      <c r="I16" s="23">
        <f t="shared" si="0"/>
        <v>2.2390965732087199E-2</v>
      </c>
      <c r="J16" s="124">
        <f t="shared" si="1"/>
        <v>3.5915052550860777E-2</v>
      </c>
    </row>
    <row r="17" spans="1:10" hidden="1" x14ac:dyDescent="0.2">
      <c r="A17" s="107" t="s">
        <v>83</v>
      </c>
      <c r="B17" s="73">
        <v>1</v>
      </c>
      <c r="C17" s="78">
        <f>VLOOKUP($B$3,'Data for Bill Impacts'!$A$3:$Y$15,8,0)</f>
        <v>0</v>
      </c>
      <c r="D17" s="22">
        <f t="shared" si="3"/>
        <v>0</v>
      </c>
      <c r="E17" s="73">
        <f t="shared" si="4"/>
        <v>1</v>
      </c>
      <c r="F17" s="78">
        <v>0</v>
      </c>
      <c r="G17" s="22">
        <f t="shared" si="5"/>
        <v>0</v>
      </c>
      <c r="H17" s="22">
        <f t="shared" si="2"/>
        <v>0</v>
      </c>
      <c r="I17" s="23" t="str">
        <f t="shared" si="0"/>
        <v>N/A</v>
      </c>
      <c r="J17" s="124">
        <f t="shared" si="1"/>
        <v>0</v>
      </c>
    </row>
    <row r="18" spans="1:10" hidden="1" x14ac:dyDescent="0.2">
      <c r="A18" s="107" t="s">
        <v>84</v>
      </c>
      <c r="B18" s="73">
        <v>1</v>
      </c>
      <c r="C18" s="78">
        <f>VLOOKUP($B$3,'Data for Bill Impacts'!$A$3:$Y$15,11,0)</f>
        <v>0</v>
      </c>
      <c r="D18" s="22">
        <f t="shared" si="3"/>
        <v>0</v>
      </c>
      <c r="E18" s="73">
        <f t="shared" si="4"/>
        <v>1</v>
      </c>
      <c r="F18" s="78">
        <f>VLOOKUP($B$3,'Data for Bill Impacts'!$A$3:$Y$15,12,0)</f>
        <v>0</v>
      </c>
      <c r="G18" s="22">
        <f t="shared" si="5"/>
        <v>0</v>
      </c>
      <c r="H18" s="22">
        <f t="shared" si="2"/>
        <v>0</v>
      </c>
      <c r="I18" s="23" t="str">
        <f t="shared" si="0"/>
        <v>N/A</v>
      </c>
      <c r="J18" s="124">
        <f t="shared" si="1"/>
        <v>0</v>
      </c>
    </row>
    <row r="19" spans="1:10" x14ac:dyDescent="0.2">
      <c r="A19" s="107" t="s">
        <v>85</v>
      </c>
      <c r="B19" s="73">
        <v>1</v>
      </c>
      <c r="C19" s="121">
        <f>VLOOKUP($B$3,'Data for Bill Impacts'!$A$3:$Y$15,13,0)</f>
        <v>1.7999999999999999E-2</v>
      </c>
      <c r="D19" s="22">
        <f t="shared" si="3"/>
        <v>1.7999999999999999E-2</v>
      </c>
      <c r="E19" s="73">
        <f t="shared" si="4"/>
        <v>1</v>
      </c>
      <c r="F19" s="121">
        <f>VLOOKUP($B$3,'Data for Bill Impacts'!$A$3:$Y$15,22,0)</f>
        <v>1.7999999999999999E-2</v>
      </c>
      <c r="G19" s="22">
        <f t="shared" si="5"/>
        <v>1.7999999999999999E-2</v>
      </c>
      <c r="H19" s="22">
        <f t="shared" si="2"/>
        <v>0</v>
      </c>
      <c r="I19" s="23">
        <f>IF(ISERROR(H19/ABS(D19)),"N/A",(H19/ABS(D19)))</f>
        <v>0</v>
      </c>
      <c r="J19" s="124">
        <f t="shared" si="1"/>
        <v>6.1556936385021323E-6</v>
      </c>
    </row>
    <row r="20" spans="1:10" x14ac:dyDescent="0.2">
      <c r="A20" s="107" t="s">
        <v>39</v>
      </c>
      <c r="B20" s="73">
        <f>IF($B$10="kWh",$B$4,$B$5)</f>
        <v>60</v>
      </c>
      <c r="C20" s="78">
        <f>VLOOKUP($B$3,'Data for Bill Impacts'!$A$3:$Y$15,10,0)</f>
        <v>9.9799000000000007</v>
      </c>
      <c r="D20" s="22">
        <f t="shared" si="3"/>
        <v>598.7940000000001</v>
      </c>
      <c r="E20" s="73">
        <f t="shared" si="4"/>
        <v>60</v>
      </c>
      <c r="F20" s="125">
        <f>VLOOKUP($B$3,'Data for Bill Impacts'!$A$3:$Y$15,19,0)</f>
        <v>10.293200000000001</v>
      </c>
      <c r="G20" s="22">
        <f t="shared" si="5"/>
        <v>617.59199999999998</v>
      </c>
      <c r="H20" s="22">
        <f t="shared" si="2"/>
        <v>18.797999999999888</v>
      </c>
      <c r="I20" s="23">
        <f>IF(ISERROR(H20/D20),0,(H20/D20))</f>
        <v>3.1393100131263646E-2</v>
      </c>
      <c r="J20" s="124">
        <f t="shared" si="1"/>
        <v>0.21120595253276717</v>
      </c>
    </row>
    <row r="21" spans="1:10" s="1" customFormat="1" x14ac:dyDescent="0.2">
      <c r="A21" s="107" t="s">
        <v>121</v>
      </c>
      <c r="B21" s="73">
        <f>IF($B$10="kWh",$B$4,$B$5)</f>
        <v>60</v>
      </c>
      <c r="C21" s="125">
        <f>VLOOKUP($B$3,'Data for Bill Impacts'!$A$3:$Y$15,14,0)</f>
        <v>1.1179999999999999E-2</v>
      </c>
      <c r="D21" s="22">
        <f t="shared" si="3"/>
        <v>0.67079999999999995</v>
      </c>
      <c r="E21" s="73">
        <f t="shared" si="4"/>
        <v>60</v>
      </c>
      <c r="F21" s="125">
        <f>VLOOKUP($B$3,'Data for Bill Impacts'!$A$3:$Y$15,23,0)</f>
        <v>1.1179999999999999E-2</v>
      </c>
      <c r="G21" s="22">
        <f t="shared" si="5"/>
        <v>0.67079999999999995</v>
      </c>
      <c r="H21" s="22">
        <f t="shared" si="2"/>
        <v>0</v>
      </c>
      <c r="I21" s="23">
        <f>IF(ISERROR(H21/D21),0,(H21/D21))</f>
        <v>0</v>
      </c>
      <c r="J21" s="124">
        <f t="shared" si="1"/>
        <v>2.2940218292817946E-4</v>
      </c>
    </row>
    <row r="22" spans="1:10" s="1" customFormat="1" x14ac:dyDescent="0.2">
      <c r="A22" s="107" t="s">
        <v>108</v>
      </c>
      <c r="B22" s="73">
        <f>B9</f>
        <v>15750</v>
      </c>
      <c r="C22" s="125">
        <f>VLOOKUP($B$3,'Data for Bill Impacts'!$A$3:$Y$15,20,0)</f>
        <v>0</v>
      </c>
      <c r="D22" s="22">
        <f t="shared" si="3"/>
        <v>0</v>
      </c>
      <c r="E22" s="73">
        <f>B22</f>
        <v>15750</v>
      </c>
      <c r="F22" s="125">
        <f>VLOOKUP($B$3,'Data for Bill Impacts'!$A$3:$Y$15,21,0)</f>
        <v>0</v>
      </c>
      <c r="G22" s="22">
        <f t="shared" si="5"/>
        <v>0</v>
      </c>
      <c r="H22" s="22">
        <f>G22-D22</f>
        <v>0</v>
      </c>
      <c r="I22" s="23" t="str">
        <f t="shared" ref="I22:I38" si="6">IF(ISERROR(H22/ABS(D22)),"N/A",(H22/ABS(D22)))</f>
        <v>N/A</v>
      </c>
      <c r="J22" s="124">
        <f>G22/$G$38</f>
        <v>0</v>
      </c>
    </row>
    <row r="23" spans="1:10" x14ac:dyDescent="0.2">
      <c r="A23" s="110" t="s">
        <v>93</v>
      </c>
      <c r="B23" s="74"/>
      <c r="C23" s="35"/>
      <c r="D23" s="35">
        <f>SUM(D16:D22)</f>
        <v>702.20280000000014</v>
      </c>
      <c r="E23" s="73"/>
      <c r="F23" s="35"/>
      <c r="G23" s="35">
        <f>SUM(G16:G22)</f>
        <v>723.30079999999998</v>
      </c>
      <c r="H23" s="35">
        <f t="shared" si="2"/>
        <v>21.097999999999843</v>
      </c>
      <c r="I23" s="36">
        <f t="shared" si="6"/>
        <v>3.0045451257100994E-2</v>
      </c>
      <c r="J23" s="111">
        <f t="shared" ref="J23:J29" si="7">G23/$G$38</f>
        <v>0.24735656296019462</v>
      </c>
    </row>
    <row r="24" spans="1:10" x14ac:dyDescent="0.2">
      <c r="A24" s="107" t="s">
        <v>40</v>
      </c>
      <c r="B24" s="73">
        <f>B5</f>
        <v>60</v>
      </c>
      <c r="C24" s="78">
        <f>VLOOKUP($B$3,'Data for Bill Impacts'!$A$3:$Y$15,15,0)</f>
        <v>2.2310400000000001</v>
      </c>
      <c r="D24" s="22">
        <f>B24*C24</f>
        <v>133.86240000000001</v>
      </c>
      <c r="E24" s="73">
        <f t="shared" si="4"/>
        <v>60</v>
      </c>
      <c r="F24" s="125">
        <f>VLOOKUP($B$3,'Data for Bill Impacts'!$A$3:$Y$15,24,0)</f>
        <v>2.2310400000000001</v>
      </c>
      <c r="G24" s="22">
        <f>E24*F24</f>
        <v>133.86240000000001</v>
      </c>
      <c r="H24" s="22">
        <f t="shared" si="2"/>
        <v>0</v>
      </c>
      <c r="I24" s="23">
        <f t="shared" si="6"/>
        <v>0</v>
      </c>
      <c r="J24" s="124">
        <f t="shared" si="7"/>
        <v>4.5778662450812663E-2</v>
      </c>
    </row>
    <row r="25" spans="1:10" s="1" customFormat="1" x14ac:dyDescent="0.2">
      <c r="A25" s="107" t="s">
        <v>41</v>
      </c>
      <c r="B25" s="73">
        <f>B5</f>
        <v>60</v>
      </c>
      <c r="C25" s="78">
        <f>VLOOKUP($B$3,'Data for Bill Impacts'!$A$3:$Y$15,16,0)</f>
        <v>1.7046749999999999</v>
      </c>
      <c r="D25" s="22">
        <f>B25*C25</f>
        <v>102.28049999999999</v>
      </c>
      <c r="E25" s="73">
        <f t="shared" si="4"/>
        <v>60</v>
      </c>
      <c r="F25" s="125">
        <f>VLOOKUP($B$3,'Data for Bill Impacts'!$A$3:$Y$15,25,0)</f>
        <v>1.7046749999999999</v>
      </c>
      <c r="G25" s="22">
        <f>E25*F25</f>
        <v>102.28049999999999</v>
      </c>
      <c r="H25" s="22">
        <f t="shared" si="2"/>
        <v>0</v>
      </c>
      <c r="I25" s="23">
        <f t="shared" si="6"/>
        <v>0</v>
      </c>
      <c r="J25" s="124">
        <f t="shared" si="7"/>
        <v>3.4978190177378736E-2</v>
      </c>
    </row>
    <row r="26" spans="1:10" x14ac:dyDescent="0.2">
      <c r="A26" s="110" t="s">
        <v>76</v>
      </c>
      <c r="B26" s="74"/>
      <c r="C26" s="35"/>
      <c r="D26" s="35">
        <f>SUM(D24:D25)</f>
        <v>236.1429</v>
      </c>
      <c r="E26" s="73"/>
      <c r="F26" s="35"/>
      <c r="G26" s="35">
        <f>SUM(G24:G25)</f>
        <v>236.1429</v>
      </c>
      <c r="H26" s="35">
        <f t="shared" si="2"/>
        <v>0</v>
      </c>
      <c r="I26" s="36">
        <f t="shared" si="6"/>
        <v>0</v>
      </c>
      <c r="J26" s="111">
        <f t="shared" si="7"/>
        <v>8.0756852628191406E-2</v>
      </c>
    </row>
    <row r="27" spans="1:10" s="1" customFormat="1" x14ac:dyDescent="0.2">
      <c r="A27" s="110" t="s">
        <v>80</v>
      </c>
      <c r="B27" s="74"/>
      <c r="C27" s="35"/>
      <c r="D27" s="35">
        <f>D23+D26</f>
        <v>938.34570000000008</v>
      </c>
      <c r="E27" s="73"/>
      <c r="F27" s="35"/>
      <c r="G27" s="35">
        <f>G23+G26</f>
        <v>959.44370000000004</v>
      </c>
      <c r="H27" s="35">
        <f t="shared" si="2"/>
        <v>21.097999999999956</v>
      </c>
      <c r="I27" s="36">
        <f t="shared" si="6"/>
        <v>2.2484250740425361E-2</v>
      </c>
      <c r="J27" s="111">
        <f t="shared" si="7"/>
        <v>0.32811341558838603</v>
      </c>
    </row>
    <row r="28" spans="1:10" x14ac:dyDescent="0.2">
      <c r="A28" s="107" t="s">
        <v>42</v>
      </c>
      <c r="B28" s="73">
        <f>B9</f>
        <v>15750</v>
      </c>
      <c r="C28" s="34">
        <v>3.5999999999999999E-3</v>
      </c>
      <c r="D28" s="22">
        <f>B28*C28</f>
        <v>56.699999999999996</v>
      </c>
      <c r="E28" s="73">
        <f t="shared" si="4"/>
        <v>15750</v>
      </c>
      <c r="F28" s="34">
        <v>3.5999999999999999E-3</v>
      </c>
      <c r="G28" s="22">
        <f>E28*F28</f>
        <v>56.699999999999996</v>
      </c>
      <c r="H28" s="22">
        <f t="shared" si="2"/>
        <v>0</v>
      </c>
      <c r="I28" s="23">
        <f t="shared" si="6"/>
        <v>0</v>
      </c>
      <c r="J28" s="124">
        <f t="shared" si="7"/>
        <v>1.9390434961281715E-2</v>
      </c>
    </row>
    <row r="29" spans="1:10" x14ac:dyDescent="0.2">
      <c r="A29" s="107" t="s">
        <v>43</v>
      </c>
      <c r="B29" s="73">
        <f>B9</f>
        <v>15750</v>
      </c>
      <c r="C29" s="34">
        <v>2.0999999999999999E-3</v>
      </c>
      <c r="D29" s="22">
        <f>B29*C29</f>
        <v>33.074999999999996</v>
      </c>
      <c r="E29" s="73">
        <f t="shared" si="4"/>
        <v>15750</v>
      </c>
      <c r="F29" s="34">
        <v>2.0999999999999999E-3</v>
      </c>
      <c r="G29" s="22">
        <f>E29*F29</f>
        <v>33.074999999999996</v>
      </c>
      <c r="H29" s="22">
        <f>G29-D29</f>
        <v>0</v>
      </c>
      <c r="I29" s="23">
        <f t="shared" si="6"/>
        <v>0</v>
      </c>
      <c r="J29" s="124">
        <f t="shared" si="7"/>
        <v>1.1311087060747666E-2</v>
      </c>
    </row>
    <row r="30" spans="1:10" x14ac:dyDescent="0.2">
      <c r="A30" s="107" t="s">
        <v>96</v>
      </c>
      <c r="B30" s="73">
        <f>B9</f>
        <v>15750</v>
      </c>
      <c r="C30" s="34">
        <v>0</v>
      </c>
      <c r="D30" s="22">
        <f>B30*C30</f>
        <v>0</v>
      </c>
      <c r="E30" s="73">
        <f t="shared" si="4"/>
        <v>15750</v>
      </c>
      <c r="F30" s="34">
        <v>0</v>
      </c>
      <c r="G30" s="22">
        <f>E30*F30</f>
        <v>0</v>
      </c>
      <c r="H30" s="22">
        <f>G30-D30</f>
        <v>0</v>
      </c>
      <c r="I30" s="23" t="str">
        <f t="shared" si="6"/>
        <v>N/A</v>
      </c>
      <c r="J30" s="124">
        <f>G30/$G$38</f>
        <v>0</v>
      </c>
    </row>
    <row r="31" spans="1:10" x14ac:dyDescent="0.2">
      <c r="A31" s="107" t="s">
        <v>44</v>
      </c>
      <c r="B31" s="73">
        <v>1</v>
      </c>
      <c r="C31" s="22">
        <v>0.25</v>
      </c>
      <c r="D31" s="22">
        <f>B31*C31</f>
        <v>0.25</v>
      </c>
      <c r="E31" s="73">
        <f t="shared" si="4"/>
        <v>1</v>
      </c>
      <c r="F31" s="22">
        <f>C31</f>
        <v>0.25</v>
      </c>
      <c r="G31" s="22">
        <f>E31*F31</f>
        <v>0.25</v>
      </c>
      <c r="H31" s="22">
        <f t="shared" si="2"/>
        <v>0</v>
      </c>
      <c r="I31" s="23">
        <f t="shared" si="6"/>
        <v>0</v>
      </c>
      <c r="J31" s="124">
        <f t="shared" ref="J31:J38" si="8">G31/$G$38</f>
        <v>8.5495744979196286E-5</v>
      </c>
    </row>
    <row r="32" spans="1:10" x14ac:dyDescent="0.2">
      <c r="A32" s="110" t="s">
        <v>45</v>
      </c>
      <c r="B32" s="74"/>
      <c r="C32" s="35"/>
      <c r="D32" s="35">
        <f>SUM(D28:D31)</f>
        <v>90.024999999999991</v>
      </c>
      <c r="E32" s="73"/>
      <c r="F32" s="35"/>
      <c r="G32" s="35">
        <f>SUM(G28:G31)</f>
        <v>90.024999999999991</v>
      </c>
      <c r="H32" s="35">
        <f t="shared" si="2"/>
        <v>0</v>
      </c>
      <c r="I32" s="36">
        <f t="shared" si="6"/>
        <v>0</v>
      </c>
      <c r="J32" s="111">
        <f t="shared" si="8"/>
        <v>3.0787017767008578E-2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2"/>
        <v>0</v>
      </c>
      <c r="I33" s="117">
        <f t="shared" si="6"/>
        <v>0</v>
      </c>
      <c r="J33" s="118">
        <f t="shared" si="8"/>
        <v>3.5908212891262441E-2</v>
      </c>
    </row>
    <row r="34" spans="1:10" x14ac:dyDescent="0.2">
      <c r="A34" s="37" t="s">
        <v>111</v>
      </c>
      <c r="B34" s="38"/>
      <c r="C34" s="39"/>
      <c r="D34" s="39">
        <f>SUM(D15,D23,D26,D32,D33)</f>
        <v>2566.6206999999999</v>
      </c>
      <c r="E34" s="38"/>
      <c r="F34" s="39"/>
      <c r="G34" s="39">
        <f>SUM(G15,G23,G26,G32,G33)</f>
        <v>2587.7186999999999</v>
      </c>
      <c r="H34" s="39">
        <f t="shared" si="2"/>
        <v>21.097999999999956</v>
      </c>
      <c r="I34" s="40">
        <f t="shared" si="6"/>
        <v>8.22014721536375E-3</v>
      </c>
      <c r="J34" s="41">
        <f t="shared" si="8"/>
        <v>0.88495575221238931</v>
      </c>
    </row>
    <row r="35" spans="1:10" x14ac:dyDescent="0.2">
      <c r="A35" s="46" t="s">
        <v>102</v>
      </c>
      <c r="B35" s="43"/>
      <c r="C35" s="26">
        <v>0.13</v>
      </c>
      <c r="D35" s="26">
        <f>D34*C35</f>
        <v>333.66069099999999</v>
      </c>
      <c r="E35" s="26"/>
      <c r="F35" s="26">
        <f>C35</f>
        <v>0.13</v>
      </c>
      <c r="G35" s="26">
        <f>G34*F35</f>
        <v>336.40343100000001</v>
      </c>
      <c r="H35" s="26">
        <f t="shared" si="2"/>
        <v>2.7427400000000262</v>
      </c>
      <c r="I35" s="44">
        <f t="shared" si="6"/>
        <v>8.2201472153638454E-3</v>
      </c>
      <c r="J35" s="45">
        <f t="shared" si="8"/>
        <v>0.11504424778761062</v>
      </c>
    </row>
    <row r="36" spans="1:10" x14ac:dyDescent="0.2">
      <c r="A36" s="46" t="s">
        <v>103</v>
      </c>
      <c r="B36" s="24"/>
      <c r="C36" s="25"/>
      <c r="D36" s="25">
        <f>SUM(D34:D35)</f>
        <v>2900.281391</v>
      </c>
      <c r="E36" s="25"/>
      <c r="F36" s="25"/>
      <c r="G36" s="25">
        <f>SUM(G34:G35)</f>
        <v>2924.1221310000001</v>
      </c>
      <c r="H36" s="25">
        <f t="shared" si="2"/>
        <v>23.840740000000096</v>
      </c>
      <c r="I36" s="27">
        <f t="shared" si="6"/>
        <v>8.2201472153637985E-3</v>
      </c>
      <c r="J36" s="47">
        <f t="shared" si="8"/>
        <v>1</v>
      </c>
    </row>
    <row r="37" spans="1:10" x14ac:dyDescent="0.2">
      <c r="A37" s="46" t="s">
        <v>104</v>
      </c>
      <c r="B37" s="43"/>
      <c r="C37" s="26">
        <v>0</v>
      </c>
      <c r="D37" s="26">
        <f>D34*C37</f>
        <v>0</v>
      </c>
      <c r="E37" s="26"/>
      <c r="F37" s="26">
        <f>C37</f>
        <v>0</v>
      </c>
      <c r="G37" s="26">
        <f>G34*F37</f>
        <v>0</v>
      </c>
      <c r="H37" s="26">
        <f t="shared" si="2"/>
        <v>0</v>
      </c>
      <c r="I37" s="44" t="str">
        <f t="shared" si="6"/>
        <v>N/A</v>
      </c>
      <c r="J37" s="45">
        <f t="shared" si="8"/>
        <v>0</v>
      </c>
    </row>
    <row r="38" spans="1:10" ht="13.5" thickBot="1" x14ac:dyDescent="0.25">
      <c r="A38" s="46" t="s">
        <v>105</v>
      </c>
      <c r="B38" s="49"/>
      <c r="C38" s="50"/>
      <c r="D38" s="50">
        <f>SUM(D36:D37)</f>
        <v>2900.281391</v>
      </c>
      <c r="E38" s="50"/>
      <c r="F38" s="50"/>
      <c r="G38" s="50">
        <f>SUM(G36:G37)</f>
        <v>2924.1221310000001</v>
      </c>
      <c r="H38" s="50">
        <f t="shared" si="2"/>
        <v>23.840740000000096</v>
      </c>
      <c r="I38" s="51">
        <f t="shared" si="6"/>
        <v>8.2201472153637985E-3</v>
      </c>
      <c r="J38" s="52">
        <f t="shared" si="8"/>
        <v>1</v>
      </c>
    </row>
    <row r="39" spans="1:10" x14ac:dyDescent="0.2">
      <c r="A39" s="169"/>
      <c r="F39" s="69"/>
    </row>
    <row r="40" spans="1:10" x14ac:dyDescent="0.2">
      <c r="A40" s="170"/>
      <c r="F40" s="69"/>
    </row>
    <row r="41" spans="1:10" x14ac:dyDescent="0.2">
      <c r="A41" s="170"/>
    </row>
    <row r="42" spans="1:10" x14ac:dyDescent="0.2">
      <c r="A42" s="170"/>
    </row>
    <row r="43" spans="1:10" x14ac:dyDescent="0.2">
      <c r="A43" s="170"/>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1" tint="0.499984740745262"/>
    <pageSetUpPr fitToPage="1"/>
  </sheetPr>
  <dimension ref="A1:J43"/>
  <sheetViews>
    <sheetView tabSelected="1" view="pageLayout" topLeftCell="A10"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119</v>
      </c>
      <c r="B1" s="189"/>
      <c r="C1" s="189"/>
      <c r="D1" s="189"/>
      <c r="E1" s="189"/>
      <c r="F1" s="189"/>
      <c r="G1" s="189"/>
      <c r="H1" s="189"/>
      <c r="I1" s="189"/>
      <c r="J1" s="190"/>
    </row>
    <row r="3" spans="1:10" x14ac:dyDescent="0.2">
      <c r="A3" s="13" t="s">
        <v>13</v>
      </c>
      <c r="B3" s="13" t="s">
        <v>7</v>
      </c>
    </row>
    <row r="4" spans="1:10" x14ac:dyDescent="0.2">
      <c r="A4" s="15" t="s">
        <v>62</v>
      </c>
      <c r="B4" s="79">
        <f>VLOOKUP(B3,'Data for Bill Impacts'!A19:D31,3,FALSE)</f>
        <v>50525</v>
      </c>
    </row>
    <row r="5" spans="1:10" x14ac:dyDescent="0.2">
      <c r="A5" s="15" t="s">
        <v>16</v>
      </c>
      <c r="B5" s="79">
        <f>VLOOKUP(B3,'Data for Bill Impacts'!A19:D31,4,FALSE)</f>
        <v>135</v>
      </c>
    </row>
    <row r="6" spans="1:10" x14ac:dyDescent="0.2">
      <c r="A6" s="15" t="s">
        <v>20</v>
      </c>
      <c r="B6" s="80">
        <f>VLOOKUP($B$3,'Data for Bill Impacts'!$A$3:$Y$15,2,0)</f>
        <v>1.05</v>
      </c>
    </row>
    <row r="7" spans="1:10" x14ac:dyDescent="0.2">
      <c r="A7" s="81" t="s">
        <v>48</v>
      </c>
      <c r="B7" s="82">
        <f>B4/(B5*730)</f>
        <v>0.51268391679350589</v>
      </c>
    </row>
    <row r="8" spans="1:10" x14ac:dyDescent="0.2">
      <c r="A8" s="15" t="s">
        <v>15</v>
      </c>
      <c r="B8" s="79">
        <f>VLOOKUP($B$3,'Data for Bill Impacts'!$A$3:$Y$15,4,0)</f>
        <v>0</v>
      </c>
    </row>
    <row r="9" spans="1:10" x14ac:dyDescent="0.2">
      <c r="A9" s="15" t="s">
        <v>82</v>
      </c>
      <c r="B9" s="79">
        <f>B4*B6</f>
        <v>53051.25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53051.25</v>
      </c>
      <c r="C13" s="103">
        <v>9.0999999999999998E-2</v>
      </c>
      <c r="D13" s="104">
        <f>B13*C13</f>
        <v>4827.6637499999997</v>
      </c>
      <c r="E13" s="102">
        <f>B13</f>
        <v>53051.25</v>
      </c>
      <c r="F13" s="103">
        <f>C13</f>
        <v>9.0999999999999998E-2</v>
      </c>
      <c r="G13" s="104">
        <f>E13*F13</f>
        <v>4827.6637499999997</v>
      </c>
      <c r="H13" s="104">
        <f>G13-D13</f>
        <v>0</v>
      </c>
      <c r="I13" s="105">
        <f t="shared" ref="I13:I18" si="0">IF(ISERROR(H13/ABS(D13)),"N/A",(H13/ABS(D13)))</f>
        <v>0</v>
      </c>
      <c r="J13" s="123">
        <f t="shared" ref="J13:J21" si="1">G13/$G$38</f>
        <v>0.56876890797126378</v>
      </c>
    </row>
    <row r="14" spans="1:10" x14ac:dyDescent="0.2">
      <c r="A14" s="107" t="s">
        <v>32</v>
      </c>
      <c r="B14" s="73">
        <v>0</v>
      </c>
      <c r="C14" s="21">
        <v>0.106</v>
      </c>
      <c r="D14" s="22">
        <f>B14*C14</f>
        <v>0</v>
      </c>
      <c r="E14" s="73">
        <f>B14</f>
        <v>0</v>
      </c>
      <c r="F14" s="21">
        <f>C14</f>
        <v>0.106</v>
      </c>
      <c r="G14" s="22">
        <f>E14*F14</f>
        <v>0</v>
      </c>
      <c r="H14" s="22">
        <f t="shared" ref="H14:H38" si="2">G14-D14</f>
        <v>0</v>
      </c>
      <c r="I14" s="23" t="str">
        <f t="shared" si="0"/>
        <v>N/A</v>
      </c>
      <c r="J14" s="124">
        <f t="shared" si="1"/>
        <v>0</v>
      </c>
    </row>
    <row r="15" spans="1:10" s="1" customFormat="1" x14ac:dyDescent="0.2">
      <c r="A15" s="46" t="s">
        <v>33</v>
      </c>
      <c r="B15" s="24"/>
      <c r="C15" s="25"/>
      <c r="D15" s="25">
        <f>SUM(D13:D14)</f>
        <v>4827.6637499999997</v>
      </c>
      <c r="E15" s="76"/>
      <c r="F15" s="25"/>
      <c r="G15" s="25">
        <f>SUM(G13:G14)</f>
        <v>4827.6637499999997</v>
      </c>
      <c r="H15" s="25">
        <f t="shared" si="2"/>
        <v>0</v>
      </c>
      <c r="I15" s="27">
        <f t="shared" si="0"/>
        <v>0</v>
      </c>
      <c r="J15" s="47">
        <f t="shared" si="1"/>
        <v>0.56876890797126378</v>
      </c>
    </row>
    <row r="16" spans="1:10" s="1" customFormat="1" x14ac:dyDescent="0.2">
      <c r="A16" s="107" t="s">
        <v>38</v>
      </c>
      <c r="B16" s="73">
        <v>1</v>
      </c>
      <c r="C16" s="78">
        <f>VLOOKUP($B$3,'Data for Bill Impacts'!$A$3:$Y$15,7,0)</f>
        <v>102.72</v>
      </c>
      <c r="D16" s="22">
        <f t="shared" ref="D16:D22" si="3">B16*C16</f>
        <v>102.72</v>
      </c>
      <c r="E16" s="73">
        <f t="shared" ref="E16:E33" si="4">B16</f>
        <v>1</v>
      </c>
      <c r="F16" s="78">
        <f>VLOOKUP($B$3,'Data for Bill Impacts'!$A$3:$Y$15,17,0)</f>
        <v>105.02</v>
      </c>
      <c r="G16" s="22">
        <f t="shared" ref="G16:G22" si="5">E16*F16</f>
        <v>105.02</v>
      </c>
      <c r="H16" s="22">
        <f t="shared" si="2"/>
        <v>2.2999999999999972</v>
      </c>
      <c r="I16" s="23">
        <f t="shared" si="0"/>
        <v>2.2390965732087199E-2</v>
      </c>
      <c r="J16" s="124">
        <f t="shared" si="1"/>
        <v>1.2372881337301533E-2</v>
      </c>
    </row>
    <row r="17" spans="1:10" hidden="1" x14ac:dyDescent="0.2">
      <c r="A17" s="107" t="s">
        <v>83</v>
      </c>
      <c r="B17" s="73">
        <v>1</v>
      </c>
      <c r="C17" s="78">
        <f>VLOOKUP($B$3,'Data for Bill Impacts'!$A$3:$Y$15,8,0)</f>
        <v>0</v>
      </c>
      <c r="D17" s="22">
        <f t="shared" si="3"/>
        <v>0</v>
      </c>
      <c r="E17" s="73">
        <f t="shared" si="4"/>
        <v>1</v>
      </c>
      <c r="F17" s="78">
        <v>0</v>
      </c>
      <c r="G17" s="22">
        <f t="shared" si="5"/>
        <v>0</v>
      </c>
      <c r="H17" s="22">
        <f t="shared" si="2"/>
        <v>0</v>
      </c>
      <c r="I17" s="23" t="str">
        <f t="shared" si="0"/>
        <v>N/A</v>
      </c>
      <c r="J17" s="124">
        <f t="shared" si="1"/>
        <v>0</v>
      </c>
    </row>
    <row r="18" spans="1:10" hidden="1" x14ac:dyDescent="0.2">
      <c r="A18" s="107" t="s">
        <v>84</v>
      </c>
      <c r="B18" s="73">
        <v>1</v>
      </c>
      <c r="C18" s="78">
        <f>VLOOKUP($B$3,'Data for Bill Impacts'!$A$3:$Y$15,11,0)</f>
        <v>0</v>
      </c>
      <c r="D18" s="22">
        <f t="shared" si="3"/>
        <v>0</v>
      </c>
      <c r="E18" s="73">
        <f t="shared" si="4"/>
        <v>1</v>
      </c>
      <c r="F18" s="78">
        <f>VLOOKUP($B$3,'Data for Bill Impacts'!$A$3:$Y$15,12,0)</f>
        <v>0</v>
      </c>
      <c r="G18" s="22">
        <f t="shared" si="5"/>
        <v>0</v>
      </c>
      <c r="H18" s="22">
        <f t="shared" si="2"/>
        <v>0</v>
      </c>
      <c r="I18" s="23" t="str">
        <f t="shared" si="0"/>
        <v>N/A</v>
      </c>
      <c r="J18" s="124">
        <f t="shared" si="1"/>
        <v>0</v>
      </c>
    </row>
    <row r="19" spans="1:10" x14ac:dyDescent="0.2">
      <c r="A19" s="107" t="s">
        <v>85</v>
      </c>
      <c r="B19" s="73">
        <v>1</v>
      </c>
      <c r="C19" s="121">
        <f>VLOOKUP($B$3,'Data for Bill Impacts'!$A$3:$Y$15,13,0)</f>
        <v>1.7999999999999999E-2</v>
      </c>
      <c r="D19" s="22">
        <f t="shared" si="3"/>
        <v>1.7999999999999999E-2</v>
      </c>
      <c r="E19" s="73">
        <f t="shared" si="4"/>
        <v>1</v>
      </c>
      <c r="F19" s="121">
        <f>VLOOKUP($B$3,'Data for Bill Impacts'!$A$3:$Y$15,22,0)</f>
        <v>1.7999999999999999E-2</v>
      </c>
      <c r="G19" s="22">
        <f t="shared" si="5"/>
        <v>1.7999999999999999E-2</v>
      </c>
      <c r="H19" s="22">
        <f t="shared" si="2"/>
        <v>0</v>
      </c>
      <c r="I19" s="23">
        <f>IF(ISERROR(H19/ABS(D19)),"N/A",(H19/ABS(D19)))</f>
        <v>0</v>
      </c>
      <c r="J19" s="124">
        <f t="shared" si="1"/>
        <v>2.1206614365971012E-6</v>
      </c>
    </row>
    <row r="20" spans="1:10" x14ac:dyDescent="0.2">
      <c r="A20" s="107" t="s">
        <v>39</v>
      </c>
      <c r="B20" s="73">
        <f>IF($B$10="kWh",$B$4,$B$5)</f>
        <v>135</v>
      </c>
      <c r="C20" s="78">
        <f>VLOOKUP($B$3,'Data for Bill Impacts'!$A$3:$Y$15,10,0)</f>
        <v>9.9799000000000007</v>
      </c>
      <c r="D20" s="22">
        <f t="shared" si="3"/>
        <v>1347.2865000000002</v>
      </c>
      <c r="E20" s="73">
        <f t="shared" si="4"/>
        <v>135</v>
      </c>
      <c r="F20" s="125">
        <f>VLOOKUP($B$3,'Data for Bill Impacts'!$A$3:$Y$15,19,0)</f>
        <v>10.293200000000001</v>
      </c>
      <c r="G20" s="22">
        <f t="shared" si="5"/>
        <v>1389.5820000000001</v>
      </c>
      <c r="H20" s="22">
        <f t="shared" si="2"/>
        <v>42.295499999999947</v>
      </c>
      <c r="I20" s="23">
        <f>IF(ISERROR(H20/D20),0,(H20/D20))</f>
        <v>3.1393100131263799E-2</v>
      </c>
      <c r="J20" s="124">
        <f t="shared" si="1"/>
        <v>0.16371294224385963</v>
      </c>
    </row>
    <row r="21" spans="1:10" s="1" customFormat="1" x14ac:dyDescent="0.2">
      <c r="A21" s="107" t="s">
        <v>121</v>
      </c>
      <c r="B21" s="73">
        <f>IF($B$10="kWh",$B$4,$B$5)</f>
        <v>135</v>
      </c>
      <c r="C21" s="125">
        <f>VLOOKUP($B$3,'Data for Bill Impacts'!$A$3:$Y$15,14,0)</f>
        <v>1.1179999999999999E-2</v>
      </c>
      <c r="D21" s="22">
        <f t="shared" si="3"/>
        <v>1.5092999999999999</v>
      </c>
      <c r="E21" s="73">
        <f t="shared" si="4"/>
        <v>135</v>
      </c>
      <c r="F21" s="125">
        <f>VLOOKUP($B$3,'Data for Bill Impacts'!$A$3:$Y$15,23,0)</f>
        <v>1.1179999999999999E-2</v>
      </c>
      <c r="G21" s="22">
        <f t="shared" si="5"/>
        <v>1.5092999999999999</v>
      </c>
      <c r="H21" s="22">
        <f t="shared" si="2"/>
        <v>0</v>
      </c>
      <c r="I21" s="23">
        <f>IF(ISERROR(H21/D21),0,(H21/D21))</f>
        <v>0</v>
      </c>
      <c r="J21" s="124">
        <f t="shared" si="1"/>
        <v>1.7781746145866694E-4</v>
      </c>
    </row>
    <row r="22" spans="1:10" s="1" customFormat="1" x14ac:dyDescent="0.2">
      <c r="A22" s="107" t="s">
        <v>108</v>
      </c>
      <c r="B22" s="73">
        <f>B9</f>
        <v>53051.25</v>
      </c>
      <c r="C22" s="125">
        <f>VLOOKUP($B$3,'Data for Bill Impacts'!$A$3:$Y$15,20,0)</f>
        <v>0</v>
      </c>
      <c r="D22" s="22">
        <f t="shared" si="3"/>
        <v>0</v>
      </c>
      <c r="E22" s="73">
        <f>B22</f>
        <v>53051.25</v>
      </c>
      <c r="F22" s="125">
        <f>VLOOKUP($B$3,'Data for Bill Impacts'!$A$3:$Y$15,21,0)</f>
        <v>0</v>
      </c>
      <c r="G22" s="22">
        <f t="shared" si="5"/>
        <v>0</v>
      </c>
      <c r="H22" s="22">
        <f>G22-D22</f>
        <v>0</v>
      </c>
      <c r="I22" s="23" t="str">
        <f t="shared" ref="I22:I38" si="6">IF(ISERROR(H22/ABS(D22)),"N/A",(H22/ABS(D22)))</f>
        <v>N/A</v>
      </c>
      <c r="J22" s="124">
        <f>G22/$G$38</f>
        <v>0</v>
      </c>
    </row>
    <row r="23" spans="1:10" x14ac:dyDescent="0.2">
      <c r="A23" s="110" t="s">
        <v>93</v>
      </c>
      <c r="B23" s="74"/>
      <c r="C23" s="35"/>
      <c r="D23" s="35">
        <f>SUM(D16:D22)</f>
        <v>1451.5338000000002</v>
      </c>
      <c r="E23" s="73"/>
      <c r="F23" s="35"/>
      <c r="G23" s="35">
        <f>SUM(G16:G22)</f>
        <v>1496.1293000000001</v>
      </c>
      <c r="H23" s="35">
        <f t="shared" si="2"/>
        <v>44.595499999999902</v>
      </c>
      <c r="I23" s="36">
        <f t="shared" si="6"/>
        <v>3.0723018644140353E-2</v>
      </c>
      <c r="J23" s="111">
        <f t="shared" ref="J23:J29" si="7">G23/$G$38</f>
        <v>0.17626576170405642</v>
      </c>
    </row>
    <row r="24" spans="1:10" x14ac:dyDescent="0.2">
      <c r="A24" s="107" t="s">
        <v>40</v>
      </c>
      <c r="B24" s="73">
        <f>B5</f>
        <v>135</v>
      </c>
      <c r="C24" s="78">
        <f>VLOOKUP($B$3,'Data for Bill Impacts'!$A$3:$Y$15,15,0)</f>
        <v>2.2310400000000001</v>
      </c>
      <c r="D24" s="22">
        <f>B24*C24</f>
        <v>301.19040000000001</v>
      </c>
      <c r="E24" s="73">
        <f t="shared" si="4"/>
        <v>135</v>
      </c>
      <c r="F24" s="125">
        <f>VLOOKUP($B$3,'Data for Bill Impacts'!$A$3:$Y$15,24,0)</f>
        <v>2.2310400000000001</v>
      </c>
      <c r="G24" s="22">
        <f>E24*F24</f>
        <v>301.19040000000001</v>
      </c>
      <c r="H24" s="22">
        <f t="shared" si="2"/>
        <v>0</v>
      </c>
      <c r="I24" s="23">
        <f t="shared" si="6"/>
        <v>0</v>
      </c>
      <c r="J24" s="124">
        <f t="shared" si="7"/>
        <v>3.5484603686291978E-2</v>
      </c>
    </row>
    <row r="25" spans="1:10" s="1" customFormat="1" x14ac:dyDescent="0.2">
      <c r="A25" s="107" t="s">
        <v>41</v>
      </c>
      <c r="B25" s="73">
        <f>B5</f>
        <v>135</v>
      </c>
      <c r="C25" s="78">
        <f>VLOOKUP($B$3,'Data for Bill Impacts'!$A$3:$Y$15,16,0)</f>
        <v>1.7046749999999999</v>
      </c>
      <c r="D25" s="22">
        <f>B25*C25</f>
        <v>230.131125</v>
      </c>
      <c r="E25" s="73">
        <f t="shared" si="4"/>
        <v>135</v>
      </c>
      <c r="F25" s="125">
        <f>VLOOKUP($B$3,'Data for Bill Impacts'!$A$3:$Y$15,25,0)</f>
        <v>1.7046749999999999</v>
      </c>
      <c r="G25" s="22">
        <f>E25*F25</f>
        <v>230.131125</v>
      </c>
      <c r="H25" s="22">
        <f t="shared" si="2"/>
        <v>0</v>
      </c>
      <c r="I25" s="23">
        <f t="shared" si="6"/>
        <v>0</v>
      </c>
      <c r="J25" s="124">
        <f t="shared" si="7"/>
        <v>2.7112789008233728E-2</v>
      </c>
    </row>
    <row r="26" spans="1:10" x14ac:dyDescent="0.2">
      <c r="A26" s="110" t="s">
        <v>76</v>
      </c>
      <c r="B26" s="74"/>
      <c r="C26" s="35"/>
      <c r="D26" s="35">
        <f>SUM(D24:D25)</f>
        <v>531.32152500000007</v>
      </c>
      <c r="E26" s="73"/>
      <c r="F26" s="35"/>
      <c r="G26" s="35">
        <f>SUM(G24:G25)</f>
        <v>531.32152500000007</v>
      </c>
      <c r="H26" s="35">
        <f t="shared" si="2"/>
        <v>0</v>
      </c>
      <c r="I26" s="36">
        <f t="shared" si="6"/>
        <v>0</v>
      </c>
      <c r="J26" s="111">
        <f t="shared" si="7"/>
        <v>6.2597392694525716E-2</v>
      </c>
    </row>
    <row r="27" spans="1:10" s="1" customFormat="1" x14ac:dyDescent="0.2">
      <c r="A27" s="110" t="s">
        <v>80</v>
      </c>
      <c r="B27" s="74"/>
      <c r="C27" s="35"/>
      <c r="D27" s="35">
        <f>D23+D26</f>
        <v>1982.8553250000002</v>
      </c>
      <c r="E27" s="73"/>
      <c r="F27" s="35"/>
      <c r="G27" s="35">
        <f>G23+G26</f>
        <v>2027.4508250000001</v>
      </c>
      <c r="H27" s="35">
        <f t="shared" si="2"/>
        <v>44.595499999999902</v>
      </c>
      <c r="I27" s="36">
        <f t="shared" si="6"/>
        <v>2.249054655563431E-2</v>
      </c>
      <c r="J27" s="111">
        <f t="shared" si="7"/>
        <v>0.23886315439858213</v>
      </c>
    </row>
    <row r="28" spans="1:10" x14ac:dyDescent="0.2">
      <c r="A28" s="107" t="s">
        <v>42</v>
      </c>
      <c r="B28" s="73">
        <f>B9</f>
        <v>53051.25</v>
      </c>
      <c r="C28" s="34">
        <v>3.5999999999999999E-3</v>
      </c>
      <c r="D28" s="22">
        <f>B28*C28</f>
        <v>190.9845</v>
      </c>
      <c r="E28" s="73">
        <f t="shared" si="4"/>
        <v>53051.25</v>
      </c>
      <c r="F28" s="34">
        <v>3.5999999999999999E-3</v>
      </c>
      <c r="G28" s="22">
        <f>E28*F28</f>
        <v>190.9845</v>
      </c>
      <c r="H28" s="22">
        <f t="shared" si="2"/>
        <v>0</v>
      </c>
      <c r="I28" s="23">
        <f t="shared" si="6"/>
        <v>0</v>
      </c>
      <c r="J28" s="124">
        <f t="shared" si="7"/>
        <v>2.2500748007654395E-2</v>
      </c>
    </row>
    <row r="29" spans="1:10" x14ac:dyDescent="0.2">
      <c r="A29" s="107" t="s">
        <v>43</v>
      </c>
      <c r="B29" s="73">
        <f>B9</f>
        <v>53051.25</v>
      </c>
      <c r="C29" s="34">
        <v>2.0999999999999999E-3</v>
      </c>
      <c r="D29" s="22">
        <f>B29*C29</f>
        <v>111.407625</v>
      </c>
      <c r="E29" s="73">
        <f t="shared" si="4"/>
        <v>53051.25</v>
      </c>
      <c r="F29" s="34">
        <v>2.0999999999999999E-3</v>
      </c>
      <c r="G29" s="22">
        <f>E29*F29</f>
        <v>111.407625</v>
      </c>
      <c r="H29" s="22">
        <f>G29-D29</f>
        <v>0</v>
      </c>
      <c r="I29" s="23">
        <f t="shared" si="6"/>
        <v>0</v>
      </c>
      <c r="J29" s="124">
        <f t="shared" si="7"/>
        <v>1.3125436337798396E-2</v>
      </c>
    </row>
    <row r="30" spans="1:10" x14ac:dyDescent="0.2">
      <c r="A30" s="107" t="s">
        <v>96</v>
      </c>
      <c r="B30" s="73">
        <f>B9</f>
        <v>53051.25</v>
      </c>
      <c r="C30" s="34">
        <v>0</v>
      </c>
      <c r="D30" s="22">
        <f>B30*C30</f>
        <v>0</v>
      </c>
      <c r="E30" s="73">
        <f t="shared" si="4"/>
        <v>53051.25</v>
      </c>
      <c r="F30" s="34">
        <v>0</v>
      </c>
      <c r="G30" s="22">
        <f>E30*F30</f>
        <v>0</v>
      </c>
      <c r="H30" s="22">
        <f>G30-D30</f>
        <v>0</v>
      </c>
      <c r="I30" s="23" t="str">
        <f t="shared" si="6"/>
        <v>N/A</v>
      </c>
      <c r="J30" s="124">
        <f>G30/$G$38</f>
        <v>0</v>
      </c>
    </row>
    <row r="31" spans="1:10" x14ac:dyDescent="0.2">
      <c r="A31" s="107" t="s">
        <v>44</v>
      </c>
      <c r="B31" s="73">
        <v>1</v>
      </c>
      <c r="C31" s="22">
        <v>0.25</v>
      </c>
      <c r="D31" s="22">
        <f>B31*C31</f>
        <v>0.25</v>
      </c>
      <c r="E31" s="73">
        <f t="shared" si="4"/>
        <v>1</v>
      </c>
      <c r="F31" s="22">
        <f>C31</f>
        <v>0.25</v>
      </c>
      <c r="G31" s="22">
        <f>E31*F31</f>
        <v>0.25</v>
      </c>
      <c r="H31" s="22">
        <f t="shared" si="2"/>
        <v>0</v>
      </c>
      <c r="I31" s="23">
        <f t="shared" si="6"/>
        <v>0</v>
      </c>
      <c r="J31" s="124">
        <f t="shared" ref="J31:J38" si="8">G31/$G$38</f>
        <v>2.9453631063848629E-5</v>
      </c>
    </row>
    <row r="32" spans="1:10" x14ac:dyDescent="0.2">
      <c r="A32" s="110" t="s">
        <v>45</v>
      </c>
      <c r="B32" s="74"/>
      <c r="C32" s="35"/>
      <c r="D32" s="35">
        <f>SUM(D28:D31)</f>
        <v>302.64212499999996</v>
      </c>
      <c r="E32" s="73"/>
      <c r="F32" s="35"/>
      <c r="G32" s="35">
        <f>SUM(G28:G31)</f>
        <v>302.64212499999996</v>
      </c>
      <c r="H32" s="35">
        <f t="shared" si="2"/>
        <v>0</v>
      </c>
      <c r="I32" s="36">
        <f t="shared" si="6"/>
        <v>0</v>
      </c>
      <c r="J32" s="111">
        <f t="shared" si="8"/>
        <v>3.5655637976516635E-2</v>
      </c>
    </row>
    <row r="33" spans="1:10" ht="13.5" thickBot="1" x14ac:dyDescent="0.25">
      <c r="A33" s="112" t="s">
        <v>46</v>
      </c>
      <c r="B33" s="113">
        <f>B4</f>
        <v>50525</v>
      </c>
      <c r="C33" s="114">
        <v>7.0000000000000001E-3</v>
      </c>
      <c r="D33" s="115">
        <f>B33*C33</f>
        <v>353.67500000000001</v>
      </c>
      <c r="E33" s="116">
        <f t="shared" si="4"/>
        <v>50525</v>
      </c>
      <c r="F33" s="114">
        <f>C33</f>
        <v>7.0000000000000001E-3</v>
      </c>
      <c r="G33" s="115">
        <f>E33*F33</f>
        <v>353.67500000000001</v>
      </c>
      <c r="H33" s="115">
        <f t="shared" si="2"/>
        <v>0</v>
      </c>
      <c r="I33" s="117">
        <f t="shared" si="6"/>
        <v>0</v>
      </c>
      <c r="J33" s="118">
        <f t="shared" si="8"/>
        <v>4.1668051866026658E-2</v>
      </c>
    </row>
    <row r="34" spans="1:10" x14ac:dyDescent="0.2">
      <c r="A34" s="37" t="s">
        <v>111</v>
      </c>
      <c r="B34" s="38"/>
      <c r="C34" s="39"/>
      <c r="D34" s="39">
        <f>SUM(D15,D23,D26,D32,D33)</f>
        <v>7466.8362000000006</v>
      </c>
      <c r="E34" s="38"/>
      <c r="F34" s="39"/>
      <c r="G34" s="39">
        <f>SUM(G15,G23,G26,G32,G33)</f>
        <v>7511.431700000001</v>
      </c>
      <c r="H34" s="39">
        <f t="shared" si="2"/>
        <v>44.595500000000357</v>
      </c>
      <c r="I34" s="40">
        <f t="shared" si="6"/>
        <v>5.9724759999422988E-3</v>
      </c>
      <c r="J34" s="41">
        <f t="shared" si="8"/>
        <v>0.88495575221238942</v>
      </c>
    </row>
    <row r="35" spans="1:10" x14ac:dyDescent="0.2">
      <c r="A35" s="46" t="s">
        <v>102</v>
      </c>
      <c r="B35" s="43"/>
      <c r="C35" s="26">
        <v>0.13</v>
      </c>
      <c r="D35" s="26">
        <f>D34*C35</f>
        <v>970.68870600000014</v>
      </c>
      <c r="E35" s="26"/>
      <c r="F35" s="26">
        <f>C35</f>
        <v>0.13</v>
      </c>
      <c r="G35" s="26">
        <f>G34*F35</f>
        <v>976.48612100000014</v>
      </c>
      <c r="H35" s="26">
        <f t="shared" si="2"/>
        <v>5.7974150000000009</v>
      </c>
      <c r="I35" s="44">
        <f t="shared" si="6"/>
        <v>5.9724759999422511E-3</v>
      </c>
      <c r="J35" s="45">
        <f t="shared" si="8"/>
        <v>0.11504424778761062</v>
      </c>
    </row>
    <row r="36" spans="1:10" x14ac:dyDescent="0.2">
      <c r="A36" s="46" t="s">
        <v>103</v>
      </c>
      <c r="B36" s="24"/>
      <c r="C36" s="25"/>
      <c r="D36" s="25">
        <f>SUM(D34:D35)</f>
        <v>8437.5249060000006</v>
      </c>
      <c r="E36" s="25"/>
      <c r="F36" s="25"/>
      <c r="G36" s="25">
        <f>SUM(G34:G35)</f>
        <v>8487.9178210000009</v>
      </c>
      <c r="H36" s="25">
        <f t="shared" si="2"/>
        <v>50.392915000000357</v>
      </c>
      <c r="I36" s="27">
        <f t="shared" si="6"/>
        <v>5.9724759999422936E-3</v>
      </c>
      <c r="J36" s="47">
        <f t="shared" si="8"/>
        <v>1</v>
      </c>
    </row>
    <row r="37" spans="1:10" x14ac:dyDescent="0.2">
      <c r="A37" s="46" t="s">
        <v>104</v>
      </c>
      <c r="B37" s="43"/>
      <c r="C37" s="26">
        <v>0</v>
      </c>
      <c r="D37" s="26">
        <f>D34*C37</f>
        <v>0</v>
      </c>
      <c r="E37" s="26"/>
      <c r="F37" s="26">
        <f>C37</f>
        <v>0</v>
      </c>
      <c r="G37" s="26">
        <f>G34*F37</f>
        <v>0</v>
      </c>
      <c r="H37" s="26">
        <f t="shared" si="2"/>
        <v>0</v>
      </c>
      <c r="I37" s="44" t="str">
        <f t="shared" si="6"/>
        <v>N/A</v>
      </c>
      <c r="J37" s="45">
        <f t="shared" si="8"/>
        <v>0</v>
      </c>
    </row>
    <row r="38" spans="1:10" ht="13.5" thickBot="1" x14ac:dyDescent="0.25">
      <c r="A38" s="46" t="s">
        <v>105</v>
      </c>
      <c r="B38" s="49"/>
      <c r="C38" s="50"/>
      <c r="D38" s="50">
        <f>SUM(D36:D37)</f>
        <v>8437.5249060000006</v>
      </c>
      <c r="E38" s="50"/>
      <c r="F38" s="50"/>
      <c r="G38" s="50">
        <f>SUM(G36:G37)</f>
        <v>8487.9178210000009</v>
      </c>
      <c r="H38" s="50">
        <f t="shared" si="2"/>
        <v>50.392915000000357</v>
      </c>
      <c r="I38" s="51">
        <f t="shared" si="6"/>
        <v>5.9724759999422936E-3</v>
      </c>
      <c r="J38" s="52">
        <f t="shared" si="8"/>
        <v>1</v>
      </c>
    </row>
    <row r="39" spans="1:10" x14ac:dyDescent="0.2">
      <c r="A39" s="169"/>
      <c r="F39" s="69"/>
    </row>
    <row r="40" spans="1:10" x14ac:dyDescent="0.2">
      <c r="A40" s="170"/>
      <c r="F40" s="69"/>
    </row>
    <row r="41" spans="1:10" x14ac:dyDescent="0.2">
      <c r="A41" s="170"/>
    </row>
    <row r="42" spans="1:10" x14ac:dyDescent="0.2">
      <c r="A42" s="170"/>
    </row>
    <row r="43" spans="1:10" x14ac:dyDescent="0.2">
      <c r="A43" s="170"/>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1" tint="0.499984740745262"/>
    <pageSetUpPr fitToPage="1"/>
  </sheetPr>
  <dimension ref="A1:J43"/>
  <sheetViews>
    <sheetView tabSelected="1" view="pageLayout" topLeftCell="A22"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120</v>
      </c>
      <c r="B1" s="189"/>
      <c r="C1" s="189"/>
      <c r="D1" s="189"/>
      <c r="E1" s="189"/>
      <c r="F1" s="189"/>
      <c r="G1" s="189"/>
      <c r="H1" s="189"/>
      <c r="I1" s="189"/>
      <c r="J1" s="190"/>
    </row>
    <row r="3" spans="1:10" x14ac:dyDescent="0.2">
      <c r="A3" s="13" t="s">
        <v>13</v>
      </c>
      <c r="B3" s="13" t="s">
        <v>7</v>
      </c>
    </row>
    <row r="4" spans="1:10" x14ac:dyDescent="0.2">
      <c r="A4" s="15" t="s">
        <v>62</v>
      </c>
      <c r="B4" s="79">
        <v>175000</v>
      </c>
    </row>
    <row r="5" spans="1:10" x14ac:dyDescent="0.2">
      <c r="A5" s="15" t="s">
        <v>16</v>
      </c>
      <c r="B5" s="79">
        <v>500</v>
      </c>
    </row>
    <row r="6" spans="1:10" x14ac:dyDescent="0.2">
      <c r="A6" s="15" t="s">
        <v>20</v>
      </c>
      <c r="B6" s="80">
        <f>VLOOKUP($B$3,'Data for Bill Impacts'!$A$3:$Y$15,2,0)</f>
        <v>1.05</v>
      </c>
    </row>
    <row r="7" spans="1:10" x14ac:dyDescent="0.2">
      <c r="A7" s="81" t="s">
        <v>48</v>
      </c>
      <c r="B7" s="82">
        <f>B4/(B5*730)</f>
        <v>0.47945205479452052</v>
      </c>
    </row>
    <row r="8" spans="1:10" x14ac:dyDescent="0.2">
      <c r="A8" s="15" t="s">
        <v>15</v>
      </c>
      <c r="B8" s="79">
        <f>VLOOKUP($B$3,'Data for Bill Impacts'!$A$3:$Y$15,4,0)</f>
        <v>0</v>
      </c>
    </row>
    <row r="9" spans="1:10" x14ac:dyDescent="0.2">
      <c r="A9" s="15" t="s">
        <v>82</v>
      </c>
      <c r="B9" s="79">
        <f>B4*B6</f>
        <v>183750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183750</v>
      </c>
      <c r="C13" s="103">
        <v>9.0999999999999998E-2</v>
      </c>
      <c r="D13" s="104">
        <f>B13*C13</f>
        <v>16721.25</v>
      </c>
      <c r="E13" s="102">
        <f>B13</f>
        <v>183750</v>
      </c>
      <c r="F13" s="103">
        <f>C13</f>
        <v>9.0999999999999998E-2</v>
      </c>
      <c r="G13" s="104">
        <f>E13*F13</f>
        <v>16721.25</v>
      </c>
      <c r="H13" s="104">
        <f>G13-D13</f>
        <v>0</v>
      </c>
      <c r="I13" s="105">
        <f t="shared" ref="I13:I18" si="0">IF(ISERROR(H13/ABS(D13)),"N/A",(H13/ABS(D13)))</f>
        <v>0</v>
      </c>
      <c r="J13" s="123">
        <f t="shared" ref="J13:J29" si="1">G13/$G$38</f>
        <v>0.56438417425745824</v>
      </c>
    </row>
    <row r="14" spans="1:10" x14ac:dyDescent="0.2">
      <c r="A14" s="107" t="s">
        <v>32</v>
      </c>
      <c r="B14" s="73">
        <v>0</v>
      </c>
      <c r="C14" s="21">
        <v>0.106</v>
      </c>
      <c r="D14" s="22">
        <f>B14*C14</f>
        <v>0</v>
      </c>
      <c r="E14" s="73">
        <f>B14</f>
        <v>0</v>
      </c>
      <c r="F14" s="21">
        <f>C14</f>
        <v>0.106</v>
      </c>
      <c r="G14" s="22">
        <f>E14*F14</f>
        <v>0</v>
      </c>
      <c r="H14" s="22">
        <f t="shared" ref="H14:H38" si="2">G14-D14</f>
        <v>0</v>
      </c>
      <c r="I14" s="23" t="str">
        <f t="shared" si="0"/>
        <v>N/A</v>
      </c>
      <c r="J14" s="124">
        <f t="shared" si="1"/>
        <v>0</v>
      </c>
    </row>
    <row r="15" spans="1:10" s="1" customFormat="1" x14ac:dyDescent="0.2">
      <c r="A15" s="46" t="s">
        <v>33</v>
      </c>
      <c r="B15" s="24"/>
      <c r="C15" s="25"/>
      <c r="D15" s="25">
        <f>SUM(D13:D14)</f>
        <v>16721.25</v>
      </c>
      <c r="E15" s="76"/>
      <c r="F15" s="25"/>
      <c r="G15" s="25">
        <f>SUM(G13:G14)</f>
        <v>16721.25</v>
      </c>
      <c r="H15" s="25">
        <f t="shared" si="2"/>
        <v>0</v>
      </c>
      <c r="I15" s="27">
        <f t="shared" si="0"/>
        <v>0</v>
      </c>
      <c r="J15" s="47">
        <f t="shared" si="1"/>
        <v>0.56438417425745824</v>
      </c>
    </row>
    <row r="16" spans="1:10" s="1" customFormat="1" x14ac:dyDescent="0.2">
      <c r="A16" s="107" t="s">
        <v>38</v>
      </c>
      <c r="B16" s="73">
        <v>1</v>
      </c>
      <c r="C16" s="78">
        <f>VLOOKUP($B$3,'Data for Bill Impacts'!$A$3:$Y$15,7,0)</f>
        <v>102.72</v>
      </c>
      <c r="D16" s="22">
        <f t="shared" ref="D16:D22" si="3">B16*C16</f>
        <v>102.72</v>
      </c>
      <c r="E16" s="73">
        <f t="shared" ref="E16:E33" si="4">B16</f>
        <v>1</v>
      </c>
      <c r="F16" s="78">
        <f>VLOOKUP($B$3,'Data for Bill Impacts'!$A$3:$Y$15,17,0)</f>
        <v>105.02</v>
      </c>
      <c r="G16" s="22">
        <f t="shared" ref="G16:G22" si="5">E16*F16</f>
        <v>105.02</v>
      </c>
      <c r="H16" s="22">
        <f t="shared" si="2"/>
        <v>2.2999999999999972</v>
      </c>
      <c r="I16" s="23">
        <f t="shared" si="0"/>
        <v>2.2390965732087199E-2</v>
      </c>
      <c r="J16" s="124">
        <f t="shared" si="1"/>
        <v>3.5446887033276976E-3</v>
      </c>
    </row>
    <row r="17" spans="1:10" hidden="1" x14ac:dyDescent="0.2">
      <c r="A17" s="107" t="s">
        <v>83</v>
      </c>
      <c r="B17" s="73">
        <v>1</v>
      </c>
      <c r="C17" s="78">
        <f>VLOOKUP($B$3,'Data for Bill Impacts'!$A$3:$Y$15,8,0)</f>
        <v>0</v>
      </c>
      <c r="D17" s="22">
        <f t="shared" si="3"/>
        <v>0</v>
      </c>
      <c r="E17" s="73">
        <f t="shared" si="4"/>
        <v>1</v>
      </c>
      <c r="F17" s="78">
        <v>0</v>
      </c>
      <c r="G17" s="22">
        <f t="shared" si="5"/>
        <v>0</v>
      </c>
      <c r="H17" s="22">
        <f t="shared" si="2"/>
        <v>0</v>
      </c>
      <c r="I17" s="23" t="str">
        <f t="shared" si="0"/>
        <v>N/A</v>
      </c>
      <c r="J17" s="124">
        <f t="shared" si="1"/>
        <v>0</v>
      </c>
    </row>
    <row r="18" spans="1:10" hidden="1" x14ac:dyDescent="0.2">
      <c r="A18" s="107" t="s">
        <v>84</v>
      </c>
      <c r="B18" s="73">
        <v>1</v>
      </c>
      <c r="C18" s="78">
        <f>VLOOKUP($B$3,'Data for Bill Impacts'!$A$3:$Y$15,11,0)</f>
        <v>0</v>
      </c>
      <c r="D18" s="22">
        <f t="shared" si="3"/>
        <v>0</v>
      </c>
      <c r="E18" s="73">
        <f t="shared" si="4"/>
        <v>1</v>
      </c>
      <c r="F18" s="78">
        <f>VLOOKUP($B$3,'Data for Bill Impacts'!$A$3:$Y$15,12,0)</f>
        <v>0</v>
      </c>
      <c r="G18" s="22">
        <f t="shared" si="5"/>
        <v>0</v>
      </c>
      <c r="H18" s="22">
        <f t="shared" si="2"/>
        <v>0</v>
      </c>
      <c r="I18" s="23" t="str">
        <f t="shared" si="0"/>
        <v>N/A</v>
      </c>
      <c r="J18" s="124">
        <f t="shared" si="1"/>
        <v>0</v>
      </c>
    </row>
    <row r="19" spans="1:10" x14ac:dyDescent="0.2">
      <c r="A19" s="107" t="s">
        <v>85</v>
      </c>
      <c r="B19" s="73">
        <v>1</v>
      </c>
      <c r="C19" s="121">
        <f>VLOOKUP($B$3,'Data for Bill Impacts'!$A$3:$Y$15,13,0)</f>
        <v>1.7999999999999999E-2</v>
      </c>
      <c r="D19" s="22">
        <f t="shared" si="3"/>
        <v>1.7999999999999999E-2</v>
      </c>
      <c r="E19" s="73">
        <f t="shared" si="4"/>
        <v>1</v>
      </c>
      <c r="F19" s="121">
        <f>VLOOKUP($B$3,'Data for Bill Impacts'!$A$3:$Y$15,22,0)</f>
        <v>1.7999999999999999E-2</v>
      </c>
      <c r="G19" s="22">
        <f t="shared" si="5"/>
        <v>1.7999999999999999E-2</v>
      </c>
      <c r="H19" s="22">
        <f t="shared" si="2"/>
        <v>0</v>
      </c>
      <c r="I19" s="23">
        <f>IF(ISERROR(H19/ABS(D19)),"N/A",(H19/ABS(D19)))</f>
        <v>0</v>
      </c>
      <c r="J19" s="124">
        <f t="shared" si="1"/>
        <v>6.0754519767566702E-7</v>
      </c>
    </row>
    <row r="20" spans="1:10" x14ac:dyDescent="0.2">
      <c r="A20" s="107" t="s">
        <v>39</v>
      </c>
      <c r="B20" s="73">
        <f>IF($B$10="kWh",$B$4,$B$5)</f>
        <v>500</v>
      </c>
      <c r="C20" s="78">
        <f>VLOOKUP($B$3,'Data for Bill Impacts'!$A$3:$Y$15,10,0)</f>
        <v>9.9799000000000007</v>
      </c>
      <c r="D20" s="22">
        <f t="shared" si="3"/>
        <v>4989.9500000000007</v>
      </c>
      <c r="E20" s="73">
        <f t="shared" si="4"/>
        <v>500</v>
      </c>
      <c r="F20" s="125">
        <f>VLOOKUP($B$3,'Data for Bill Impacts'!$A$3:$Y$15,19,0)</f>
        <v>10.293200000000001</v>
      </c>
      <c r="G20" s="22">
        <f t="shared" si="5"/>
        <v>5146.6000000000004</v>
      </c>
      <c r="H20" s="22">
        <f t="shared" si="2"/>
        <v>156.64999999999964</v>
      </c>
      <c r="I20" s="23">
        <f>IF(ISERROR(H20/D20),0,(H20/D20))</f>
        <v>3.1393100131263764E-2</v>
      </c>
      <c r="J20" s="124">
        <f t="shared" si="1"/>
        <v>0.17371067301986604</v>
      </c>
    </row>
    <row r="21" spans="1:10" s="1" customFormat="1" x14ac:dyDescent="0.2">
      <c r="A21" s="107" t="s">
        <v>121</v>
      </c>
      <c r="B21" s="73">
        <f>IF($B$10="kWh",$B$4,$B$5)</f>
        <v>500</v>
      </c>
      <c r="C21" s="125">
        <f>VLOOKUP($B$3,'Data for Bill Impacts'!$A$3:$Y$15,14,0)</f>
        <v>1.1179999999999999E-2</v>
      </c>
      <c r="D21" s="22">
        <f t="shared" si="3"/>
        <v>5.59</v>
      </c>
      <c r="E21" s="73">
        <f t="shared" si="4"/>
        <v>500</v>
      </c>
      <c r="F21" s="125">
        <f>VLOOKUP($B$3,'Data for Bill Impacts'!$A$3:$Y$15,23,0)</f>
        <v>1.1179999999999999E-2</v>
      </c>
      <c r="G21" s="22">
        <f t="shared" si="5"/>
        <v>5.59</v>
      </c>
      <c r="H21" s="22">
        <f t="shared" si="2"/>
        <v>0</v>
      </c>
      <c r="I21" s="23">
        <f>IF(ISERROR(H21/D21),0,(H21/D21))</f>
        <v>0</v>
      </c>
      <c r="J21" s="124">
        <f t="shared" si="1"/>
        <v>1.8867653638927662E-4</v>
      </c>
    </row>
    <row r="22" spans="1:10" s="1" customFormat="1" x14ac:dyDescent="0.2">
      <c r="A22" s="107" t="s">
        <v>108</v>
      </c>
      <c r="B22" s="73">
        <f>B9</f>
        <v>183750</v>
      </c>
      <c r="C22" s="125">
        <f>VLOOKUP($B$3,'Data for Bill Impacts'!$A$3:$Y$15,20,0)</f>
        <v>0</v>
      </c>
      <c r="D22" s="22">
        <f t="shared" si="3"/>
        <v>0</v>
      </c>
      <c r="E22" s="73">
        <f>B22</f>
        <v>183750</v>
      </c>
      <c r="F22" s="125">
        <f>VLOOKUP($B$3,'Data for Bill Impacts'!$A$3:$Y$15,21,0)</f>
        <v>0</v>
      </c>
      <c r="G22" s="22">
        <f t="shared" si="5"/>
        <v>0</v>
      </c>
      <c r="H22" s="22">
        <f>G22-D22</f>
        <v>0</v>
      </c>
      <c r="I22" s="23" t="str">
        <f t="shared" ref="I22:I38" si="6">IF(ISERROR(H22/ABS(D22)),"N/A",(H22/ABS(D22)))</f>
        <v>N/A</v>
      </c>
      <c r="J22" s="124">
        <f t="shared" si="1"/>
        <v>0</v>
      </c>
    </row>
    <row r="23" spans="1:10" x14ac:dyDescent="0.2">
      <c r="A23" s="110" t="s">
        <v>93</v>
      </c>
      <c r="B23" s="74"/>
      <c r="C23" s="35"/>
      <c r="D23" s="35">
        <f>SUM(D16:D22)</f>
        <v>5098.2780000000012</v>
      </c>
      <c r="E23" s="73"/>
      <c r="F23" s="35"/>
      <c r="G23" s="35">
        <f>SUM(G16:G22)</f>
        <v>5257.2280000000001</v>
      </c>
      <c r="H23" s="35">
        <f t="shared" si="2"/>
        <v>158.94999999999891</v>
      </c>
      <c r="I23" s="36">
        <f t="shared" si="6"/>
        <v>3.1177193554372453E-2</v>
      </c>
      <c r="J23" s="111">
        <f t="shared" si="1"/>
        <v>0.17744464580478067</v>
      </c>
    </row>
    <row r="24" spans="1:10" x14ac:dyDescent="0.2">
      <c r="A24" s="107" t="s">
        <v>40</v>
      </c>
      <c r="B24" s="73">
        <f>B5</f>
        <v>500</v>
      </c>
      <c r="C24" s="78">
        <f>VLOOKUP($B$3,'Data for Bill Impacts'!$A$3:$Y$15,15,0)</f>
        <v>2.2310400000000001</v>
      </c>
      <c r="D24" s="22">
        <f>B24*C24</f>
        <v>1115.52</v>
      </c>
      <c r="E24" s="73">
        <f t="shared" si="4"/>
        <v>500</v>
      </c>
      <c r="F24" s="125">
        <f>VLOOKUP($B$3,'Data for Bill Impacts'!$A$3:$Y$15,24,0)</f>
        <v>2.2310400000000001</v>
      </c>
      <c r="G24" s="22">
        <f>E24*F24</f>
        <v>1115.52</v>
      </c>
      <c r="H24" s="22">
        <f t="shared" si="2"/>
        <v>0</v>
      </c>
      <c r="I24" s="23">
        <f t="shared" si="6"/>
        <v>0</v>
      </c>
      <c r="J24" s="124">
        <f t="shared" si="1"/>
        <v>3.7651601050620008E-2</v>
      </c>
    </row>
    <row r="25" spans="1:10" s="1" customFormat="1" x14ac:dyDescent="0.2">
      <c r="A25" s="107" t="s">
        <v>41</v>
      </c>
      <c r="B25" s="73">
        <f>B5</f>
        <v>500</v>
      </c>
      <c r="C25" s="78">
        <f>VLOOKUP($B$3,'Data for Bill Impacts'!$A$3:$Y$15,16,0)</f>
        <v>1.7046749999999999</v>
      </c>
      <c r="D25" s="22">
        <f>B25*C25</f>
        <v>852.33749999999998</v>
      </c>
      <c r="E25" s="73">
        <f t="shared" si="4"/>
        <v>500</v>
      </c>
      <c r="F25" s="125">
        <f>VLOOKUP($B$3,'Data for Bill Impacts'!$A$3:$Y$15,25,0)</f>
        <v>1.7046749999999999</v>
      </c>
      <c r="G25" s="22">
        <f>E25*F25</f>
        <v>852.33749999999998</v>
      </c>
      <c r="H25" s="22">
        <f t="shared" si="2"/>
        <v>0</v>
      </c>
      <c r="I25" s="23">
        <f t="shared" si="6"/>
        <v>0</v>
      </c>
      <c r="J25" s="124">
        <f t="shared" si="1"/>
        <v>2.876853082910466E-2</v>
      </c>
    </row>
    <row r="26" spans="1:10" x14ac:dyDescent="0.2">
      <c r="A26" s="110" t="s">
        <v>76</v>
      </c>
      <c r="B26" s="74"/>
      <c r="C26" s="35"/>
      <c r="D26" s="35">
        <f>SUM(D24:D25)</f>
        <v>1967.8575000000001</v>
      </c>
      <c r="E26" s="73"/>
      <c r="F26" s="35"/>
      <c r="G26" s="35">
        <f>SUM(G24:G25)</f>
        <v>1967.8575000000001</v>
      </c>
      <c r="H26" s="35">
        <f t="shared" si="2"/>
        <v>0</v>
      </c>
      <c r="I26" s="36">
        <f t="shared" si="6"/>
        <v>0</v>
      </c>
      <c r="J26" s="111">
        <f t="shared" si="1"/>
        <v>6.6420131879724675E-2</v>
      </c>
    </row>
    <row r="27" spans="1:10" s="1" customFormat="1" x14ac:dyDescent="0.2">
      <c r="A27" s="110" t="s">
        <v>80</v>
      </c>
      <c r="B27" s="74"/>
      <c r="C27" s="35"/>
      <c r="D27" s="35">
        <f>D23+D26</f>
        <v>7066.1355000000012</v>
      </c>
      <c r="E27" s="73"/>
      <c r="F27" s="35"/>
      <c r="G27" s="35">
        <f>G23+G26</f>
        <v>7225.0855000000001</v>
      </c>
      <c r="H27" s="35">
        <f t="shared" si="2"/>
        <v>158.94999999999891</v>
      </c>
      <c r="I27" s="36">
        <f t="shared" si="6"/>
        <v>2.2494615338185756E-2</v>
      </c>
      <c r="J27" s="111">
        <f t="shared" si="1"/>
        <v>0.24386477768450535</v>
      </c>
    </row>
    <row r="28" spans="1:10" x14ac:dyDescent="0.2">
      <c r="A28" s="107" t="s">
        <v>42</v>
      </c>
      <c r="B28" s="73">
        <f>B9</f>
        <v>183750</v>
      </c>
      <c r="C28" s="34">
        <v>3.5999999999999999E-3</v>
      </c>
      <c r="D28" s="22">
        <f>B28*C28</f>
        <v>661.5</v>
      </c>
      <c r="E28" s="73">
        <f t="shared" si="4"/>
        <v>183750</v>
      </c>
      <c r="F28" s="34">
        <v>3.5999999999999999E-3</v>
      </c>
      <c r="G28" s="22">
        <f>E28*F28</f>
        <v>661.5</v>
      </c>
      <c r="H28" s="22">
        <f t="shared" si="2"/>
        <v>0</v>
      </c>
      <c r="I28" s="23">
        <f t="shared" si="6"/>
        <v>0</v>
      </c>
      <c r="J28" s="124">
        <f t="shared" si="1"/>
        <v>2.2327286014580765E-2</v>
      </c>
    </row>
    <row r="29" spans="1:10" x14ac:dyDescent="0.2">
      <c r="A29" s="107" t="s">
        <v>43</v>
      </c>
      <c r="B29" s="73">
        <f>B9</f>
        <v>183750</v>
      </c>
      <c r="C29" s="34">
        <v>2.0999999999999999E-3</v>
      </c>
      <c r="D29" s="22">
        <f>B29*C29</f>
        <v>385.875</v>
      </c>
      <c r="E29" s="73">
        <f t="shared" si="4"/>
        <v>183750</v>
      </c>
      <c r="F29" s="34">
        <v>2.0999999999999999E-3</v>
      </c>
      <c r="G29" s="22">
        <f>E29*F29</f>
        <v>385.875</v>
      </c>
      <c r="H29" s="22">
        <f>G29-D29</f>
        <v>0</v>
      </c>
      <c r="I29" s="23">
        <f t="shared" si="6"/>
        <v>0</v>
      </c>
      <c r="J29" s="124">
        <f t="shared" si="1"/>
        <v>1.3024250175172114E-2</v>
      </c>
    </row>
    <row r="30" spans="1:10" x14ac:dyDescent="0.2">
      <c r="A30" s="107" t="s">
        <v>96</v>
      </c>
      <c r="B30" s="73">
        <f>B9</f>
        <v>183750</v>
      </c>
      <c r="C30" s="34">
        <v>0</v>
      </c>
      <c r="D30" s="22">
        <f>B30*C30</f>
        <v>0</v>
      </c>
      <c r="E30" s="73">
        <f t="shared" si="4"/>
        <v>183750</v>
      </c>
      <c r="F30" s="34">
        <v>0</v>
      </c>
      <c r="G30" s="22">
        <f>E30*F30</f>
        <v>0</v>
      </c>
      <c r="H30" s="22">
        <f>G30-D30</f>
        <v>0</v>
      </c>
      <c r="I30" s="23" t="str">
        <f t="shared" si="6"/>
        <v>N/A</v>
      </c>
      <c r="J30" s="124">
        <f>G30/$G$38</f>
        <v>0</v>
      </c>
    </row>
    <row r="31" spans="1:10" x14ac:dyDescent="0.2">
      <c r="A31" s="107" t="s">
        <v>44</v>
      </c>
      <c r="B31" s="73">
        <v>1</v>
      </c>
      <c r="C31" s="22">
        <v>0.25</v>
      </c>
      <c r="D31" s="22">
        <f>B31*C31</f>
        <v>0.25</v>
      </c>
      <c r="E31" s="73">
        <f t="shared" si="4"/>
        <v>1</v>
      </c>
      <c r="F31" s="22">
        <f>C31</f>
        <v>0.25</v>
      </c>
      <c r="G31" s="22">
        <f>E31*F31</f>
        <v>0.25</v>
      </c>
      <c r="H31" s="22">
        <f t="shared" si="2"/>
        <v>0</v>
      </c>
      <c r="I31" s="23">
        <f t="shared" si="6"/>
        <v>0</v>
      </c>
      <c r="J31" s="124">
        <f t="shared" ref="J31:J38" si="7">G31/$G$38</f>
        <v>8.4381277454953761E-6</v>
      </c>
    </row>
    <row r="32" spans="1:10" x14ac:dyDescent="0.2">
      <c r="A32" s="110" t="s">
        <v>45</v>
      </c>
      <c r="B32" s="74"/>
      <c r="C32" s="35"/>
      <c r="D32" s="35">
        <f>SUM(D28:D31)</f>
        <v>1047.625</v>
      </c>
      <c r="E32" s="73"/>
      <c r="F32" s="35"/>
      <c r="G32" s="35">
        <f>SUM(G28:G31)</f>
        <v>1047.625</v>
      </c>
      <c r="H32" s="35">
        <f t="shared" si="2"/>
        <v>0</v>
      </c>
      <c r="I32" s="36">
        <f t="shared" si="6"/>
        <v>0</v>
      </c>
      <c r="J32" s="111">
        <f t="shared" si="7"/>
        <v>3.5359974317498377E-2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2"/>
        <v>0</v>
      </c>
      <c r="I33" s="117">
        <f t="shared" si="6"/>
        <v>0</v>
      </c>
      <c r="J33" s="118">
        <f t="shared" si="7"/>
        <v>4.1346825952927345E-2</v>
      </c>
    </row>
    <row r="34" spans="1:10" x14ac:dyDescent="0.2">
      <c r="A34" s="37" t="s">
        <v>111</v>
      </c>
      <c r="B34" s="38"/>
      <c r="C34" s="39"/>
      <c r="D34" s="39">
        <f>SUM(D15,D23,D26,D32,D33)</f>
        <v>26060.010500000004</v>
      </c>
      <c r="E34" s="38"/>
      <c r="F34" s="39"/>
      <c r="G34" s="39">
        <f>SUM(G15,G23,G26,G32,G33)</f>
        <v>26218.960500000001</v>
      </c>
      <c r="H34" s="39">
        <f t="shared" si="2"/>
        <v>158.94999999999709</v>
      </c>
      <c r="I34" s="40">
        <f t="shared" si="6"/>
        <v>6.099383574691847E-3</v>
      </c>
      <c r="J34" s="41">
        <f t="shared" si="7"/>
        <v>0.88495575221238931</v>
      </c>
    </row>
    <row r="35" spans="1:10" x14ac:dyDescent="0.2">
      <c r="A35" s="46" t="s">
        <v>102</v>
      </c>
      <c r="B35" s="43"/>
      <c r="C35" s="26">
        <v>0.13</v>
      </c>
      <c r="D35" s="26">
        <f>D34*C35</f>
        <v>3387.8013650000007</v>
      </c>
      <c r="E35" s="26"/>
      <c r="F35" s="26">
        <f>C35</f>
        <v>0.13</v>
      </c>
      <c r="G35" s="26">
        <f>G34*F35</f>
        <v>3408.4648650000004</v>
      </c>
      <c r="H35" s="26">
        <f t="shared" si="2"/>
        <v>20.663499999999658</v>
      </c>
      <c r="I35" s="44">
        <f t="shared" si="6"/>
        <v>6.0993835746918574E-3</v>
      </c>
      <c r="J35" s="45">
        <f t="shared" si="7"/>
        <v>0.11504424778761062</v>
      </c>
    </row>
    <row r="36" spans="1:10" x14ac:dyDescent="0.2">
      <c r="A36" s="46" t="s">
        <v>103</v>
      </c>
      <c r="B36" s="24"/>
      <c r="C36" s="25"/>
      <c r="D36" s="25">
        <f>SUM(D34:D35)</f>
        <v>29447.811865000003</v>
      </c>
      <c r="E36" s="25"/>
      <c r="F36" s="25"/>
      <c r="G36" s="25">
        <f>SUM(G34:G35)</f>
        <v>29627.425365000003</v>
      </c>
      <c r="H36" s="25">
        <f t="shared" si="2"/>
        <v>179.61349999999948</v>
      </c>
      <c r="I36" s="27">
        <f t="shared" si="6"/>
        <v>6.0993835746919415E-3</v>
      </c>
      <c r="J36" s="47">
        <f t="shared" si="7"/>
        <v>1</v>
      </c>
    </row>
    <row r="37" spans="1:10" x14ac:dyDescent="0.2">
      <c r="A37" s="46" t="s">
        <v>104</v>
      </c>
      <c r="B37" s="43"/>
      <c r="C37" s="26">
        <v>0</v>
      </c>
      <c r="D37" s="26">
        <f>D34*C37</f>
        <v>0</v>
      </c>
      <c r="E37" s="26"/>
      <c r="F37" s="26">
        <f>C37</f>
        <v>0</v>
      </c>
      <c r="G37" s="26">
        <f>G34*F37</f>
        <v>0</v>
      </c>
      <c r="H37" s="26">
        <f t="shared" si="2"/>
        <v>0</v>
      </c>
      <c r="I37" s="44" t="str">
        <f t="shared" si="6"/>
        <v>N/A</v>
      </c>
      <c r="J37" s="45">
        <f t="shared" si="7"/>
        <v>0</v>
      </c>
    </row>
    <row r="38" spans="1:10" ht="13.5" thickBot="1" x14ac:dyDescent="0.25">
      <c r="A38" s="46" t="s">
        <v>105</v>
      </c>
      <c r="B38" s="49"/>
      <c r="C38" s="50"/>
      <c r="D38" s="50">
        <f>SUM(D36:D37)</f>
        <v>29447.811865000003</v>
      </c>
      <c r="E38" s="50"/>
      <c r="F38" s="50"/>
      <c r="G38" s="50">
        <f>SUM(G36:G37)</f>
        <v>29627.425365000003</v>
      </c>
      <c r="H38" s="50">
        <f t="shared" si="2"/>
        <v>179.61349999999948</v>
      </c>
      <c r="I38" s="51">
        <f t="shared" si="6"/>
        <v>6.0993835746919415E-3</v>
      </c>
      <c r="J38" s="52">
        <f t="shared" si="7"/>
        <v>1</v>
      </c>
    </row>
    <row r="39" spans="1:10" x14ac:dyDescent="0.2">
      <c r="A39" s="169"/>
      <c r="F39" s="69"/>
    </row>
    <row r="40" spans="1:10" x14ac:dyDescent="0.2">
      <c r="A40" s="170"/>
      <c r="F40" s="69"/>
    </row>
    <row r="41" spans="1:10" x14ac:dyDescent="0.2">
      <c r="A41" s="170"/>
    </row>
    <row r="42" spans="1:10" x14ac:dyDescent="0.2">
      <c r="A42" s="170"/>
    </row>
    <row r="43" spans="1:10" x14ac:dyDescent="0.2">
      <c r="A43" s="170"/>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tint="0.499984740745262"/>
    <pageSetUpPr fitToPage="1"/>
  </sheetPr>
  <dimension ref="A1:J43"/>
  <sheetViews>
    <sheetView tabSelected="1" view="pageLayout" topLeftCell="A4"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117</v>
      </c>
      <c r="B1" s="189"/>
      <c r="C1" s="189"/>
      <c r="D1" s="189"/>
      <c r="E1" s="189"/>
      <c r="F1" s="189"/>
      <c r="G1" s="189"/>
      <c r="H1" s="189"/>
      <c r="I1" s="189"/>
      <c r="J1" s="190"/>
    </row>
    <row r="3" spans="1:10" x14ac:dyDescent="0.2">
      <c r="A3" s="13" t="s">
        <v>13</v>
      </c>
      <c r="B3" s="13" t="s">
        <v>5</v>
      </c>
    </row>
    <row r="4" spans="1:10" x14ac:dyDescent="0.2">
      <c r="A4" s="15" t="s">
        <v>62</v>
      </c>
      <c r="B4" s="79">
        <v>15000</v>
      </c>
    </row>
    <row r="5" spans="1:10" x14ac:dyDescent="0.2">
      <c r="A5" s="15" t="s">
        <v>16</v>
      </c>
      <c r="B5" s="79">
        <v>60</v>
      </c>
    </row>
    <row r="6" spans="1:10" x14ac:dyDescent="0.2">
      <c r="A6" s="15" t="s">
        <v>20</v>
      </c>
      <c r="B6" s="80">
        <f>VLOOKUP($B$3,'Data for Bill Impacts'!$A$3:$Y$15,2,0)</f>
        <v>1.0609999999999999</v>
      </c>
    </row>
    <row r="7" spans="1:10" x14ac:dyDescent="0.2">
      <c r="A7" s="81" t="s">
        <v>48</v>
      </c>
      <c r="B7" s="82">
        <f>B4/(B5*730)</f>
        <v>0.34246575342465752</v>
      </c>
    </row>
    <row r="8" spans="1:10" x14ac:dyDescent="0.2">
      <c r="A8" s="15" t="s">
        <v>15</v>
      </c>
      <c r="B8" s="79">
        <f>VLOOKUP($B$3,'Data for Bill Impacts'!$A$3:$Y$15,4,0)</f>
        <v>0</v>
      </c>
    </row>
    <row r="9" spans="1:10" x14ac:dyDescent="0.2">
      <c r="A9" s="15" t="s">
        <v>82</v>
      </c>
      <c r="B9" s="79">
        <f>B4*B6</f>
        <v>15915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15915</v>
      </c>
      <c r="C13" s="103">
        <v>9.0999999999999998E-2</v>
      </c>
      <c r="D13" s="104">
        <f>B13*C13</f>
        <v>1448.2649999999999</v>
      </c>
      <c r="E13" s="102">
        <f>B13</f>
        <v>15915</v>
      </c>
      <c r="F13" s="103">
        <f>C13</f>
        <v>9.0999999999999998E-2</v>
      </c>
      <c r="G13" s="104">
        <f>E13*F13</f>
        <v>1448.2649999999999</v>
      </c>
      <c r="H13" s="104">
        <f>G13-D13</f>
        <v>0</v>
      </c>
      <c r="I13" s="105">
        <f t="shared" ref="I13:I18" si="0">IF(ISERROR(H13/ABS(D13)),"N/A",(H13/ABS(D13)))</f>
        <v>0</v>
      </c>
      <c r="J13" s="123">
        <f t="shared" ref="J13:J21" si="1">G13/$G$38</f>
        <v>0.4267088923237457</v>
      </c>
    </row>
    <row r="14" spans="1:10" x14ac:dyDescent="0.2">
      <c r="A14" s="107" t="s">
        <v>32</v>
      </c>
      <c r="B14" s="73">
        <v>0</v>
      </c>
      <c r="C14" s="21">
        <v>0.106</v>
      </c>
      <c r="D14" s="22">
        <f>B14*C14</f>
        <v>0</v>
      </c>
      <c r="E14" s="73">
        <f>B14</f>
        <v>0</v>
      </c>
      <c r="F14" s="21">
        <f>C14</f>
        <v>0.106</v>
      </c>
      <c r="G14" s="22">
        <f>E14*F14</f>
        <v>0</v>
      </c>
      <c r="H14" s="22">
        <f t="shared" ref="H14:H38" si="2">G14-D14</f>
        <v>0</v>
      </c>
      <c r="I14" s="23" t="str">
        <f t="shared" si="0"/>
        <v>N/A</v>
      </c>
      <c r="J14" s="124">
        <f t="shared" si="1"/>
        <v>0</v>
      </c>
    </row>
    <row r="15" spans="1:10" s="1" customFormat="1" x14ac:dyDescent="0.2">
      <c r="A15" s="46" t="s">
        <v>33</v>
      </c>
      <c r="B15" s="24"/>
      <c r="C15" s="25"/>
      <c r="D15" s="25">
        <f>SUM(D13:D14)</f>
        <v>1448.2649999999999</v>
      </c>
      <c r="E15" s="76"/>
      <c r="F15" s="25"/>
      <c r="G15" s="25">
        <f>SUM(G13:G14)</f>
        <v>1448.2649999999999</v>
      </c>
      <c r="H15" s="25">
        <f t="shared" si="2"/>
        <v>0</v>
      </c>
      <c r="I15" s="27">
        <f t="shared" si="0"/>
        <v>0</v>
      </c>
      <c r="J15" s="47">
        <f t="shared" si="1"/>
        <v>0.4267088923237457</v>
      </c>
    </row>
    <row r="16" spans="1:10" s="1" customFormat="1" x14ac:dyDescent="0.2">
      <c r="A16" s="107" t="s">
        <v>38</v>
      </c>
      <c r="B16" s="73">
        <v>1</v>
      </c>
      <c r="C16" s="78">
        <f>VLOOKUP($B$3,'Data for Bill Impacts'!$A$3:$Y$15,7,0)</f>
        <v>104.19</v>
      </c>
      <c r="D16" s="22">
        <f t="shared" ref="D16:D22" si="3">B16*C16</f>
        <v>104.19</v>
      </c>
      <c r="E16" s="73">
        <f t="shared" ref="E16:E33" si="4">B16</f>
        <v>1</v>
      </c>
      <c r="F16" s="78">
        <f>VLOOKUP($B$3,'Data for Bill Impacts'!$A$3:$Y$15,17,0)</f>
        <v>106.19</v>
      </c>
      <c r="G16" s="22">
        <f t="shared" ref="G16:G22" si="5">E16*F16</f>
        <v>106.19</v>
      </c>
      <c r="H16" s="22">
        <f t="shared" si="2"/>
        <v>2</v>
      </c>
      <c r="I16" s="23">
        <f t="shared" si="0"/>
        <v>1.9195700163163451E-2</v>
      </c>
      <c r="J16" s="124">
        <f t="shared" si="1"/>
        <v>3.1287241820977897E-2</v>
      </c>
    </row>
    <row r="17" spans="1:10" hidden="1" x14ac:dyDescent="0.2">
      <c r="A17" s="107" t="s">
        <v>83</v>
      </c>
      <c r="B17" s="73">
        <v>1</v>
      </c>
      <c r="C17" s="78">
        <v>0</v>
      </c>
      <c r="D17" s="22">
        <f t="shared" si="3"/>
        <v>0</v>
      </c>
      <c r="E17" s="73">
        <f t="shared" si="4"/>
        <v>1</v>
      </c>
      <c r="F17" s="78">
        <v>0</v>
      </c>
      <c r="G17" s="22">
        <f t="shared" si="5"/>
        <v>0</v>
      </c>
      <c r="H17" s="22">
        <f t="shared" si="2"/>
        <v>0</v>
      </c>
      <c r="I17" s="23" t="str">
        <f t="shared" si="0"/>
        <v>N/A</v>
      </c>
      <c r="J17" s="124">
        <f t="shared" si="1"/>
        <v>0</v>
      </c>
    </row>
    <row r="18" spans="1:10" hidden="1" x14ac:dyDescent="0.2">
      <c r="A18" s="107" t="s">
        <v>84</v>
      </c>
      <c r="B18" s="73">
        <v>1</v>
      </c>
      <c r="C18" s="78">
        <v>0</v>
      </c>
      <c r="D18" s="22">
        <f t="shared" si="3"/>
        <v>0</v>
      </c>
      <c r="E18" s="73">
        <f t="shared" si="4"/>
        <v>1</v>
      </c>
      <c r="F18" s="78">
        <v>0</v>
      </c>
      <c r="G18" s="22">
        <f t="shared" si="5"/>
        <v>0</v>
      </c>
      <c r="H18" s="22">
        <f>G18-D18</f>
        <v>0</v>
      </c>
      <c r="I18" s="23" t="str">
        <f t="shared" si="0"/>
        <v>N/A</v>
      </c>
      <c r="J18" s="124">
        <f t="shared" si="1"/>
        <v>0</v>
      </c>
    </row>
    <row r="19" spans="1:10" x14ac:dyDescent="0.2">
      <c r="A19" s="107" t="s">
        <v>85</v>
      </c>
      <c r="B19" s="73">
        <v>1</v>
      </c>
      <c r="C19" s="121">
        <f>VLOOKUP($B$3,'Data for Bill Impacts'!$A$3:$Y$15,13,0)</f>
        <v>-8.9999999999999993E-3</v>
      </c>
      <c r="D19" s="22">
        <f t="shared" si="3"/>
        <v>-8.9999999999999993E-3</v>
      </c>
      <c r="E19" s="73">
        <f t="shared" si="4"/>
        <v>1</v>
      </c>
      <c r="F19" s="121">
        <f>VLOOKUP($B$3,'Data for Bill Impacts'!$A$3:$Y$15,22,0)</f>
        <v>-8.9999999999999993E-3</v>
      </c>
      <c r="G19" s="22">
        <f t="shared" si="5"/>
        <v>-8.9999999999999993E-3</v>
      </c>
      <c r="H19" s="22">
        <f>G19-D19</f>
        <v>0</v>
      </c>
      <c r="I19" s="23">
        <f>IF(ISERROR(H19/ABS(D19)),"N/A",(H19/ABS(D19)))</f>
        <v>0</v>
      </c>
      <c r="J19" s="124">
        <f t="shared" si="1"/>
        <v>-2.6517108615575957E-6</v>
      </c>
    </row>
    <row r="20" spans="1:10" x14ac:dyDescent="0.2">
      <c r="A20" s="107" t="s">
        <v>39</v>
      </c>
      <c r="B20" s="73">
        <f>IF($B$10="kWh",$B$4,$B$5)</f>
        <v>60</v>
      </c>
      <c r="C20" s="125">
        <f>VLOOKUP($B$3,'Data for Bill Impacts'!$A$3:$Y$15,10,0)</f>
        <v>17.387</v>
      </c>
      <c r="D20" s="22">
        <f t="shared" si="3"/>
        <v>1043.22</v>
      </c>
      <c r="E20" s="73">
        <f t="shared" si="4"/>
        <v>60</v>
      </c>
      <c r="F20" s="125">
        <f>VLOOKUP($B$3,'Data for Bill Impacts'!$A$3:$Y$15,19,0)</f>
        <v>17.932099999999998</v>
      </c>
      <c r="G20" s="22">
        <f t="shared" si="5"/>
        <v>1075.9259999999999</v>
      </c>
      <c r="H20" s="22">
        <f t="shared" si="2"/>
        <v>32.705999999999904</v>
      </c>
      <c r="I20" s="23">
        <f>IF(ISERROR(H20/D20),0,(H20/D20))</f>
        <v>3.1351009374820174E-2</v>
      </c>
      <c r="J20" s="124">
        <f t="shared" si="1"/>
        <v>0.31700496227024644</v>
      </c>
    </row>
    <row r="21" spans="1:10" s="1" customFormat="1" x14ac:dyDescent="0.2">
      <c r="A21" s="107" t="s">
        <v>121</v>
      </c>
      <c r="B21" s="73">
        <f>IF($B$10="kWh",$B$4,$B$5)</f>
        <v>60</v>
      </c>
      <c r="C21" s="125">
        <f>VLOOKUP($B$3,'Data for Bill Impacts'!$A$3:$Y$15,14,0)</f>
        <v>5.1599999999999997E-3</v>
      </c>
      <c r="D21" s="22">
        <f t="shared" si="3"/>
        <v>0.30959999999999999</v>
      </c>
      <c r="E21" s="73">
        <f t="shared" si="4"/>
        <v>60</v>
      </c>
      <c r="F21" s="125">
        <f>VLOOKUP($B$3,'Data for Bill Impacts'!$A$3:$Y$15,23,0)</f>
        <v>5.1599999999999997E-3</v>
      </c>
      <c r="G21" s="22">
        <f t="shared" si="5"/>
        <v>0.30959999999999999</v>
      </c>
      <c r="H21" s="22">
        <f t="shared" si="2"/>
        <v>0</v>
      </c>
      <c r="I21" s="23">
        <f>IF(ISERROR(H21/D21),0,(H21/D21))</f>
        <v>0</v>
      </c>
      <c r="J21" s="124">
        <f t="shared" si="1"/>
        <v>9.1218853637581296E-5</v>
      </c>
    </row>
    <row r="22" spans="1:10" s="1" customFormat="1" x14ac:dyDescent="0.2">
      <c r="A22" s="107" t="s">
        <v>108</v>
      </c>
      <c r="B22" s="73">
        <f>B9</f>
        <v>15915</v>
      </c>
      <c r="C22" s="125">
        <f>VLOOKUP($B$3,'Data for Bill Impacts'!$A$3:$Y$15,20,0)</f>
        <v>0</v>
      </c>
      <c r="D22" s="22">
        <f t="shared" si="3"/>
        <v>0</v>
      </c>
      <c r="E22" s="73">
        <f>B22</f>
        <v>15915</v>
      </c>
      <c r="F22" s="125">
        <f>VLOOKUP($B$3,'Data for Bill Impacts'!$A$3:$Y$15,21,0)</f>
        <v>0</v>
      </c>
      <c r="G22" s="22">
        <f t="shared" si="5"/>
        <v>0</v>
      </c>
      <c r="H22" s="22">
        <f>G22-D22</f>
        <v>0</v>
      </c>
      <c r="I22" s="23" t="str">
        <f t="shared" ref="I22:I38" si="6">IF(ISERROR(H22/ABS(D22)),"N/A",(H22/ABS(D22)))</f>
        <v>N/A</v>
      </c>
      <c r="J22" s="124">
        <f>G22/$G$38</f>
        <v>0</v>
      </c>
    </row>
    <row r="23" spans="1:10" x14ac:dyDescent="0.2">
      <c r="A23" s="110" t="s">
        <v>79</v>
      </c>
      <c r="B23" s="74"/>
      <c r="C23" s="35"/>
      <c r="D23" s="35">
        <f>SUM(D16:D22)</f>
        <v>1147.7106000000001</v>
      </c>
      <c r="E23" s="73"/>
      <c r="F23" s="35"/>
      <c r="G23" s="35">
        <f>SUM(G16:G22)</f>
        <v>1182.4166</v>
      </c>
      <c r="H23" s="35">
        <f t="shared" si="2"/>
        <v>34.705999999999904</v>
      </c>
      <c r="I23" s="36">
        <f t="shared" si="6"/>
        <v>3.0239330367777296E-2</v>
      </c>
      <c r="J23" s="111">
        <f t="shared" ref="J23:J29" si="7">G23/$G$38</f>
        <v>0.34838077123400035</v>
      </c>
    </row>
    <row r="24" spans="1:10" x14ac:dyDescent="0.2">
      <c r="A24" s="107" t="s">
        <v>40</v>
      </c>
      <c r="B24" s="73">
        <f>B5</f>
        <v>60</v>
      </c>
      <c r="C24" s="125">
        <f>VLOOKUP($B$3,'Data for Bill Impacts'!$A$3:$Y$15,15,0)</f>
        <v>1.6718177000000001</v>
      </c>
      <c r="D24" s="22">
        <f>B24*C24</f>
        <v>100.30906200000001</v>
      </c>
      <c r="E24" s="73">
        <f t="shared" si="4"/>
        <v>60</v>
      </c>
      <c r="F24" s="125">
        <f>VLOOKUP($B$3,'Data for Bill Impacts'!$A$3:$Y$15,24,0)</f>
        <v>1.6718177000000001</v>
      </c>
      <c r="G24" s="22">
        <f>E24*F24</f>
        <v>100.30906200000001</v>
      </c>
      <c r="H24" s="22">
        <f t="shared" si="2"/>
        <v>0</v>
      </c>
      <c r="I24" s="23">
        <f t="shared" si="6"/>
        <v>0</v>
      </c>
      <c r="J24" s="124">
        <f t="shared" si="7"/>
        <v>2.9554514357561592E-2</v>
      </c>
    </row>
    <row r="25" spans="1:10" s="1" customFormat="1" x14ac:dyDescent="0.2">
      <c r="A25" s="107" t="s">
        <v>41</v>
      </c>
      <c r="B25" s="73">
        <f>B5</f>
        <v>60</v>
      </c>
      <c r="C25" s="125">
        <f>VLOOKUP($B$3,'Data for Bill Impacts'!$A$3:$Y$15,16,0)</f>
        <v>1.2769135</v>
      </c>
      <c r="D25" s="22">
        <f>B25*C25</f>
        <v>76.614810000000006</v>
      </c>
      <c r="E25" s="73">
        <f t="shared" si="4"/>
        <v>60</v>
      </c>
      <c r="F25" s="125">
        <f>VLOOKUP($B$3,'Data for Bill Impacts'!$A$3:$Y$15,25,0)</f>
        <v>1.2769135</v>
      </c>
      <c r="G25" s="22">
        <f>E25*F25</f>
        <v>76.614810000000006</v>
      </c>
      <c r="H25" s="22">
        <f t="shared" si="2"/>
        <v>0</v>
      </c>
      <c r="I25" s="23">
        <f t="shared" si="6"/>
        <v>0</v>
      </c>
      <c r="J25" s="124">
        <f t="shared" si="7"/>
        <v>2.2573369314796837E-2</v>
      </c>
    </row>
    <row r="26" spans="1:10" x14ac:dyDescent="0.2">
      <c r="A26" s="110" t="s">
        <v>76</v>
      </c>
      <c r="B26" s="74"/>
      <c r="C26" s="35"/>
      <c r="D26" s="35">
        <f>SUM(D24:D25)</f>
        <v>176.92387200000002</v>
      </c>
      <c r="E26" s="73"/>
      <c r="F26" s="35"/>
      <c r="G26" s="35">
        <f>SUM(G24:G25)</f>
        <v>176.92387200000002</v>
      </c>
      <c r="H26" s="35">
        <f t="shared" si="2"/>
        <v>0</v>
      </c>
      <c r="I26" s="36">
        <f t="shared" si="6"/>
        <v>0</v>
      </c>
      <c r="J26" s="111">
        <f t="shared" si="7"/>
        <v>5.2127883672358433E-2</v>
      </c>
    </row>
    <row r="27" spans="1:10" s="1" customFormat="1" x14ac:dyDescent="0.2">
      <c r="A27" s="110" t="s">
        <v>80</v>
      </c>
      <c r="B27" s="74"/>
      <c r="C27" s="35"/>
      <c r="D27" s="35">
        <f>D23+D26</f>
        <v>1324.6344720000002</v>
      </c>
      <c r="E27" s="73"/>
      <c r="F27" s="35"/>
      <c r="G27" s="35">
        <f>G23+G26</f>
        <v>1359.3404720000001</v>
      </c>
      <c r="H27" s="35">
        <f t="shared" si="2"/>
        <v>34.705999999999904</v>
      </c>
      <c r="I27" s="36">
        <f t="shared" si="6"/>
        <v>2.6200435466245287E-2</v>
      </c>
      <c r="J27" s="111">
        <f t="shared" si="7"/>
        <v>0.40050865490635884</v>
      </c>
    </row>
    <row r="28" spans="1:10" x14ac:dyDescent="0.2">
      <c r="A28" s="107" t="s">
        <v>42</v>
      </c>
      <c r="B28" s="73">
        <f>B9</f>
        <v>15915</v>
      </c>
      <c r="C28" s="34">
        <v>3.5999999999999999E-3</v>
      </c>
      <c r="D28" s="22">
        <f>B28*C28</f>
        <v>57.293999999999997</v>
      </c>
      <c r="E28" s="73">
        <f t="shared" si="4"/>
        <v>15915</v>
      </c>
      <c r="F28" s="34">
        <v>3.5999999999999999E-3</v>
      </c>
      <c r="G28" s="22">
        <f>E28*F28</f>
        <v>57.293999999999997</v>
      </c>
      <c r="H28" s="22">
        <f t="shared" si="2"/>
        <v>0</v>
      </c>
      <c r="I28" s="23">
        <f t="shared" si="6"/>
        <v>0</v>
      </c>
      <c r="J28" s="124">
        <f t="shared" si="7"/>
        <v>1.6880791344675655E-2</v>
      </c>
    </row>
    <row r="29" spans="1:10" x14ac:dyDescent="0.2">
      <c r="A29" s="107" t="s">
        <v>43</v>
      </c>
      <c r="B29" s="73">
        <f>B9</f>
        <v>15915</v>
      </c>
      <c r="C29" s="34">
        <v>2.0999999999999999E-3</v>
      </c>
      <c r="D29" s="22">
        <f>B29*C29</f>
        <v>33.421499999999995</v>
      </c>
      <c r="E29" s="73">
        <f t="shared" si="4"/>
        <v>15915</v>
      </c>
      <c r="F29" s="34">
        <v>2.0999999999999999E-3</v>
      </c>
      <c r="G29" s="22">
        <f>E29*F29</f>
        <v>33.421499999999995</v>
      </c>
      <c r="H29" s="22">
        <f>G29-D29</f>
        <v>0</v>
      </c>
      <c r="I29" s="23">
        <f t="shared" si="6"/>
        <v>0</v>
      </c>
      <c r="J29" s="124">
        <f t="shared" si="7"/>
        <v>9.8471282843941316E-3</v>
      </c>
    </row>
    <row r="30" spans="1:10" x14ac:dyDescent="0.2">
      <c r="A30" s="107" t="s">
        <v>96</v>
      </c>
      <c r="B30" s="73">
        <f>B9</f>
        <v>15915</v>
      </c>
      <c r="C30" s="34">
        <v>0</v>
      </c>
      <c r="D30" s="22">
        <f>B30*C30</f>
        <v>0</v>
      </c>
      <c r="E30" s="73">
        <f t="shared" si="4"/>
        <v>15915</v>
      </c>
      <c r="F30" s="34">
        <v>0</v>
      </c>
      <c r="G30" s="22">
        <f>E30*F30</f>
        <v>0</v>
      </c>
      <c r="H30" s="22">
        <f>G30-D30</f>
        <v>0</v>
      </c>
      <c r="I30" s="23" t="str">
        <f t="shared" si="6"/>
        <v>N/A</v>
      </c>
      <c r="J30" s="124">
        <f>G30/$G$38</f>
        <v>0</v>
      </c>
    </row>
    <row r="31" spans="1:10" x14ac:dyDescent="0.2">
      <c r="A31" s="107" t="s">
        <v>44</v>
      </c>
      <c r="B31" s="73">
        <v>1</v>
      </c>
      <c r="C31" s="22">
        <v>0.25</v>
      </c>
      <c r="D31" s="22">
        <f>B31*C31</f>
        <v>0.25</v>
      </c>
      <c r="E31" s="73">
        <f t="shared" si="4"/>
        <v>1</v>
      </c>
      <c r="F31" s="22">
        <f>C31</f>
        <v>0.25</v>
      </c>
      <c r="G31" s="22">
        <f>E31*F31</f>
        <v>0.25</v>
      </c>
      <c r="H31" s="22">
        <f t="shared" si="2"/>
        <v>0</v>
      </c>
      <c r="I31" s="23">
        <f t="shared" si="6"/>
        <v>0</v>
      </c>
      <c r="J31" s="124">
        <f t="shared" ref="J31:J38" si="8">G31/$G$38</f>
        <v>7.3658635043266554E-5</v>
      </c>
    </row>
    <row r="32" spans="1:10" x14ac:dyDescent="0.2">
      <c r="A32" s="110" t="s">
        <v>45</v>
      </c>
      <c r="B32" s="74"/>
      <c r="C32" s="35"/>
      <c r="D32" s="35">
        <f>SUM(D28:D31)</f>
        <v>90.965499999999992</v>
      </c>
      <c r="E32" s="73"/>
      <c r="F32" s="35"/>
      <c r="G32" s="35">
        <f>SUM(G28:G31)</f>
        <v>90.965499999999992</v>
      </c>
      <c r="H32" s="35">
        <f t="shared" si="2"/>
        <v>0</v>
      </c>
      <c r="I32" s="36">
        <f t="shared" si="6"/>
        <v>0</v>
      </c>
      <c r="J32" s="111">
        <f t="shared" si="8"/>
        <v>2.680157826411305E-2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2"/>
        <v>0</v>
      </c>
      <c r="I33" s="117">
        <f t="shared" si="6"/>
        <v>0</v>
      </c>
      <c r="J33" s="118">
        <f t="shared" si="8"/>
        <v>3.0936626718171951E-2</v>
      </c>
    </row>
    <row r="34" spans="1:10" x14ac:dyDescent="0.2">
      <c r="A34" s="37" t="s">
        <v>111</v>
      </c>
      <c r="B34" s="38"/>
      <c r="C34" s="39"/>
      <c r="D34" s="39">
        <f>SUM(D15,D23,D26,D32,D33)</f>
        <v>2968.8649719999994</v>
      </c>
      <c r="E34" s="38"/>
      <c r="F34" s="39"/>
      <c r="G34" s="39">
        <f>SUM(G15,G23,G26,G32,G33)</f>
        <v>3003.5709719999995</v>
      </c>
      <c r="H34" s="39">
        <f t="shared" si="2"/>
        <v>34.706000000000131</v>
      </c>
      <c r="I34" s="40">
        <f t="shared" si="6"/>
        <v>1.168998938224535E-2</v>
      </c>
      <c r="J34" s="41">
        <f t="shared" si="8"/>
        <v>0.88495575221238942</v>
      </c>
    </row>
    <row r="35" spans="1:10" x14ac:dyDescent="0.2">
      <c r="A35" s="46" t="s">
        <v>102</v>
      </c>
      <c r="B35" s="43"/>
      <c r="C35" s="26">
        <v>0.13</v>
      </c>
      <c r="D35" s="26">
        <f>D34*C35</f>
        <v>385.95244635999995</v>
      </c>
      <c r="E35" s="26"/>
      <c r="F35" s="26">
        <f>C35</f>
        <v>0.13</v>
      </c>
      <c r="G35" s="26">
        <f>G34*F35</f>
        <v>390.46422635999994</v>
      </c>
      <c r="H35" s="26">
        <f t="shared" si="2"/>
        <v>4.5117799999999875</v>
      </c>
      <c r="I35" s="44">
        <f t="shared" si="6"/>
        <v>1.1689989382245271E-2</v>
      </c>
      <c r="J35" s="45">
        <f t="shared" si="8"/>
        <v>0.11504424778761062</v>
      </c>
    </row>
    <row r="36" spans="1:10" x14ac:dyDescent="0.2">
      <c r="A36" s="46" t="s">
        <v>103</v>
      </c>
      <c r="B36" s="24"/>
      <c r="C36" s="25"/>
      <c r="D36" s="25">
        <f>SUM(D34:D35)</f>
        <v>3354.8174183599995</v>
      </c>
      <c r="E36" s="25"/>
      <c r="F36" s="25"/>
      <c r="G36" s="25">
        <f>SUM(G34:G35)</f>
        <v>3394.0351983599994</v>
      </c>
      <c r="H36" s="25">
        <f t="shared" si="2"/>
        <v>39.217779999999948</v>
      </c>
      <c r="I36" s="27">
        <f t="shared" si="6"/>
        <v>1.1689989382245291E-2</v>
      </c>
      <c r="J36" s="47">
        <f t="shared" si="8"/>
        <v>1</v>
      </c>
    </row>
    <row r="37" spans="1:10" x14ac:dyDescent="0.2">
      <c r="A37" s="46" t="s">
        <v>104</v>
      </c>
      <c r="B37" s="43"/>
      <c r="C37" s="26">
        <v>0</v>
      </c>
      <c r="D37" s="26">
        <f>D34*C37</f>
        <v>0</v>
      </c>
      <c r="E37" s="26"/>
      <c r="F37" s="26">
        <f>C37</f>
        <v>0</v>
      </c>
      <c r="G37" s="26">
        <f>G34*F37</f>
        <v>0</v>
      </c>
      <c r="H37" s="26">
        <f t="shared" si="2"/>
        <v>0</v>
      </c>
      <c r="I37" s="44" t="str">
        <f t="shared" si="6"/>
        <v>N/A</v>
      </c>
      <c r="J37" s="45">
        <f t="shared" si="8"/>
        <v>0</v>
      </c>
    </row>
    <row r="38" spans="1:10" ht="13.5" thickBot="1" x14ac:dyDescent="0.25">
      <c r="A38" s="46" t="s">
        <v>105</v>
      </c>
      <c r="B38" s="49"/>
      <c r="C38" s="50"/>
      <c r="D38" s="50">
        <f>SUM(D36:D37)</f>
        <v>3354.8174183599995</v>
      </c>
      <c r="E38" s="50"/>
      <c r="F38" s="50"/>
      <c r="G38" s="50">
        <f>SUM(G36:G37)</f>
        <v>3394.0351983599994</v>
      </c>
      <c r="H38" s="50">
        <f t="shared" si="2"/>
        <v>39.217779999999948</v>
      </c>
      <c r="I38" s="51">
        <f t="shared" si="6"/>
        <v>1.1689989382245291E-2</v>
      </c>
      <c r="J38" s="52">
        <f t="shared" si="8"/>
        <v>1</v>
      </c>
    </row>
    <row r="39" spans="1:10" x14ac:dyDescent="0.2">
      <c r="A39" s="169"/>
      <c r="F39" s="69"/>
    </row>
    <row r="40" spans="1:10" x14ac:dyDescent="0.2">
      <c r="A40" s="170"/>
      <c r="F40" s="69"/>
    </row>
    <row r="41" spans="1:10" x14ac:dyDescent="0.2">
      <c r="A41" s="170"/>
    </row>
    <row r="42" spans="1:10" x14ac:dyDescent="0.2">
      <c r="A42" s="170"/>
    </row>
    <row r="43" spans="1:10" x14ac:dyDescent="0.2">
      <c r="A43" s="170"/>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pageSetUpPr fitToPage="1"/>
  </sheetPr>
  <dimension ref="A1:K68"/>
  <sheetViews>
    <sheetView tabSelected="1" view="pageLayout"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117</v>
      </c>
      <c r="B1" s="189"/>
      <c r="C1" s="189"/>
      <c r="D1" s="189"/>
      <c r="E1" s="189"/>
      <c r="F1" s="189"/>
      <c r="G1" s="189"/>
      <c r="H1" s="189"/>
      <c r="I1" s="189"/>
      <c r="J1" s="189"/>
      <c r="K1" s="190"/>
    </row>
    <row r="3" spans="1:11" x14ac:dyDescent="0.2">
      <c r="A3" s="13" t="s">
        <v>13</v>
      </c>
      <c r="B3" s="13" t="s">
        <v>0</v>
      </c>
    </row>
    <row r="4" spans="1:11" x14ac:dyDescent="0.2">
      <c r="A4" s="15" t="s">
        <v>62</v>
      </c>
      <c r="B4" s="15">
        <v>350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7">
        <f>B4*B6</f>
        <v>369.95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9.0999999999999998E-2</v>
      </c>
      <c r="D12" s="104">
        <f>B12*C12</f>
        <v>31.849999999999998</v>
      </c>
      <c r="E12" s="102">
        <f>B12</f>
        <v>350</v>
      </c>
      <c r="F12" s="103">
        <f>C12</f>
        <v>9.0999999999999998E-2</v>
      </c>
      <c r="G12" s="104">
        <f>E12*F12</f>
        <v>31.849999999999998</v>
      </c>
      <c r="H12" s="104">
        <f>G12-D12</f>
        <v>0</v>
      </c>
      <c r="I12" s="105">
        <f t="shared" ref="I12:I18" si="0">IF(ISERROR(H12/ABS(D12)),"N/A",(H12/ABS(D12)))</f>
        <v>0</v>
      </c>
      <c r="J12" s="105">
        <f>G12/$G$46</f>
        <v>0.38909155720316474</v>
      </c>
      <c r="K12" s="106"/>
    </row>
    <row r="13" spans="1:11" x14ac:dyDescent="0.2">
      <c r="A13" s="107" t="s">
        <v>32</v>
      </c>
      <c r="B13" s="73">
        <f>IF(B4&gt;B7,(B4)-B7,0)</f>
        <v>0</v>
      </c>
      <c r="C13" s="21">
        <v>0.106</v>
      </c>
      <c r="D13" s="22">
        <f>B13*C13</f>
        <v>0</v>
      </c>
      <c r="E13" s="73">
        <f>B13</f>
        <v>0</v>
      </c>
      <c r="F13" s="21">
        <f>C13</f>
        <v>0.106</v>
      </c>
      <c r="G13" s="22">
        <f>E13*F13</f>
        <v>0</v>
      </c>
      <c r="H13" s="22">
        <f t="shared" ref="H13:H46" si="1">G13-D13</f>
        <v>0</v>
      </c>
      <c r="I13" s="23" t="str">
        <f t="shared" si="0"/>
        <v>N/A</v>
      </c>
      <c r="J13" s="23">
        <f>G13/$G$46</f>
        <v>0</v>
      </c>
      <c r="K13" s="108"/>
    </row>
    <row r="14" spans="1:11" s="1" customFormat="1" x14ac:dyDescent="0.2">
      <c r="A14" s="46" t="s">
        <v>33</v>
      </c>
      <c r="B14" s="24"/>
      <c r="C14" s="25"/>
      <c r="D14" s="25">
        <f>SUM(D12:D13)</f>
        <v>31.849999999999998</v>
      </c>
      <c r="E14" s="76"/>
      <c r="F14" s="25"/>
      <c r="G14" s="25">
        <f>SUM(G12:G13)</f>
        <v>31.849999999999998</v>
      </c>
      <c r="H14" s="25">
        <f t="shared" si="1"/>
        <v>0</v>
      </c>
      <c r="I14" s="27">
        <f t="shared" si="0"/>
        <v>0</v>
      </c>
      <c r="J14" s="27">
        <f>G14/$G$46</f>
        <v>0.38909155720316474</v>
      </c>
      <c r="K14" s="108"/>
    </row>
    <row r="15" spans="1:11" s="1" customFormat="1" x14ac:dyDescent="0.2">
      <c r="A15" s="109" t="s">
        <v>34</v>
      </c>
      <c r="B15" s="75">
        <f>B4*0.65</f>
        <v>227.5</v>
      </c>
      <c r="C15" s="28">
        <v>7.6999999999999999E-2</v>
      </c>
      <c r="D15" s="22">
        <f>B15*C15</f>
        <v>17.517499999999998</v>
      </c>
      <c r="E15" s="73">
        <f t="shared" ref="E15:F17" si="2">B15</f>
        <v>227.5</v>
      </c>
      <c r="F15" s="28">
        <f t="shared" si="2"/>
        <v>7.6999999999999999E-2</v>
      </c>
      <c r="G15" s="22">
        <f>E15*F15</f>
        <v>17.517499999999998</v>
      </c>
      <c r="H15" s="22">
        <f t="shared" si="1"/>
        <v>0</v>
      </c>
      <c r="I15" s="23">
        <f t="shared" si="0"/>
        <v>0</v>
      </c>
      <c r="J15" s="23"/>
      <c r="K15" s="108">
        <f t="shared" ref="K15:K26" si="3">G15/$G$51</f>
        <v>0.20757786783637924</v>
      </c>
    </row>
    <row r="16" spans="1:11" s="1" customFormat="1" x14ac:dyDescent="0.2">
      <c r="A16" s="109" t="s">
        <v>35</v>
      </c>
      <c r="B16" s="75">
        <f>B4*0.17</f>
        <v>59.500000000000007</v>
      </c>
      <c r="C16" s="28">
        <v>0.113</v>
      </c>
      <c r="D16" s="22">
        <f>B16*C16</f>
        <v>6.7235000000000014</v>
      </c>
      <c r="E16" s="73">
        <f t="shared" si="2"/>
        <v>59.500000000000007</v>
      </c>
      <c r="F16" s="28">
        <f t="shared" si="2"/>
        <v>0.113</v>
      </c>
      <c r="G16" s="22">
        <f>E16*F16</f>
        <v>6.7235000000000014</v>
      </c>
      <c r="H16" s="22">
        <f t="shared" si="1"/>
        <v>0</v>
      </c>
      <c r="I16" s="23">
        <f t="shared" si="0"/>
        <v>0</v>
      </c>
      <c r="J16" s="23"/>
      <c r="K16" s="108">
        <f t="shared" si="3"/>
        <v>7.967174507765927E-2</v>
      </c>
    </row>
    <row r="17" spans="1:11" s="1" customFormat="1" x14ac:dyDescent="0.2">
      <c r="A17" s="109" t="s">
        <v>36</v>
      </c>
      <c r="B17" s="75">
        <f>B4*0.18</f>
        <v>63</v>
      </c>
      <c r="C17" s="28">
        <v>0.157</v>
      </c>
      <c r="D17" s="22">
        <f>B17*C17</f>
        <v>9.891</v>
      </c>
      <c r="E17" s="73">
        <f t="shared" si="2"/>
        <v>63</v>
      </c>
      <c r="F17" s="28">
        <f t="shared" si="2"/>
        <v>0.157</v>
      </c>
      <c r="G17" s="22">
        <f>E17*F17</f>
        <v>9.891</v>
      </c>
      <c r="H17" s="22">
        <f t="shared" si="1"/>
        <v>0</v>
      </c>
      <c r="I17" s="23">
        <f t="shared" si="0"/>
        <v>0</v>
      </c>
      <c r="J17" s="23"/>
      <c r="K17" s="108">
        <f t="shared" si="3"/>
        <v>0.11720580509602554</v>
      </c>
    </row>
    <row r="18" spans="1:11" s="1" customFormat="1" x14ac:dyDescent="0.2">
      <c r="A18" s="61" t="s">
        <v>37</v>
      </c>
      <c r="B18" s="29"/>
      <c r="C18" s="30"/>
      <c r="D18" s="30">
        <f>SUM(D15:D17)</f>
        <v>34.131999999999998</v>
      </c>
      <c r="E18" s="77"/>
      <c r="F18" s="30"/>
      <c r="G18" s="30">
        <f>SUM(G15:G17)</f>
        <v>34.131999999999998</v>
      </c>
      <c r="H18" s="31">
        <f t="shared" si="1"/>
        <v>0</v>
      </c>
      <c r="I18" s="32">
        <f t="shared" si="0"/>
        <v>0</v>
      </c>
      <c r="J18" s="33">
        <f t="shared" ref="J18:J26" si="4">G18/$G$46</f>
        <v>0.41696932591706182</v>
      </c>
      <c r="K18" s="62">
        <f t="shared" si="3"/>
        <v>0.40445541801006407</v>
      </c>
    </row>
    <row r="19" spans="1:11" x14ac:dyDescent="0.2">
      <c r="A19" s="107" t="s">
        <v>38</v>
      </c>
      <c r="B19" s="73">
        <v>1</v>
      </c>
      <c r="C19" s="121">
        <f>VLOOKUP($B$3,'Data for Bill Impacts'!$A$3:$Y$15,7,0)</f>
        <v>31.23</v>
      </c>
      <c r="D19" s="22">
        <f t="shared" ref="D19:D24" si="5">B19*C19</f>
        <v>31.23</v>
      </c>
      <c r="E19" s="73">
        <f t="shared" ref="E19:E24" si="6">B19</f>
        <v>1</v>
      </c>
      <c r="F19" s="121">
        <f>VLOOKUP($B$3,'Data for Bill Impacts'!$A$3:$Y$15,17,0)</f>
        <v>35.85</v>
      </c>
      <c r="G19" s="22">
        <f t="shared" ref="G19:G24" si="7">E19*F19</f>
        <v>35.85</v>
      </c>
      <c r="H19" s="22">
        <f t="shared" si="1"/>
        <v>4.620000000000001</v>
      </c>
      <c r="I19" s="23">
        <f>IF(ISERROR(H19/ABS(D19)),"N/A",(H19/ABS(D19)))</f>
        <v>0.14793467819404421</v>
      </c>
      <c r="J19" s="23">
        <f t="shared" si="4"/>
        <v>0.43795705889273023</v>
      </c>
      <c r="K19" s="108">
        <f t="shared" si="3"/>
        <v>0.42481327597740531</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G21-D21</f>
        <v>0</v>
      </c>
      <c r="I21" s="23">
        <f>IF(ISERROR(H21/D21),0,(H21/D21))</f>
        <v>0</v>
      </c>
      <c r="J21" s="23">
        <f t="shared" si="4"/>
        <v>0</v>
      </c>
      <c r="K21" s="108">
        <f t="shared" si="3"/>
        <v>0</v>
      </c>
    </row>
    <row r="22" spans="1:11" x14ac:dyDescent="0.2">
      <c r="A22" s="107" t="s">
        <v>85</v>
      </c>
      <c r="B22" s="73">
        <v>1</v>
      </c>
      <c r="C22" s="121">
        <f>VLOOKUP($B$3,'Data for Bill Impacts'!$A$3:$Y$15,13,0)</f>
        <v>7.0000000000000001E-3</v>
      </c>
      <c r="D22" s="22">
        <f t="shared" si="5"/>
        <v>7.0000000000000001E-3</v>
      </c>
      <c r="E22" s="73">
        <f t="shared" si="6"/>
        <v>1</v>
      </c>
      <c r="F22" s="121">
        <f>VLOOKUP($B$3,'Data for Bill Impacts'!$A$3:$Y$15,22,0)</f>
        <v>7.0000000000000001E-3</v>
      </c>
      <c r="G22" s="22">
        <f t="shared" si="7"/>
        <v>7.0000000000000001E-3</v>
      </c>
      <c r="H22" s="22">
        <f>G22-D22</f>
        <v>0</v>
      </c>
      <c r="I22" s="23">
        <f t="shared" ref="I22:I51" si="8">IF(ISERROR(H22/ABS(D22)),"N/A",(H22/ABS(D22)))</f>
        <v>0</v>
      </c>
      <c r="J22" s="23">
        <f t="shared" si="4"/>
        <v>8.5514627956739513E-5</v>
      </c>
      <c r="K22" s="108">
        <f t="shared" si="3"/>
        <v>8.2948198935616101E-5</v>
      </c>
    </row>
    <row r="23" spans="1:11" x14ac:dyDescent="0.2">
      <c r="A23" s="107" t="s">
        <v>39</v>
      </c>
      <c r="B23" s="73">
        <f>IF($B$9="kWh",$B$4,$B$5)</f>
        <v>350</v>
      </c>
      <c r="C23" s="78">
        <f>VLOOKUP($B$3,'Data for Bill Impacts'!$A$3:$Y$15,10,0)</f>
        <v>4.7000000000000002E-3</v>
      </c>
      <c r="D23" s="22">
        <f t="shared" si="5"/>
        <v>1.645</v>
      </c>
      <c r="E23" s="73">
        <f t="shared" si="6"/>
        <v>350</v>
      </c>
      <c r="F23" s="125">
        <f>VLOOKUP($B$3,'Data for Bill Impacts'!$A$3:$Y$15,19,0)</f>
        <v>0</v>
      </c>
      <c r="G23" s="22">
        <f t="shared" si="7"/>
        <v>0</v>
      </c>
      <c r="H23" s="22">
        <f t="shared" si="1"/>
        <v>-1.645</v>
      </c>
      <c r="I23" s="23">
        <f t="shared" si="8"/>
        <v>-1</v>
      </c>
      <c r="J23" s="23">
        <f t="shared" si="4"/>
        <v>0</v>
      </c>
      <c r="K23" s="108">
        <f t="shared" si="3"/>
        <v>0</v>
      </c>
    </row>
    <row r="24" spans="1:11" x14ac:dyDescent="0.2">
      <c r="A24" s="107" t="s">
        <v>121</v>
      </c>
      <c r="B24" s="73">
        <f>IF($B$9="kWh",$B$4,$B$5)</f>
        <v>350</v>
      </c>
      <c r="C24" s="125">
        <f>VLOOKUP($B$3,'Data for Bill Impacts'!$A$3:$Y$15,14,0)</f>
        <v>3.0000000000000004E-5</v>
      </c>
      <c r="D24" s="22">
        <f t="shared" si="5"/>
        <v>1.0500000000000001E-2</v>
      </c>
      <c r="E24" s="73">
        <f t="shared" si="6"/>
        <v>350</v>
      </c>
      <c r="F24" s="125">
        <f>VLOOKUP($B$3,'Data for Bill Impacts'!$A$3:$Y$15,23,0)</f>
        <v>3.0000000000000004E-5</v>
      </c>
      <c r="G24" s="22">
        <f t="shared" si="7"/>
        <v>1.0500000000000001E-2</v>
      </c>
      <c r="H24" s="22">
        <f>G24-D24</f>
        <v>0</v>
      </c>
      <c r="I24" s="23">
        <f t="shared" si="8"/>
        <v>0</v>
      </c>
      <c r="J24" s="23">
        <f t="shared" si="4"/>
        <v>1.2827194193510929E-4</v>
      </c>
      <c r="K24" s="108">
        <f t="shared" si="3"/>
        <v>1.2442229840342416E-4</v>
      </c>
    </row>
    <row r="25" spans="1:11" s="1" customFormat="1" x14ac:dyDescent="0.2">
      <c r="A25" s="110" t="s">
        <v>72</v>
      </c>
      <c r="B25" s="74"/>
      <c r="C25" s="35"/>
      <c r="D25" s="35">
        <f>SUM(D19:D24)</f>
        <v>32.892500000000005</v>
      </c>
      <c r="E25" s="73"/>
      <c r="F25" s="35"/>
      <c r="G25" s="35">
        <f>SUM(G19:G24)</f>
        <v>35.8675</v>
      </c>
      <c r="H25" s="35">
        <f t="shared" si="1"/>
        <v>2.9749999999999943</v>
      </c>
      <c r="I25" s="36">
        <f t="shared" si="8"/>
        <v>9.0446150338222814E-2</v>
      </c>
      <c r="J25" s="36">
        <f t="shared" si="4"/>
        <v>0.43817084546262208</v>
      </c>
      <c r="K25" s="111">
        <f t="shared" si="3"/>
        <v>0.4250206464747443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9.650936583689174E-3</v>
      </c>
      <c r="K26" s="108">
        <f t="shared" si="3"/>
        <v>9.3612967370195303E-3</v>
      </c>
    </row>
    <row r="27" spans="1:11" s="1" customFormat="1" x14ac:dyDescent="0.2">
      <c r="A27" s="119" t="s">
        <v>75</v>
      </c>
      <c r="B27" s="120">
        <f>B8-B4</f>
        <v>19.949999999999989</v>
      </c>
      <c r="C27" s="172">
        <f>IF(B4&gt;B7,C13,C12)</f>
        <v>9.0999999999999998E-2</v>
      </c>
      <c r="D27" s="22">
        <f>B27*C27</f>
        <v>1.8154499999999989</v>
      </c>
      <c r="E27" s="73">
        <f>B27</f>
        <v>19.949999999999989</v>
      </c>
      <c r="F27" s="172">
        <f>C27</f>
        <v>9.0999999999999998E-2</v>
      </c>
      <c r="G27" s="22">
        <f>E27*F27</f>
        <v>1.8154499999999989</v>
      </c>
      <c r="H27" s="22">
        <f>G27-D27</f>
        <v>0</v>
      </c>
      <c r="I27" s="23">
        <f t="shared" si="8"/>
        <v>0</v>
      </c>
      <c r="J27" s="23">
        <f>G27/$G$46</f>
        <v>2.2178218760580379E-2</v>
      </c>
      <c r="K27" s="108">
        <f>G27/$G$51</f>
        <v>2.1512615393952019E-2</v>
      </c>
    </row>
    <row r="28" spans="1:11" s="1" customFormat="1" x14ac:dyDescent="0.2">
      <c r="A28" s="119" t="s">
        <v>74</v>
      </c>
      <c r="B28" s="120">
        <f>B8-B4</f>
        <v>19.949999999999989</v>
      </c>
      <c r="C28" s="172">
        <f>0.65*C15+0.17*C16+0.18*C17</f>
        <v>9.7519999999999996E-2</v>
      </c>
      <c r="D28" s="22">
        <f>B28*C28</f>
        <v>1.9455239999999987</v>
      </c>
      <c r="E28" s="73">
        <f>B28</f>
        <v>19.949999999999989</v>
      </c>
      <c r="F28" s="172">
        <f>C28</f>
        <v>9.7519999999999996E-2</v>
      </c>
      <c r="G28" s="22">
        <f>E28*F28</f>
        <v>1.9455239999999987</v>
      </c>
      <c r="H28" s="22">
        <f>G28-D28</f>
        <v>0</v>
      </c>
      <c r="I28" s="23">
        <f t="shared" si="8"/>
        <v>0</v>
      </c>
      <c r="J28" s="23">
        <f>G28/$G$46</f>
        <v>2.3767251577272511E-2</v>
      </c>
      <c r="K28" s="108">
        <f>G28/$G$51</f>
        <v>2.3053958826573635E-2</v>
      </c>
    </row>
    <row r="29" spans="1:11" s="1" customFormat="1" x14ac:dyDescent="0.2">
      <c r="A29" s="110" t="s">
        <v>78</v>
      </c>
      <c r="B29" s="74"/>
      <c r="C29" s="35"/>
      <c r="D29" s="35">
        <f>SUM(D25,D26:D27)</f>
        <v>35.497950000000003</v>
      </c>
      <c r="E29" s="73"/>
      <c r="F29" s="35"/>
      <c r="G29" s="35">
        <f>SUM(G25,G26:G27)</f>
        <v>38.472949999999997</v>
      </c>
      <c r="H29" s="35">
        <f>G29-D29</f>
        <v>2.9749999999999943</v>
      </c>
      <c r="I29" s="36">
        <f t="shared" si="8"/>
        <v>8.3807656498473687E-2</v>
      </c>
      <c r="J29" s="36">
        <f>G29/$G$46</f>
        <v>0.47000000080689158</v>
      </c>
      <c r="K29" s="111">
        <f>G29/$G$51</f>
        <v>0.45589455860571587</v>
      </c>
    </row>
    <row r="30" spans="1:11" s="1" customFormat="1" x14ac:dyDescent="0.2">
      <c r="A30" s="110" t="s">
        <v>77</v>
      </c>
      <c r="B30" s="74"/>
      <c r="C30" s="35"/>
      <c r="D30" s="35">
        <f>SUM(D25,D26,D28)</f>
        <v>35.628024000000003</v>
      </c>
      <c r="E30" s="73"/>
      <c r="F30" s="35"/>
      <c r="G30" s="35">
        <f>SUM(G25,G26,G28)</f>
        <v>38.603023999999998</v>
      </c>
      <c r="H30" s="35">
        <f>G30-D30</f>
        <v>2.9749999999999943</v>
      </c>
      <c r="I30" s="36">
        <f t="shared" si="8"/>
        <v>8.3501683955304232E-2</v>
      </c>
      <c r="J30" s="36">
        <f>G30/$G$46</f>
        <v>0.47158903362358373</v>
      </c>
      <c r="K30" s="111">
        <f>G30/$G$51</f>
        <v>0.45743590203833745</v>
      </c>
    </row>
    <row r="31" spans="1:11" x14ac:dyDescent="0.2">
      <c r="A31" s="107" t="s">
        <v>40</v>
      </c>
      <c r="B31" s="73">
        <f>B8</f>
        <v>369.95</v>
      </c>
      <c r="C31" s="125">
        <f>VLOOKUP($B$3,'Data for Bill Impacts'!$A$3:$Y$15,15,0)</f>
        <v>7.8279999999999999E-3</v>
      </c>
      <c r="D31" s="22">
        <f>B31*C31</f>
        <v>2.8959685999999998</v>
      </c>
      <c r="E31" s="73">
        <f>B31</f>
        <v>369.95</v>
      </c>
      <c r="F31" s="125">
        <f>VLOOKUP($B$3,'Data for Bill Impacts'!$A$3:$Y$15,24,0)</f>
        <v>7.8279999999999999E-3</v>
      </c>
      <c r="G31" s="22">
        <f>E31*F31</f>
        <v>2.8959685999999998</v>
      </c>
      <c r="H31" s="22">
        <f t="shared" si="1"/>
        <v>0</v>
      </c>
      <c r="I31" s="23">
        <f t="shared" si="8"/>
        <v>0</v>
      </c>
      <c r="J31" s="23">
        <f t="shared" ref="J31:J46" si="9">G31/$G$46</f>
        <v>3.5378239629057111E-2</v>
      </c>
      <c r="K31" s="108">
        <f t="shared" ref="K31:K41" si="10">G31/$G$51</f>
        <v>3.4316482792013943E-2</v>
      </c>
    </row>
    <row r="32" spans="1:11" x14ac:dyDescent="0.2">
      <c r="A32" s="107" t="s">
        <v>41</v>
      </c>
      <c r="B32" s="73">
        <f>B8</f>
        <v>369.95</v>
      </c>
      <c r="C32" s="125">
        <f>VLOOKUP($B$3,'Data for Bill Impacts'!$A$3:$Y$15,16,0)</f>
        <v>6.4380000000000001E-3</v>
      </c>
      <c r="D32" s="22">
        <f>B32*C32</f>
        <v>2.3817381000000002</v>
      </c>
      <c r="E32" s="73">
        <f>B32</f>
        <v>369.95</v>
      </c>
      <c r="F32" s="125">
        <f>VLOOKUP($B$3,'Data for Bill Impacts'!$A$3:$Y$15,25,0)</f>
        <v>6.4380000000000001E-3</v>
      </c>
      <c r="G32" s="22">
        <f>E32*F32</f>
        <v>2.3817381000000002</v>
      </c>
      <c r="H32" s="22">
        <f t="shared" si="1"/>
        <v>0</v>
      </c>
      <c r="I32" s="23">
        <f t="shared" si="8"/>
        <v>0</v>
      </c>
      <c r="J32" s="23">
        <f t="shared" si="9"/>
        <v>2.9096206787413096E-2</v>
      </c>
      <c r="K32" s="108">
        <f t="shared" si="10"/>
        <v>2.8222983675905186E-2</v>
      </c>
    </row>
    <row r="33" spans="1:11" s="1" customFormat="1" x14ac:dyDescent="0.2">
      <c r="A33" s="110" t="s">
        <v>76</v>
      </c>
      <c r="B33" s="74"/>
      <c r="C33" s="35"/>
      <c r="D33" s="35">
        <f>SUM(D31:D32)</f>
        <v>5.2777066999999995</v>
      </c>
      <c r="E33" s="73"/>
      <c r="F33" s="35"/>
      <c r="G33" s="35">
        <f>SUM(G31:G32)</f>
        <v>5.2777066999999995</v>
      </c>
      <c r="H33" s="35">
        <f t="shared" si="1"/>
        <v>0</v>
      </c>
      <c r="I33" s="36">
        <f t="shared" si="8"/>
        <v>0</v>
      </c>
      <c r="J33" s="36">
        <f t="shared" si="9"/>
        <v>6.4474446416470196E-2</v>
      </c>
      <c r="K33" s="111">
        <f t="shared" si="10"/>
        <v>6.2539466467919122E-2</v>
      </c>
    </row>
    <row r="34" spans="1:11" s="1" customFormat="1" x14ac:dyDescent="0.2">
      <c r="A34" s="110" t="s">
        <v>91</v>
      </c>
      <c r="B34" s="74"/>
      <c r="C34" s="35"/>
      <c r="D34" s="35">
        <f>D29+D33</f>
        <v>40.775656699999999</v>
      </c>
      <c r="E34" s="73"/>
      <c r="F34" s="35"/>
      <c r="G34" s="35">
        <f>G29+G33</f>
        <v>43.750656699999993</v>
      </c>
      <c r="H34" s="35">
        <f t="shared" si="1"/>
        <v>2.9749999999999943</v>
      </c>
      <c r="I34" s="36">
        <f t="shared" si="8"/>
        <v>7.2960198333237247E-2</v>
      </c>
      <c r="J34" s="36">
        <f t="shared" si="9"/>
        <v>0.53447444722336179</v>
      </c>
      <c r="K34" s="111">
        <f t="shared" si="10"/>
        <v>0.5184340250736349</v>
      </c>
    </row>
    <row r="35" spans="1:11" s="1" customFormat="1" x14ac:dyDescent="0.2">
      <c r="A35" s="110" t="s">
        <v>92</v>
      </c>
      <c r="B35" s="74"/>
      <c r="C35" s="35"/>
      <c r="D35" s="35">
        <f>D30+D33</f>
        <v>40.905730700000007</v>
      </c>
      <c r="E35" s="73"/>
      <c r="F35" s="35"/>
      <c r="G35" s="35">
        <f>G30+G33</f>
        <v>43.880730700000001</v>
      </c>
      <c r="H35" s="35">
        <f>G35-D35</f>
        <v>2.9749999999999943</v>
      </c>
      <c r="I35" s="36">
        <f t="shared" si="8"/>
        <v>7.2728196003109022E-2</v>
      </c>
      <c r="J35" s="36">
        <f>G35/$G$46</f>
        <v>0.536063480040054</v>
      </c>
      <c r="K35" s="111">
        <f>G35/$G$51</f>
        <v>0.5199753685062567</v>
      </c>
    </row>
    <row r="36" spans="1:11" x14ac:dyDescent="0.2">
      <c r="A36" s="107" t="s">
        <v>42</v>
      </c>
      <c r="B36" s="73">
        <f>B8</f>
        <v>369.95</v>
      </c>
      <c r="C36" s="34">
        <v>3.5999999999999999E-3</v>
      </c>
      <c r="D36" s="22">
        <f>B36*C36</f>
        <v>1.33182</v>
      </c>
      <c r="E36" s="73">
        <f>B36</f>
        <v>369.95</v>
      </c>
      <c r="F36" s="34">
        <v>3.5999999999999999E-3</v>
      </c>
      <c r="G36" s="22">
        <f>E36*F36</f>
        <v>1.33182</v>
      </c>
      <c r="H36" s="22">
        <f t="shared" si="1"/>
        <v>0</v>
      </c>
      <c r="I36" s="23">
        <f t="shared" si="8"/>
        <v>0</v>
      </c>
      <c r="J36" s="23">
        <f t="shared" si="9"/>
        <v>1.6270013115049262E-2</v>
      </c>
      <c r="K36" s="108">
        <f t="shared" si="10"/>
        <v>1.5781724329490317E-2</v>
      </c>
    </row>
    <row r="37" spans="1:11" x14ac:dyDescent="0.2">
      <c r="A37" s="107" t="s">
        <v>43</v>
      </c>
      <c r="B37" s="73">
        <f>B8</f>
        <v>369.95</v>
      </c>
      <c r="C37" s="34">
        <v>2.0999999999999999E-3</v>
      </c>
      <c r="D37" s="22">
        <f>B37*C37</f>
        <v>0.77689499999999989</v>
      </c>
      <c r="E37" s="73">
        <f>B37</f>
        <v>369.95</v>
      </c>
      <c r="F37" s="34">
        <v>2.0999999999999999E-3</v>
      </c>
      <c r="G37" s="22">
        <f>E37*F37</f>
        <v>0.77689499999999989</v>
      </c>
      <c r="H37" s="22">
        <f>G37-D37</f>
        <v>0</v>
      </c>
      <c r="I37" s="23">
        <f t="shared" si="8"/>
        <v>0</v>
      </c>
      <c r="J37" s="23">
        <f t="shared" si="9"/>
        <v>9.4908409837787342E-3</v>
      </c>
      <c r="K37" s="108">
        <f t="shared" si="10"/>
        <v>9.2060058588693504E-3</v>
      </c>
    </row>
    <row r="38" spans="1:11" x14ac:dyDescent="0.2">
      <c r="A38" s="107" t="s">
        <v>96</v>
      </c>
      <c r="B38" s="73">
        <f>B8</f>
        <v>369.95</v>
      </c>
      <c r="C38" s="34">
        <v>0</v>
      </c>
      <c r="D38" s="22">
        <f>B38*C38</f>
        <v>0</v>
      </c>
      <c r="E38" s="73">
        <f>B38</f>
        <v>369.95</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B39</f>
        <v>1</v>
      </c>
      <c r="F39" s="22">
        <f>C39</f>
        <v>0.25</v>
      </c>
      <c r="G39" s="22">
        <f>E39*F39</f>
        <v>0.25</v>
      </c>
      <c r="H39" s="22">
        <f t="shared" si="1"/>
        <v>0</v>
      </c>
      <c r="I39" s="23">
        <f t="shared" si="8"/>
        <v>0</v>
      </c>
      <c r="J39" s="23">
        <f t="shared" si="9"/>
        <v>3.0540938555978399E-3</v>
      </c>
      <c r="K39" s="108">
        <f t="shared" si="10"/>
        <v>2.9624356762720035E-3</v>
      </c>
    </row>
    <row r="40" spans="1:11" s="1" customFormat="1" x14ac:dyDescent="0.2">
      <c r="A40" s="110" t="s">
        <v>45</v>
      </c>
      <c r="B40" s="74"/>
      <c r="C40" s="35"/>
      <c r="D40" s="35">
        <f>SUM(D36:D39)</f>
        <v>2.3587150000000001</v>
      </c>
      <c r="E40" s="73"/>
      <c r="F40" s="35"/>
      <c r="G40" s="35">
        <f>SUM(G36:G39)</f>
        <v>2.3587150000000001</v>
      </c>
      <c r="H40" s="35">
        <f t="shared" si="1"/>
        <v>0</v>
      </c>
      <c r="I40" s="36">
        <f t="shared" si="8"/>
        <v>0</v>
      </c>
      <c r="J40" s="36">
        <f t="shared" si="9"/>
        <v>2.8814947954425837E-2</v>
      </c>
      <c r="K40" s="111">
        <f t="shared" si="10"/>
        <v>2.7950165864631674E-2</v>
      </c>
    </row>
    <row r="41" spans="1:11" s="1" customFormat="1" ht="13.5" thickBot="1" x14ac:dyDescent="0.25">
      <c r="A41" s="112" t="s">
        <v>46</v>
      </c>
      <c r="B41" s="113">
        <f>B4</f>
        <v>350</v>
      </c>
      <c r="C41" s="114">
        <v>0</v>
      </c>
      <c r="D41" s="115">
        <f>B41*C41</f>
        <v>0</v>
      </c>
      <c r="E41" s="116">
        <f>B41</f>
        <v>350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74.984371700000011</v>
      </c>
      <c r="E42" s="38"/>
      <c r="F42" s="39"/>
      <c r="G42" s="39">
        <f>SUM(G14,G25,G26,G27,G33,G40,G41)</f>
        <v>77.959371700000005</v>
      </c>
      <c r="H42" s="39">
        <f t="shared" si="1"/>
        <v>2.9749999999999943</v>
      </c>
      <c r="I42" s="40">
        <f t="shared" si="8"/>
        <v>3.9674934023618602E-2</v>
      </c>
      <c r="J42" s="40">
        <f t="shared" si="9"/>
        <v>0.95238095238095255</v>
      </c>
      <c r="K42" s="41"/>
    </row>
    <row r="43" spans="1:11" x14ac:dyDescent="0.2">
      <c r="A43" s="153" t="s">
        <v>102</v>
      </c>
      <c r="B43" s="43"/>
      <c r="C43" s="26">
        <v>0.13</v>
      </c>
      <c r="D43" s="26">
        <f>D42*C43</f>
        <v>9.7479683210000019</v>
      </c>
      <c r="E43" s="26"/>
      <c r="F43" s="26">
        <f>C43</f>
        <v>0.13</v>
      </c>
      <c r="G43" s="26">
        <f>G42*F43</f>
        <v>10.134718321000001</v>
      </c>
      <c r="H43" s="26">
        <f t="shared" si="1"/>
        <v>0.38674999999999926</v>
      </c>
      <c r="I43" s="44">
        <f t="shared" si="8"/>
        <v>3.9674934023618602E-2</v>
      </c>
      <c r="J43" s="44">
        <f t="shared" si="9"/>
        <v>0.12380952380952384</v>
      </c>
      <c r="K43" s="45"/>
    </row>
    <row r="44" spans="1:11" s="1" customFormat="1" x14ac:dyDescent="0.2">
      <c r="A44" s="46" t="s">
        <v>103</v>
      </c>
      <c r="B44" s="24"/>
      <c r="C44" s="25"/>
      <c r="D44" s="25">
        <f>SUM(D42:D43)</f>
        <v>84.732340021000013</v>
      </c>
      <c r="E44" s="25"/>
      <c r="F44" s="25"/>
      <c r="G44" s="25">
        <f>SUM(G42:G43)</f>
        <v>88.094090021</v>
      </c>
      <c r="H44" s="25">
        <f t="shared" si="1"/>
        <v>3.3617499999999865</v>
      </c>
      <c r="I44" s="27">
        <f t="shared" si="8"/>
        <v>3.9674934023618519E-2</v>
      </c>
      <c r="J44" s="27">
        <f t="shared" si="9"/>
        <v>1.0761904761904764</v>
      </c>
      <c r="K44" s="47"/>
    </row>
    <row r="45" spans="1:11" x14ac:dyDescent="0.2">
      <c r="A45" s="42" t="s">
        <v>104</v>
      </c>
      <c r="B45" s="43"/>
      <c r="C45" s="26">
        <v>-0.08</v>
      </c>
      <c r="D45" s="26">
        <f>D42*C45</f>
        <v>-5.9987497360000006</v>
      </c>
      <c r="E45" s="26"/>
      <c r="F45" s="26">
        <f>C45</f>
        <v>-0.08</v>
      </c>
      <c r="G45" s="26">
        <f>G42*F45</f>
        <v>-6.2367497360000002</v>
      </c>
      <c r="H45" s="26">
        <f t="shared" si="1"/>
        <v>-0.23799999999999955</v>
      </c>
      <c r="I45" s="44">
        <f t="shared" si="8"/>
        <v>-3.9674934023618602E-2</v>
      </c>
      <c r="J45" s="44">
        <f t="shared" si="9"/>
        <v>-7.6190476190476197E-2</v>
      </c>
      <c r="K45" s="45"/>
    </row>
    <row r="46" spans="1:11" s="1" customFormat="1" ht="13.5" thickBot="1" x14ac:dyDescent="0.25">
      <c r="A46" s="48" t="s">
        <v>105</v>
      </c>
      <c r="B46" s="49"/>
      <c r="C46" s="50"/>
      <c r="D46" s="50">
        <f>SUM(D44:D45)</f>
        <v>78.73359028500002</v>
      </c>
      <c r="E46" s="50"/>
      <c r="F46" s="50"/>
      <c r="G46" s="50">
        <f>SUM(G44:G45)</f>
        <v>81.857340284999992</v>
      </c>
      <c r="H46" s="50">
        <f t="shared" si="1"/>
        <v>3.1237499999999727</v>
      </c>
      <c r="I46" s="51">
        <f t="shared" si="8"/>
        <v>3.9674934023618325E-2</v>
      </c>
      <c r="J46" s="51">
        <f t="shared" si="9"/>
        <v>1</v>
      </c>
      <c r="K46" s="52"/>
    </row>
    <row r="47" spans="1:11" x14ac:dyDescent="0.2">
      <c r="A47" s="53" t="s">
        <v>106</v>
      </c>
      <c r="B47" s="54"/>
      <c r="C47" s="55"/>
      <c r="D47" s="55">
        <f>SUM(D18,D25,D26,D28,D33,D40,D41)</f>
        <v>77.396445700000001</v>
      </c>
      <c r="E47" s="55"/>
      <c r="F47" s="55"/>
      <c r="G47" s="55">
        <f>SUM(G18,G25,G26,G28,G33,G40,G41)</f>
        <v>80.371445699999995</v>
      </c>
      <c r="H47" s="55">
        <f>G47-D47</f>
        <v>2.9749999999999943</v>
      </c>
      <c r="I47" s="56">
        <f t="shared" si="8"/>
        <v>3.8438457646124108E-2</v>
      </c>
      <c r="J47" s="56"/>
      <c r="K47" s="57">
        <f>G47/$G$51</f>
        <v>0.95238095238095233</v>
      </c>
    </row>
    <row r="48" spans="1:11" x14ac:dyDescent="0.2">
      <c r="A48" s="154" t="s">
        <v>102</v>
      </c>
      <c r="B48" s="59"/>
      <c r="C48" s="31">
        <v>0.13</v>
      </c>
      <c r="D48" s="31">
        <f>D47*C48</f>
        <v>10.061537941000001</v>
      </c>
      <c r="E48" s="31"/>
      <c r="F48" s="31">
        <f>C48</f>
        <v>0.13</v>
      </c>
      <c r="G48" s="31">
        <f>G47*F48</f>
        <v>10.448287941</v>
      </c>
      <c r="H48" s="31">
        <f>G48-D48</f>
        <v>0.38674999999999926</v>
      </c>
      <c r="I48" s="32">
        <f t="shared" si="8"/>
        <v>3.8438457646124101E-2</v>
      </c>
      <c r="J48" s="32"/>
      <c r="K48" s="60">
        <f>G48/$G$51</f>
        <v>0.12380952380952381</v>
      </c>
    </row>
    <row r="49" spans="1:11" x14ac:dyDescent="0.2">
      <c r="A49" s="61" t="s">
        <v>107</v>
      </c>
      <c r="B49" s="29"/>
      <c r="C49" s="30"/>
      <c r="D49" s="30">
        <f>SUM(D47:D48)</f>
        <v>87.457983640999998</v>
      </c>
      <c r="E49" s="30"/>
      <c r="F49" s="30"/>
      <c r="G49" s="30">
        <f>SUM(G47:G48)</f>
        <v>90.819733640999999</v>
      </c>
      <c r="H49" s="30">
        <f>G49-D49</f>
        <v>3.3617500000000007</v>
      </c>
      <c r="I49" s="33">
        <f t="shared" si="8"/>
        <v>3.8438457646124191E-2</v>
      </c>
      <c r="J49" s="33"/>
      <c r="K49" s="62">
        <f>G49/$G$51</f>
        <v>1.0761904761904761</v>
      </c>
    </row>
    <row r="50" spans="1:11" x14ac:dyDescent="0.2">
      <c r="A50" s="58" t="s">
        <v>104</v>
      </c>
      <c r="B50" s="59"/>
      <c r="C50" s="31">
        <v>-0.08</v>
      </c>
      <c r="D50" s="31">
        <f>D47*C50</f>
        <v>-6.1917156560000004</v>
      </c>
      <c r="E50" s="31"/>
      <c r="F50" s="31">
        <f>C50</f>
        <v>-0.08</v>
      </c>
      <c r="G50" s="31">
        <f>G47*F50</f>
        <v>-6.4297156559999999</v>
      </c>
      <c r="H50" s="31">
        <f>G50-D50</f>
        <v>-0.23799999999999955</v>
      </c>
      <c r="I50" s="32">
        <f t="shared" si="8"/>
        <v>-3.8438457646124108E-2</v>
      </c>
      <c r="J50" s="32"/>
      <c r="K50" s="60">
        <f>G50/$G$51</f>
        <v>-7.6190476190476183E-2</v>
      </c>
    </row>
    <row r="51" spans="1:11" ht="13.5" thickBot="1" x14ac:dyDescent="0.25">
      <c r="A51" s="63" t="s">
        <v>116</v>
      </c>
      <c r="B51" s="64"/>
      <c r="C51" s="65"/>
      <c r="D51" s="65">
        <f>SUM(D49:D50)</f>
        <v>81.266267984999999</v>
      </c>
      <c r="E51" s="65"/>
      <c r="F51" s="65"/>
      <c r="G51" s="65">
        <f>SUM(G49:G50)</f>
        <v>84.390017985</v>
      </c>
      <c r="H51" s="65">
        <f>G51-D51</f>
        <v>3.1237500000000011</v>
      </c>
      <c r="I51" s="66">
        <f t="shared" si="8"/>
        <v>3.8438457646124198E-2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1" tint="0.499984740745262"/>
    <pageSetUpPr fitToPage="1"/>
  </sheetPr>
  <dimension ref="A1:J43"/>
  <sheetViews>
    <sheetView tabSelected="1" view="pageLayout" topLeftCell="A22"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119</v>
      </c>
      <c r="B1" s="189"/>
      <c r="C1" s="189"/>
      <c r="D1" s="189"/>
      <c r="E1" s="189"/>
      <c r="F1" s="189"/>
      <c r="G1" s="189"/>
      <c r="H1" s="189"/>
      <c r="I1" s="189"/>
      <c r="J1" s="190"/>
    </row>
    <row r="3" spans="1:10" x14ac:dyDescent="0.2">
      <c r="A3" s="13" t="s">
        <v>13</v>
      </c>
      <c r="B3" s="13" t="s">
        <v>5</v>
      </c>
    </row>
    <row r="4" spans="1:10" x14ac:dyDescent="0.2">
      <c r="A4" s="15" t="s">
        <v>62</v>
      </c>
      <c r="B4" s="79">
        <f>VLOOKUP(B3,'Data for Bill Impacts'!A19:D31,3,FALSE)</f>
        <v>36104</v>
      </c>
    </row>
    <row r="5" spans="1:10" x14ac:dyDescent="0.2">
      <c r="A5" s="15" t="s">
        <v>16</v>
      </c>
      <c r="B5" s="79">
        <f>VLOOKUP(B3,'Data for Bill Impacts'!A19:D31,4,FALSE)</f>
        <v>124</v>
      </c>
    </row>
    <row r="6" spans="1:10" x14ac:dyDescent="0.2">
      <c r="A6" s="15" t="s">
        <v>20</v>
      </c>
      <c r="B6" s="80">
        <f>VLOOKUP($B$3,'Data for Bill Impacts'!$A$3:$Y$15,2,0)</f>
        <v>1.0609999999999999</v>
      </c>
    </row>
    <row r="7" spans="1:10" x14ac:dyDescent="0.2">
      <c r="A7" s="81" t="s">
        <v>48</v>
      </c>
      <c r="B7" s="82">
        <f>B4/(B5*730)</f>
        <v>0.39885108263367214</v>
      </c>
    </row>
    <row r="8" spans="1:10" x14ac:dyDescent="0.2">
      <c r="A8" s="15" t="s">
        <v>15</v>
      </c>
      <c r="B8" s="79">
        <f>VLOOKUP($B$3,'Data for Bill Impacts'!$A$3:$Y$15,4,0)</f>
        <v>0</v>
      </c>
    </row>
    <row r="9" spans="1:10" x14ac:dyDescent="0.2">
      <c r="A9" s="15" t="s">
        <v>82</v>
      </c>
      <c r="B9" s="79">
        <f>B4*B6</f>
        <v>38306.343999999997</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38306.343999999997</v>
      </c>
      <c r="C13" s="103">
        <v>9.0999999999999998E-2</v>
      </c>
      <c r="D13" s="104">
        <f>B13*C13</f>
        <v>3485.8773039999996</v>
      </c>
      <c r="E13" s="102">
        <f>B13</f>
        <v>38306.343999999997</v>
      </c>
      <c r="F13" s="103">
        <f>C13</f>
        <v>9.0999999999999998E-2</v>
      </c>
      <c r="G13" s="104">
        <f>E13*F13</f>
        <v>3485.8773039999996</v>
      </c>
      <c r="H13" s="104">
        <f>G13-D13</f>
        <v>0</v>
      </c>
      <c r="I13" s="105">
        <f t="shared" ref="I13:I18" si="0">IF(ISERROR(H13/ABS(D13)),"N/A",(H13/ABS(D13)))</f>
        <v>0</v>
      </c>
      <c r="J13" s="123">
        <f t="shared" ref="J13:J21" si="1">G13/$G$38</f>
        <v>0.46366051429908983</v>
      </c>
    </row>
    <row r="14" spans="1:10" x14ac:dyDescent="0.2">
      <c r="A14" s="107" t="s">
        <v>32</v>
      </c>
      <c r="B14" s="73">
        <v>0</v>
      </c>
      <c r="C14" s="21">
        <v>0.106</v>
      </c>
      <c r="D14" s="22">
        <f>B14*C14</f>
        <v>0</v>
      </c>
      <c r="E14" s="73">
        <f>B14</f>
        <v>0</v>
      </c>
      <c r="F14" s="21">
        <f>C14</f>
        <v>0.106</v>
      </c>
      <c r="G14" s="22">
        <f>E14*F14</f>
        <v>0</v>
      </c>
      <c r="H14" s="22">
        <f t="shared" ref="H14:H38" si="2">G14-D14</f>
        <v>0</v>
      </c>
      <c r="I14" s="23" t="str">
        <f t="shared" si="0"/>
        <v>N/A</v>
      </c>
      <c r="J14" s="124">
        <f t="shared" si="1"/>
        <v>0</v>
      </c>
    </row>
    <row r="15" spans="1:10" s="1" customFormat="1" x14ac:dyDescent="0.2">
      <c r="A15" s="46" t="s">
        <v>33</v>
      </c>
      <c r="B15" s="24"/>
      <c r="C15" s="25"/>
      <c r="D15" s="25">
        <f>SUM(D13:D14)</f>
        <v>3485.8773039999996</v>
      </c>
      <c r="E15" s="76"/>
      <c r="F15" s="25"/>
      <c r="G15" s="25">
        <f>SUM(G13:G14)</f>
        <v>3485.8773039999996</v>
      </c>
      <c r="H15" s="25">
        <f t="shared" si="2"/>
        <v>0</v>
      </c>
      <c r="I15" s="27">
        <f t="shared" si="0"/>
        <v>0</v>
      </c>
      <c r="J15" s="47">
        <f t="shared" si="1"/>
        <v>0.46366051429908983</v>
      </c>
    </row>
    <row r="16" spans="1:10" s="1" customFormat="1" x14ac:dyDescent="0.2">
      <c r="A16" s="107" t="s">
        <v>38</v>
      </c>
      <c r="B16" s="73">
        <v>1</v>
      </c>
      <c r="C16" s="78">
        <f>VLOOKUP($B$3,'Data for Bill Impacts'!$A$3:$Y$15,7,0)</f>
        <v>104.19</v>
      </c>
      <c r="D16" s="22">
        <f t="shared" ref="D16:D22" si="3">B16*C16</f>
        <v>104.19</v>
      </c>
      <c r="E16" s="73">
        <f t="shared" ref="E16:E33" si="4">B16</f>
        <v>1</v>
      </c>
      <c r="F16" s="78">
        <f>VLOOKUP($B$3,'Data for Bill Impacts'!$A$3:$Y$15,17,0)</f>
        <v>106.19</v>
      </c>
      <c r="G16" s="22">
        <f t="shared" ref="G16:G22" si="5">E16*F16</f>
        <v>106.19</v>
      </c>
      <c r="H16" s="22">
        <f t="shared" si="2"/>
        <v>2</v>
      </c>
      <c r="I16" s="23">
        <f t="shared" si="0"/>
        <v>1.9195700163163451E-2</v>
      </c>
      <c r="J16" s="124">
        <f t="shared" si="1"/>
        <v>1.412445296250747E-2</v>
      </c>
    </row>
    <row r="17" spans="1:10" hidden="1" x14ac:dyDescent="0.2">
      <c r="A17" s="107" t="s">
        <v>83</v>
      </c>
      <c r="B17" s="73">
        <v>1</v>
      </c>
      <c r="C17" s="78">
        <v>0</v>
      </c>
      <c r="D17" s="22">
        <f t="shared" si="3"/>
        <v>0</v>
      </c>
      <c r="E17" s="73">
        <f t="shared" si="4"/>
        <v>1</v>
      </c>
      <c r="F17" s="78">
        <v>0</v>
      </c>
      <c r="G17" s="22">
        <f t="shared" si="5"/>
        <v>0</v>
      </c>
      <c r="H17" s="22">
        <f t="shared" si="2"/>
        <v>0</v>
      </c>
      <c r="I17" s="23" t="str">
        <f t="shared" si="0"/>
        <v>N/A</v>
      </c>
      <c r="J17" s="124">
        <f t="shared" si="1"/>
        <v>0</v>
      </c>
    </row>
    <row r="18" spans="1:10" hidden="1" x14ac:dyDescent="0.2">
      <c r="A18" s="107" t="s">
        <v>84</v>
      </c>
      <c r="B18" s="73">
        <v>1</v>
      </c>
      <c r="C18" s="78">
        <v>0</v>
      </c>
      <c r="D18" s="22">
        <f t="shared" si="3"/>
        <v>0</v>
      </c>
      <c r="E18" s="73">
        <f t="shared" si="4"/>
        <v>1</v>
      </c>
      <c r="F18" s="78">
        <v>0</v>
      </c>
      <c r="G18" s="22">
        <f t="shared" si="5"/>
        <v>0</v>
      </c>
      <c r="H18" s="22">
        <f t="shared" si="2"/>
        <v>0</v>
      </c>
      <c r="I18" s="23" t="str">
        <f t="shared" si="0"/>
        <v>N/A</v>
      </c>
      <c r="J18" s="124">
        <f t="shared" si="1"/>
        <v>0</v>
      </c>
    </row>
    <row r="19" spans="1:10" x14ac:dyDescent="0.2">
      <c r="A19" s="107" t="s">
        <v>85</v>
      </c>
      <c r="B19" s="73">
        <v>1</v>
      </c>
      <c r="C19" s="121">
        <f>VLOOKUP($B$3,'Data for Bill Impacts'!$A$3:$Y$15,13,0)</f>
        <v>-8.9999999999999993E-3</v>
      </c>
      <c r="D19" s="22">
        <f t="shared" si="3"/>
        <v>-8.9999999999999993E-3</v>
      </c>
      <c r="E19" s="73">
        <f t="shared" si="4"/>
        <v>1</v>
      </c>
      <c r="F19" s="121">
        <f>VLOOKUP($B$3,'Data for Bill Impacts'!$A$3:$Y$15,22,0)</f>
        <v>-8.9999999999999993E-3</v>
      </c>
      <c r="G19" s="22">
        <f t="shared" si="5"/>
        <v>-8.9999999999999993E-3</v>
      </c>
      <c r="H19" s="22">
        <f t="shared" si="2"/>
        <v>0</v>
      </c>
      <c r="I19" s="23">
        <f>IF(ISERROR(H19/ABS(D19)),"N/A",(H19/ABS(D19)))</f>
        <v>0</v>
      </c>
      <c r="J19" s="124">
        <f t="shared" si="1"/>
        <v>-1.1971002605006802E-6</v>
      </c>
    </row>
    <row r="20" spans="1:10" x14ac:dyDescent="0.2">
      <c r="A20" s="107" t="s">
        <v>39</v>
      </c>
      <c r="B20" s="73">
        <f>IF($B$10="kWh",$B$4,$B$5)</f>
        <v>124</v>
      </c>
      <c r="C20" s="125">
        <f>VLOOKUP($B$3,'Data for Bill Impacts'!$A$3:$Y$15,10,0)</f>
        <v>17.387</v>
      </c>
      <c r="D20" s="22">
        <f t="shared" si="3"/>
        <v>2155.9880000000003</v>
      </c>
      <c r="E20" s="73">
        <f t="shared" si="4"/>
        <v>124</v>
      </c>
      <c r="F20" s="125">
        <f>VLOOKUP($B$3,'Data for Bill Impacts'!$A$3:$Y$15,19,0)</f>
        <v>17.932099999999998</v>
      </c>
      <c r="G20" s="22">
        <f t="shared" si="5"/>
        <v>2223.5803999999998</v>
      </c>
      <c r="H20" s="22">
        <f t="shared" si="2"/>
        <v>67.592399999999543</v>
      </c>
      <c r="I20" s="23">
        <f>IF(ISERROR(H20/D20),0,(H20/D20))</f>
        <v>3.1351009374820049E-2</v>
      </c>
      <c r="J20" s="124">
        <f t="shared" si="1"/>
        <v>0.29576096400935631</v>
      </c>
    </row>
    <row r="21" spans="1:10" s="1" customFormat="1" x14ac:dyDescent="0.2">
      <c r="A21" s="107" t="s">
        <v>121</v>
      </c>
      <c r="B21" s="73">
        <f>IF($B$10="kWh",$B$4,$B$5)</f>
        <v>124</v>
      </c>
      <c r="C21" s="125">
        <f>VLOOKUP($B$3,'Data for Bill Impacts'!$A$3:$Y$15,14,0)</f>
        <v>5.1599999999999997E-3</v>
      </c>
      <c r="D21" s="22">
        <f t="shared" si="3"/>
        <v>0.63983999999999996</v>
      </c>
      <c r="E21" s="73">
        <f t="shared" si="4"/>
        <v>124</v>
      </c>
      <c r="F21" s="125">
        <f>VLOOKUP($B$3,'Data for Bill Impacts'!$A$3:$Y$15,23,0)</f>
        <v>5.1599999999999997E-3</v>
      </c>
      <c r="G21" s="22">
        <f t="shared" si="5"/>
        <v>0.63983999999999996</v>
      </c>
      <c r="H21" s="22">
        <f t="shared" si="2"/>
        <v>0</v>
      </c>
      <c r="I21" s="23">
        <f>IF(ISERROR(H21/D21),0,(H21/D21))</f>
        <v>0</v>
      </c>
      <c r="J21" s="124">
        <f t="shared" si="1"/>
        <v>8.510584785319502E-5</v>
      </c>
    </row>
    <row r="22" spans="1:10" s="1" customFormat="1" x14ac:dyDescent="0.2">
      <c r="A22" s="107" t="s">
        <v>108</v>
      </c>
      <c r="B22" s="73">
        <f>B9</f>
        <v>38306.343999999997</v>
      </c>
      <c r="C22" s="125">
        <f>VLOOKUP($B$3,'Data for Bill Impacts'!$A$3:$Y$15,20,0)</f>
        <v>0</v>
      </c>
      <c r="D22" s="22">
        <f t="shared" si="3"/>
        <v>0</v>
      </c>
      <c r="E22" s="73">
        <f>B22</f>
        <v>38306.343999999997</v>
      </c>
      <c r="F22" s="125">
        <f>VLOOKUP($B$3,'Data for Bill Impacts'!$A$3:$Y$15,21,0)</f>
        <v>0</v>
      </c>
      <c r="G22" s="22">
        <f t="shared" si="5"/>
        <v>0</v>
      </c>
      <c r="H22" s="22">
        <f>G22-D22</f>
        <v>0</v>
      </c>
      <c r="I22" s="23" t="str">
        <f t="shared" ref="I22:I38" si="6">IF(ISERROR(H22/ABS(D22)),"N/A",(H22/ABS(D22)))</f>
        <v>N/A</v>
      </c>
      <c r="J22" s="124">
        <f>G22/$G$38</f>
        <v>0</v>
      </c>
    </row>
    <row r="23" spans="1:10" x14ac:dyDescent="0.2">
      <c r="A23" s="110" t="s">
        <v>93</v>
      </c>
      <c r="B23" s="74"/>
      <c r="C23" s="35"/>
      <c r="D23" s="35">
        <f>SUM(D16:D22)</f>
        <v>2260.8088400000001</v>
      </c>
      <c r="E23" s="73"/>
      <c r="F23" s="35"/>
      <c r="G23" s="35">
        <f>SUM(G16:G22)</f>
        <v>2330.4012399999997</v>
      </c>
      <c r="H23" s="35">
        <f t="shared" si="2"/>
        <v>69.592399999999543</v>
      </c>
      <c r="I23" s="36">
        <f t="shared" si="6"/>
        <v>3.0782080629160817E-2</v>
      </c>
      <c r="J23" s="111">
        <f t="shared" ref="J23:J29" si="7">G23/$G$38</f>
        <v>0.30996932571945646</v>
      </c>
    </row>
    <row r="24" spans="1:10" x14ac:dyDescent="0.2">
      <c r="A24" s="107" t="s">
        <v>40</v>
      </c>
      <c r="B24" s="73">
        <f>B5</f>
        <v>124</v>
      </c>
      <c r="C24" s="125">
        <f>VLOOKUP($B$3,'Data for Bill Impacts'!$A$3:$Y$15,15,0)</f>
        <v>1.6718177000000001</v>
      </c>
      <c r="D24" s="22">
        <f>B24*C24</f>
        <v>207.30539480000002</v>
      </c>
      <c r="E24" s="73">
        <f t="shared" si="4"/>
        <v>124</v>
      </c>
      <c r="F24" s="125">
        <f>VLOOKUP($B$3,'Data for Bill Impacts'!$A$3:$Y$15,24,0)</f>
        <v>1.6718177000000001</v>
      </c>
      <c r="G24" s="22">
        <f>E24*F24</f>
        <v>207.30539480000002</v>
      </c>
      <c r="H24" s="22">
        <f t="shared" si="2"/>
        <v>0</v>
      </c>
      <c r="I24" s="23">
        <f t="shared" si="6"/>
        <v>0</v>
      </c>
      <c r="J24" s="124">
        <f t="shared" si="7"/>
        <v>2.7573926902030709E-2</v>
      </c>
    </row>
    <row r="25" spans="1:10" s="1" customFormat="1" x14ac:dyDescent="0.2">
      <c r="A25" s="107" t="s">
        <v>41</v>
      </c>
      <c r="B25" s="73">
        <f>B5</f>
        <v>124</v>
      </c>
      <c r="C25" s="125">
        <f>VLOOKUP($B$3,'Data for Bill Impacts'!$A$3:$Y$15,16,0)</f>
        <v>1.2769135</v>
      </c>
      <c r="D25" s="22">
        <f>B25*C25</f>
        <v>158.33727400000001</v>
      </c>
      <c r="E25" s="73">
        <f t="shared" si="4"/>
        <v>124</v>
      </c>
      <c r="F25" s="125">
        <f>VLOOKUP($B$3,'Data for Bill Impacts'!$A$3:$Y$15,25,0)</f>
        <v>1.2769135</v>
      </c>
      <c r="G25" s="22">
        <f>E25*F25</f>
        <v>158.33727400000001</v>
      </c>
      <c r="H25" s="22">
        <f t="shared" si="2"/>
        <v>0</v>
      </c>
      <c r="I25" s="23">
        <f t="shared" si="6"/>
        <v>0</v>
      </c>
      <c r="J25" s="124">
        <f t="shared" si="7"/>
        <v>2.1060621328040843E-2</v>
      </c>
    </row>
    <row r="26" spans="1:10" x14ac:dyDescent="0.2">
      <c r="A26" s="110" t="s">
        <v>76</v>
      </c>
      <c r="B26" s="74"/>
      <c r="C26" s="35"/>
      <c r="D26" s="35">
        <f>SUM(D24:D25)</f>
        <v>365.64266880000002</v>
      </c>
      <c r="E26" s="73"/>
      <c r="F26" s="35"/>
      <c r="G26" s="35">
        <f>SUM(G24:G25)</f>
        <v>365.64266880000002</v>
      </c>
      <c r="H26" s="35">
        <f t="shared" si="2"/>
        <v>0</v>
      </c>
      <c r="I26" s="36">
        <f t="shared" si="6"/>
        <v>0</v>
      </c>
      <c r="J26" s="111">
        <f t="shared" si="7"/>
        <v>4.8634548230071552E-2</v>
      </c>
    </row>
    <row r="27" spans="1:10" s="1" customFormat="1" x14ac:dyDescent="0.2">
      <c r="A27" s="110" t="s">
        <v>80</v>
      </c>
      <c r="B27" s="74"/>
      <c r="C27" s="35"/>
      <c r="D27" s="35">
        <f>D23+D26</f>
        <v>2626.4515088000003</v>
      </c>
      <c r="E27" s="73"/>
      <c r="F27" s="35"/>
      <c r="G27" s="35">
        <f>G23+G26</f>
        <v>2696.0439087999998</v>
      </c>
      <c r="H27" s="35">
        <f t="shared" si="2"/>
        <v>69.592399999999543</v>
      </c>
      <c r="I27" s="36">
        <f t="shared" si="6"/>
        <v>2.6496738952471892E-2</v>
      </c>
      <c r="J27" s="111">
        <f t="shared" si="7"/>
        <v>0.35860387394952797</v>
      </c>
    </row>
    <row r="28" spans="1:10" x14ac:dyDescent="0.2">
      <c r="A28" s="107" t="s">
        <v>42</v>
      </c>
      <c r="B28" s="73">
        <f>B9</f>
        <v>38306.343999999997</v>
      </c>
      <c r="C28" s="34">
        <v>3.5999999999999999E-3</v>
      </c>
      <c r="D28" s="22">
        <f>B28*C28</f>
        <v>137.90283839999998</v>
      </c>
      <c r="E28" s="73">
        <f t="shared" si="4"/>
        <v>38306.343999999997</v>
      </c>
      <c r="F28" s="34">
        <v>3.5999999999999999E-3</v>
      </c>
      <c r="G28" s="22">
        <f>E28*F28</f>
        <v>137.90283839999998</v>
      </c>
      <c r="H28" s="22">
        <f t="shared" si="2"/>
        <v>0</v>
      </c>
      <c r="I28" s="23">
        <f t="shared" si="6"/>
        <v>0</v>
      </c>
      <c r="J28" s="124">
        <f t="shared" si="7"/>
        <v>1.8342613752491466E-2</v>
      </c>
    </row>
    <row r="29" spans="1:10" x14ac:dyDescent="0.2">
      <c r="A29" s="107" t="s">
        <v>43</v>
      </c>
      <c r="B29" s="73">
        <f>B9</f>
        <v>38306.343999999997</v>
      </c>
      <c r="C29" s="34">
        <v>2.0999999999999999E-3</v>
      </c>
      <c r="D29" s="22">
        <f>B29*C29</f>
        <v>80.443322399999985</v>
      </c>
      <c r="E29" s="73">
        <f t="shared" si="4"/>
        <v>38306.343999999997</v>
      </c>
      <c r="F29" s="34">
        <v>2.0999999999999999E-3</v>
      </c>
      <c r="G29" s="22">
        <f>E29*F29</f>
        <v>80.443322399999985</v>
      </c>
      <c r="H29" s="22">
        <f>G29-D29</f>
        <v>0</v>
      </c>
      <c r="I29" s="23">
        <f t="shared" si="6"/>
        <v>0</v>
      </c>
      <c r="J29" s="124">
        <f t="shared" si="7"/>
        <v>1.0699858022286688E-2</v>
      </c>
    </row>
    <row r="30" spans="1:10" x14ac:dyDescent="0.2">
      <c r="A30" s="107" t="s">
        <v>96</v>
      </c>
      <c r="B30" s="73">
        <f>B9</f>
        <v>38306.343999999997</v>
      </c>
      <c r="C30" s="34">
        <v>0</v>
      </c>
      <c r="D30" s="22">
        <f>B30*C30</f>
        <v>0</v>
      </c>
      <c r="E30" s="73">
        <f t="shared" si="4"/>
        <v>38306.343999999997</v>
      </c>
      <c r="F30" s="34">
        <v>0</v>
      </c>
      <c r="G30" s="22">
        <f>E30*F30</f>
        <v>0</v>
      </c>
      <c r="H30" s="22">
        <f>G30-D30</f>
        <v>0</v>
      </c>
      <c r="I30" s="23" t="str">
        <f t="shared" si="6"/>
        <v>N/A</v>
      </c>
      <c r="J30" s="124">
        <f>G30/$G$38</f>
        <v>0</v>
      </c>
    </row>
    <row r="31" spans="1:10" x14ac:dyDescent="0.2">
      <c r="A31" s="107" t="s">
        <v>44</v>
      </c>
      <c r="B31" s="73">
        <v>1</v>
      </c>
      <c r="C31" s="22">
        <v>0.25</v>
      </c>
      <c r="D31" s="22">
        <f>B31*C31</f>
        <v>0.25</v>
      </c>
      <c r="E31" s="73">
        <f t="shared" si="4"/>
        <v>1</v>
      </c>
      <c r="F31" s="22">
        <f>C31</f>
        <v>0.25</v>
      </c>
      <c r="G31" s="22">
        <f>E31*F31</f>
        <v>0.25</v>
      </c>
      <c r="H31" s="22">
        <f t="shared" si="2"/>
        <v>0</v>
      </c>
      <c r="I31" s="23">
        <f t="shared" si="6"/>
        <v>0</v>
      </c>
      <c r="J31" s="124">
        <f t="shared" ref="J31:J38" si="8">G31/$G$38</f>
        <v>3.3252785013907786E-5</v>
      </c>
    </row>
    <row r="32" spans="1:10" x14ac:dyDescent="0.2">
      <c r="A32" s="110" t="s">
        <v>45</v>
      </c>
      <c r="B32" s="74"/>
      <c r="C32" s="35"/>
      <c r="D32" s="35">
        <f>SUM(D28:D31)</f>
        <v>218.59616079999995</v>
      </c>
      <c r="E32" s="73"/>
      <c r="F32" s="35"/>
      <c r="G32" s="35">
        <f>SUM(G28:G31)</f>
        <v>218.59616079999995</v>
      </c>
      <c r="H32" s="35">
        <f t="shared" si="2"/>
        <v>0</v>
      </c>
      <c r="I32" s="36">
        <f t="shared" si="6"/>
        <v>0</v>
      </c>
      <c r="J32" s="111">
        <f t="shared" si="8"/>
        <v>2.9075724559792057E-2</v>
      </c>
    </row>
    <row r="33" spans="1:10" ht="13.5" thickBot="1" x14ac:dyDescent="0.25">
      <c r="A33" s="112" t="s">
        <v>46</v>
      </c>
      <c r="B33" s="113">
        <f>B4</f>
        <v>36104</v>
      </c>
      <c r="C33" s="114">
        <v>7.0000000000000001E-3</v>
      </c>
      <c r="D33" s="115">
        <f>B33*C33</f>
        <v>252.72800000000001</v>
      </c>
      <c r="E33" s="116">
        <f t="shared" si="4"/>
        <v>36104</v>
      </c>
      <c r="F33" s="114">
        <f>C33</f>
        <v>7.0000000000000001E-3</v>
      </c>
      <c r="G33" s="115">
        <f>E33*F33</f>
        <v>252.72800000000001</v>
      </c>
      <c r="H33" s="115">
        <f t="shared" si="2"/>
        <v>0</v>
      </c>
      <c r="I33" s="117">
        <f t="shared" si="6"/>
        <v>0</v>
      </c>
      <c r="J33" s="118">
        <f t="shared" si="8"/>
        <v>3.3615639403979547E-2</v>
      </c>
    </row>
    <row r="34" spans="1:10" x14ac:dyDescent="0.2">
      <c r="A34" s="37" t="s">
        <v>111</v>
      </c>
      <c r="B34" s="38"/>
      <c r="C34" s="39"/>
      <c r="D34" s="39">
        <f>SUM(D15,D23,D26,D32,D33)</f>
        <v>6583.6529735999993</v>
      </c>
      <c r="E34" s="38"/>
      <c r="F34" s="39"/>
      <c r="G34" s="39">
        <f>SUM(G15,G23,G26,G32,G33)</f>
        <v>6653.2453735999989</v>
      </c>
      <c r="H34" s="39">
        <f t="shared" si="2"/>
        <v>69.592399999999543</v>
      </c>
      <c r="I34" s="40">
        <f t="shared" si="6"/>
        <v>1.0570484240141504E-2</v>
      </c>
      <c r="J34" s="41">
        <f t="shared" si="8"/>
        <v>0.88495575221238931</v>
      </c>
    </row>
    <row r="35" spans="1:10" x14ac:dyDescent="0.2">
      <c r="A35" s="46" t="s">
        <v>102</v>
      </c>
      <c r="B35" s="43"/>
      <c r="C35" s="26">
        <v>0.13</v>
      </c>
      <c r="D35" s="26">
        <f>D34*C35</f>
        <v>855.87488656799997</v>
      </c>
      <c r="E35" s="26"/>
      <c r="F35" s="26">
        <f>C35</f>
        <v>0.13</v>
      </c>
      <c r="G35" s="26">
        <f>G34*F35</f>
        <v>864.92189856799985</v>
      </c>
      <c r="H35" s="26">
        <f t="shared" si="2"/>
        <v>9.0470119999998815</v>
      </c>
      <c r="I35" s="44">
        <f t="shared" si="6"/>
        <v>1.0570484240141434E-2</v>
      </c>
      <c r="J35" s="45">
        <f t="shared" si="8"/>
        <v>0.11504424778761062</v>
      </c>
    </row>
    <row r="36" spans="1:10" x14ac:dyDescent="0.2">
      <c r="A36" s="46" t="s">
        <v>103</v>
      </c>
      <c r="B36" s="24"/>
      <c r="C36" s="25"/>
      <c r="D36" s="25">
        <f>SUM(D34:D35)</f>
        <v>7439.5278601679993</v>
      </c>
      <c r="E36" s="25"/>
      <c r="F36" s="25"/>
      <c r="G36" s="25">
        <f>SUM(G34:G35)</f>
        <v>7518.1672721679988</v>
      </c>
      <c r="H36" s="25">
        <f t="shared" si="2"/>
        <v>78.639411999999538</v>
      </c>
      <c r="I36" s="27">
        <f t="shared" si="6"/>
        <v>1.0570484240141511E-2</v>
      </c>
      <c r="J36" s="47">
        <f t="shared" si="8"/>
        <v>1</v>
      </c>
    </row>
    <row r="37" spans="1:10" x14ac:dyDescent="0.2">
      <c r="A37" s="46" t="s">
        <v>104</v>
      </c>
      <c r="B37" s="43"/>
      <c r="C37" s="26">
        <v>0</v>
      </c>
      <c r="D37" s="26">
        <f>D34*C37</f>
        <v>0</v>
      </c>
      <c r="E37" s="26"/>
      <c r="F37" s="26">
        <f>C37</f>
        <v>0</v>
      </c>
      <c r="G37" s="26">
        <f>G34*F37</f>
        <v>0</v>
      </c>
      <c r="H37" s="26">
        <f t="shared" si="2"/>
        <v>0</v>
      </c>
      <c r="I37" s="44" t="str">
        <f t="shared" si="6"/>
        <v>N/A</v>
      </c>
      <c r="J37" s="45">
        <f t="shared" si="8"/>
        <v>0</v>
      </c>
    </row>
    <row r="38" spans="1:10" ht="13.5" thickBot="1" x14ac:dyDescent="0.25">
      <c r="A38" s="46" t="s">
        <v>105</v>
      </c>
      <c r="B38" s="49"/>
      <c r="C38" s="50"/>
      <c r="D38" s="50">
        <f>SUM(D36:D37)</f>
        <v>7439.5278601679993</v>
      </c>
      <c r="E38" s="50"/>
      <c r="F38" s="50"/>
      <c r="G38" s="50">
        <f>SUM(G36:G37)</f>
        <v>7518.1672721679988</v>
      </c>
      <c r="H38" s="50">
        <f t="shared" si="2"/>
        <v>78.639411999999538</v>
      </c>
      <c r="I38" s="51">
        <f t="shared" si="6"/>
        <v>1.0570484240141511E-2</v>
      </c>
      <c r="J38" s="52">
        <f t="shared" si="8"/>
        <v>1</v>
      </c>
    </row>
    <row r="39" spans="1:10" x14ac:dyDescent="0.2">
      <c r="A39" s="169"/>
      <c r="F39" s="69"/>
    </row>
    <row r="40" spans="1:10" x14ac:dyDescent="0.2">
      <c r="A40" s="170"/>
      <c r="F40" s="69"/>
    </row>
    <row r="41" spans="1:10" x14ac:dyDescent="0.2">
      <c r="A41" s="170"/>
    </row>
    <row r="42" spans="1:10" x14ac:dyDescent="0.2">
      <c r="A42" s="170"/>
    </row>
    <row r="43" spans="1:10" x14ac:dyDescent="0.2">
      <c r="A43" s="170"/>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theme="1" tint="0.499984740745262"/>
    <pageSetUpPr fitToPage="1"/>
  </sheetPr>
  <dimension ref="A1:J43"/>
  <sheetViews>
    <sheetView tabSelected="1" view="pageLayout" topLeftCell="A19"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9.5703125"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120</v>
      </c>
      <c r="B1" s="189"/>
      <c r="C1" s="189"/>
      <c r="D1" s="189"/>
      <c r="E1" s="189"/>
      <c r="F1" s="189"/>
      <c r="G1" s="189"/>
      <c r="H1" s="189"/>
      <c r="I1" s="189"/>
      <c r="J1" s="190"/>
    </row>
    <row r="3" spans="1:10" x14ac:dyDescent="0.2">
      <c r="A3" s="13" t="s">
        <v>13</v>
      </c>
      <c r="B3" s="13" t="s">
        <v>5</v>
      </c>
    </row>
    <row r="4" spans="1:10" x14ac:dyDescent="0.2">
      <c r="A4" s="15" t="s">
        <v>62</v>
      </c>
      <c r="B4" s="79">
        <v>175000</v>
      </c>
    </row>
    <row r="5" spans="1:10" x14ac:dyDescent="0.2">
      <c r="A5" s="15" t="s">
        <v>16</v>
      </c>
      <c r="B5" s="79">
        <v>500</v>
      </c>
    </row>
    <row r="6" spans="1:10" x14ac:dyDescent="0.2">
      <c r="A6" s="15" t="s">
        <v>20</v>
      </c>
      <c r="B6" s="80">
        <f>VLOOKUP($B$3,'Data for Bill Impacts'!$A$3:$Y$15,2,0)</f>
        <v>1.0609999999999999</v>
      </c>
    </row>
    <row r="7" spans="1:10" x14ac:dyDescent="0.2">
      <c r="A7" s="81" t="s">
        <v>48</v>
      </c>
      <c r="B7" s="82">
        <f>B4/(B5*730)</f>
        <v>0.47945205479452052</v>
      </c>
    </row>
    <row r="8" spans="1:10" x14ac:dyDescent="0.2">
      <c r="A8" s="15" t="s">
        <v>15</v>
      </c>
      <c r="B8" s="79">
        <f>VLOOKUP($B$3,'Data for Bill Impacts'!$A$3:$Y$15,4,0)</f>
        <v>0</v>
      </c>
    </row>
    <row r="9" spans="1:10" x14ac:dyDescent="0.2">
      <c r="A9" s="15" t="s">
        <v>82</v>
      </c>
      <c r="B9" s="79">
        <f>B4*B6</f>
        <v>185675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185675</v>
      </c>
      <c r="C13" s="103">
        <v>9.0999999999999998E-2</v>
      </c>
      <c r="D13" s="104">
        <f>B13*C13</f>
        <v>16896.424999999999</v>
      </c>
      <c r="E13" s="102">
        <f>B13</f>
        <v>185675</v>
      </c>
      <c r="F13" s="103">
        <f>C13</f>
        <v>9.0999999999999998E-2</v>
      </c>
      <c r="G13" s="104">
        <f>E13*F13</f>
        <v>16896.424999999999</v>
      </c>
      <c r="H13" s="104">
        <f>G13-D13</f>
        <v>0</v>
      </c>
      <c r="I13" s="105">
        <f t="shared" ref="I13:I18" si="0">IF(ISERROR(H13/ABS(D13)),"N/A",(H13/ABS(D13)))</f>
        <v>0</v>
      </c>
      <c r="J13" s="123">
        <f t="shared" ref="J13:J29" si="1">G13/$G$38</f>
        <v>0.50295968099508004</v>
      </c>
    </row>
    <row r="14" spans="1:10" x14ac:dyDescent="0.2">
      <c r="A14" s="107" t="s">
        <v>32</v>
      </c>
      <c r="B14" s="73">
        <v>0</v>
      </c>
      <c r="C14" s="21">
        <v>0.106</v>
      </c>
      <c r="D14" s="22">
        <f>B14*C14</f>
        <v>0</v>
      </c>
      <c r="E14" s="73">
        <f>B14</f>
        <v>0</v>
      </c>
      <c r="F14" s="21">
        <f>C14</f>
        <v>0.106</v>
      </c>
      <c r="G14" s="22">
        <f>E14*F14</f>
        <v>0</v>
      </c>
      <c r="H14" s="22">
        <f t="shared" ref="H14:H38" si="2">G14-D14</f>
        <v>0</v>
      </c>
      <c r="I14" s="23" t="str">
        <f t="shared" si="0"/>
        <v>N/A</v>
      </c>
      <c r="J14" s="124">
        <f t="shared" si="1"/>
        <v>0</v>
      </c>
    </row>
    <row r="15" spans="1:10" s="1" customFormat="1" x14ac:dyDescent="0.2">
      <c r="A15" s="46" t="s">
        <v>33</v>
      </c>
      <c r="B15" s="24"/>
      <c r="C15" s="25"/>
      <c r="D15" s="25">
        <f>SUM(D13:D14)</f>
        <v>16896.424999999999</v>
      </c>
      <c r="E15" s="76"/>
      <c r="F15" s="25"/>
      <c r="G15" s="25">
        <f>SUM(G13:G14)</f>
        <v>16896.424999999999</v>
      </c>
      <c r="H15" s="25">
        <f t="shared" si="2"/>
        <v>0</v>
      </c>
      <c r="I15" s="27">
        <f t="shared" si="0"/>
        <v>0</v>
      </c>
      <c r="J15" s="47">
        <f t="shared" si="1"/>
        <v>0.50295968099508004</v>
      </c>
    </row>
    <row r="16" spans="1:10" s="1" customFormat="1" x14ac:dyDescent="0.2">
      <c r="A16" s="107" t="s">
        <v>38</v>
      </c>
      <c r="B16" s="73">
        <v>1</v>
      </c>
      <c r="C16" s="78">
        <f>VLOOKUP($B$3,'Data for Bill Impacts'!$A$3:$Y$15,7,0)</f>
        <v>104.19</v>
      </c>
      <c r="D16" s="22">
        <f t="shared" ref="D16:D22" si="3">B16*C16</f>
        <v>104.19</v>
      </c>
      <c r="E16" s="73">
        <f t="shared" ref="E16:E33" si="4">B16</f>
        <v>1</v>
      </c>
      <c r="F16" s="78">
        <f>VLOOKUP($B$3,'Data for Bill Impacts'!$A$3:$Y$15,17,0)</f>
        <v>106.19</v>
      </c>
      <c r="G16" s="22">
        <f t="shared" ref="G16:G22" si="5">E16*F16</f>
        <v>106.19</v>
      </c>
      <c r="H16" s="22">
        <f t="shared" si="2"/>
        <v>2</v>
      </c>
      <c r="I16" s="23">
        <f t="shared" si="0"/>
        <v>1.9195700163163451E-2</v>
      </c>
      <c r="J16" s="124">
        <f t="shared" si="1"/>
        <v>3.1609815996500772E-3</v>
      </c>
    </row>
    <row r="17" spans="1:10" hidden="1" x14ac:dyDescent="0.2">
      <c r="A17" s="107" t="s">
        <v>83</v>
      </c>
      <c r="B17" s="73">
        <v>1</v>
      </c>
      <c r="C17" s="78">
        <v>0</v>
      </c>
      <c r="D17" s="22">
        <f t="shared" si="3"/>
        <v>0</v>
      </c>
      <c r="E17" s="73">
        <f t="shared" si="4"/>
        <v>1</v>
      </c>
      <c r="F17" s="78">
        <v>0</v>
      </c>
      <c r="G17" s="22">
        <f t="shared" si="5"/>
        <v>0</v>
      </c>
      <c r="H17" s="22">
        <f t="shared" si="2"/>
        <v>0</v>
      </c>
      <c r="I17" s="23" t="str">
        <f t="shared" si="0"/>
        <v>N/A</v>
      </c>
      <c r="J17" s="124">
        <f t="shared" si="1"/>
        <v>0</v>
      </c>
    </row>
    <row r="18" spans="1:10" hidden="1" x14ac:dyDescent="0.2">
      <c r="A18" s="107" t="s">
        <v>84</v>
      </c>
      <c r="B18" s="73">
        <v>1</v>
      </c>
      <c r="C18" s="78">
        <v>0</v>
      </c>
      <c r="D18" s="22">
        <f t="shared" si="3"/>
        <v>0</v>
      </c>
      <c r="E18" s="73">
        <f t="shared" si="4"/>
        <v>1</v>
      </c>
      <c r="F18" s="78">
        <v>0</v>
      </c>
      <c r="G18" s="22">
        <f t="shared" si="5"/>
        <v>0</v>
      </c>
      <c r="H18" s="22">
        <f t="shared" si="2"/>
        <v>0</v>
      </c>
      <c r="I18" s="23" t="str">
        <f t="shared" si="0"/>
        <v>N/A</v>
      </c>
      <c r="J18" s="124">
        <f t="shared" si="1"/>
        <v>0</v>
      </c>
    </row>
    <row r="19" spans="1:10" x14ac:dyDescent="0.2">
      <c r="A19" s="107" t="s">
        <v>85</v>
      </c>
      <c r="B19" s="73">
        <v>1</v>
      </c>
      <c r="C19" s="121">
        <f>VLOOKUP($B$3,'Data for Bill Impacts'!$A$3:$Y$15,13,0)</f>
        <v>-8.9999999999999993E-3</v>
      </c>
      <c r="D19" s="22">
        <f t="shared" si="3"/>
        <v>-8.9999999999999993E-3</v>
      </c>
      <c r="E19" s="73">
        <f t="shared" si="4"/>
        <v>1</v>
      </c>
      <c r="F19" s="121">
        <f>VLOOKUP($B$3,'Data for Bill Impacts'!$A$3:$Y$15,22,0)</f>
        <v>-8.9999999999999993E-3</v>
      </c>
      <c r="G19" s="22">
        <f t="shared" si="5"/>
        <v>-8.9999999999999993E-3</v>
      </c>
      <c r="H19" s="22">
        <f t="shared" si="2"/>
        <v>0</v>
      </c>
      <c r="I19" s="23">
        <f>IF(ISERROR(H19/ABS(D19)),"N/A",(H19/ABS(D19)))</f>
        <v>0</v>
      </c>
      <c r="J19" s="124">
        <f t="shared" si="1"/>
        <v>-2.6790502304219507E-7</v>
      </c>
    </row>
    <row r="20" spans="1:10" x14ac:dyDescent="0.2">
      <c r="A20" s="107" t="s">
        <v>39</v>
      </c>
      <c r="B20" s="73">
        <f>IF($B$10="kWh",$B$4,$B$5)</f>
        <v>500</v>
      </c>
      <c r="C20" s="125">
        <f>VLOOKUP($B$3,'Data for Bill Impacts'!$A$3:$Y$15,10,0)</f>
        <v>17.387</v>
      </c>
      <c r="D20" s="22">
        <f t="shared" si="3"/>
        <v>8693.5</v>
      </c>
      <c r="E20" s="73">
        <f t="shared" si="4"/>
        <v>500</v>
      </c>
      <c r="F20" s="125">
        <f>VLOOKUP($B$3,'Data for Bill Impacts'!$A$3:$Y$15,19,0)</f>
        <v>17.932099999999998</v>
      </c>
      <c r="G20" s="22">
        <f t="shared" si="5"/>
        <v>8966.0499999999993</v>
      </c>
      <c r="H20" s="22">
        <f t="shared" si="2"/>
        <v>272.54999999999927</v>
      </c>
      <c r="I20" s="23">
        <f>IF(ISERROR(H20/D20),0,(H20/D20))</f>
        <v>3.1351009374820181E-2</v>
      </c>
      <c r="J20" s="124">
        <f t="shared" si="1"/>
        <v>0.26689442576083033</v>
      </c>
    </row>
    <row r="21" spans="1:10" s="1" customFormat="1" x14ac:dyDescent="0.2">
      <c r="A21" s="107" t="s">
        <v>121</v>
      </c>
      <c r="B21" s="73">
        <f>IF($B$10="kWh",$B$4,$B$5)</f>
        <v>500</v>
      </c>
      <c r="C21" s="125">
        <f>VLOOKUP($B$3,'Data for Bill Impacts'!$A$3:$Y$15,14,0)</f>
        <v>5.1599999999999997E-3</v>
      </c>
      <c r="D21" s="22">
        <f t="shared" si="3"/>
        <v>2.5799999999999996</v>
      </c>
      <c r="E21" s="73">
        <f t="shared" si="4"/>
        <v>500</v>
      </c>
      <c r="F21" s="125">
        <f>VLOOKUP($B$3,'Data for Bill Impacts'!$A$3:$Y$15,23,0)</f>
        <v>5.1599999999999997E-3</v>
      </c>
      <c r="G21" s="22">
        <f t="shared" si="5"/>
        <v>2.5799999999999996</v>
      </c>
      <c r="H21" s="22">
        <f t="shared" si="2"/>
        <v>0</v>
      </c>
      <c r="I21" s="23">
        <f>IF(ISERROR(H21/D21),0,(H21/D21))</f>
        <v>0</v>
      </c>
      <c r="J21" s="124">
        <f t="shared" si="1"/>
        <v>7.6799439938762579E-5</v>
      </c>
    </row>
    <row r="22" spans="1:10" s="1" customFormat="1" x14ac:dyDescent="0.2">
      <c r="A22" s="107" t="s">
        <v>108</v>
      </c>
      <c r="B22" s="73">
        <f>B9</f>
        <v>185675</v>
      </c>
      <c r="C22" s="125">
        <f>VLOOKUP($B$3,'Data for Bill Impacts'!$A$3:$Y$15,20,0)</f>
        <v>0</v>
      </c>
      <c r="D22" s="22">
        <f t="shared" si="3"/>
        <v>0</v>
      </c>
      <c r="E22" s="73">
        <f>B22</f>
        <v>185675</v>
      </c>
      <c r="F22" s="125">
        <f>VLOOKUP($B$3,'Data for Bill Impacts'!$A$3:$Y$15,21,0)</f>
        <v>0</v>
      </c>
      <c r="G22" s="22">
        <f t="shared" si="5"/>
        <v>0</v>
      </c>
      <c r="H22" s="22">
        <f>G22-D22</f>
        <v>0</v>
      </c>
      <c r="I22" s="23" t="str">
        <f t="shared" ref="I22:I38" si="6">IF(ISERROR(H22/ABS(D22)),"N/A",(H22/ABS(D22)))</f>
        <v>N/A</v>
      </c>
      <c r="J22" s="124">
        <f t="shared" si="1"/>
        <v>0</v>
      </c>
    </row>
    <row r="23" spans="1:10" x14ac:dyDescent="0.2">
      <c r="A23" s="110" t="s">
        <v>79</v>
      </c>
      <c r="B23" s="74"/>
      <c r="C23" s="35"/>
      <c r="D23" s="35">
        <f>SUM(D16:D22)</f>
        <v>8800.2610000000004</v>
      </c>
      <c r="E23" s="73"/>
      <c r="F23" s="35"/>
      <c r="G23" s="35">
        <f>SUM(G16:G22)</f>
        <v>9074.8109999999997</v>
      </c>
      <c r="H23" s="35">
        <f t="shared" si="2"/>
        <v>274.54999999999927</v>
      </c>
      <c r="I23" s="36">
        <f t="shared" si="6"/>
        <v>3.1197938333874332E-2</v>
      </c>
      <c r="J23" s="111">
        <f t="shared" si="1"/>
        <v>0.27013193889539616</v>
      </c>
    </row>
    <row r="24" spans="1:10" x14ac:dyDescent="0.2">
      <c r="A24" s="107" t="s">
        <v>40</v>
      </c>
      <c r="B24" s="73">
        <f>B5</f>
        <v>500</v>
      </c>
      <c r="C24" s="125">
        <f>VLOOKUP($B$3,'Data for Bill Impacts'!$A$3:$Y$15,15,0)</f>
        <v>1.6718177000000001</v>
      </c>
      <c r="D24" s="22">
        <f>B24*C24</f>
        <v>835.90885000000003</v>
      </c>
      <c r="E24" s="73">
        <f t="shared" si="4"/>
        <v>500</v>
      </c>
      <c r="F24" s="125">
        <f>VLOOKUP($B$3,'Data for Bill Impacts'!$A$3:$Y$15,24,0)</f>
        <v>1.6718177000000001</v>
      </c>
      <c r="G24" s="22">
        <f>E24*F24</f>
        <v>835.90885000000003</v>
      </c>
      <c r="H24" s="22">
        <f t="shared" si="2"/>
        <v>0</v>
      </c>
      <c r="I24" s="23">
        <f t="shared" si="6"/>
        <v>0</v>
      </c>
      <c r="J24" s="124">
        <f t="shared" si="1"/>
        <v>2.4882686635602756E-2</v>
      </c>
    </row>
    <row r="25" spans="1:10" s="1" customFormat="1" x14ac:dyDescent="0.2">
      <c r="A25" s="107" t="s">
        <v>41</v>
      </c>
      <c r="B25" s="73">
        <f>B5</f>
        <v>500</v>
      </c>
      <c r="C25" s="125">
        <f>VLOOKUP($B$3,'Data for Bill Impacts'!$A$3:$Y$15,16,0)</f>
        <v>1.2769135</v>
      </c>
      <c r="D25" s="22">
        <f>B25*C25</f>
        <v>638.45675000000006</v>
      </c>
      <c r="E25" s="73">
        <f t="shared" si="4"/>
        <v>500</v>
      </c>
      <c r="F25" s="125">
        <f>VLOOKUP($B$3,'Data for Bill Impacts'!$A$3:$Y$15,25,0)</f>
        <v>1.2769135</v>
      </c>
      <c r="G25" s="22">
        <f>E25*F25</f>
        <v>638.45675000000006</v>
      </c>
      <c r="H25" s="22">
        <f t="shared" si="2"/>
        <v>0</v>
      </c>
      <c r="I25" s="23">
        <f t="shared" si="6"/>
        <v>0</v>
      </c>
      <c r="J25" s="124">
        <f t="shared" si="1"/>
        <v>1.9005085591132776E-2</v>
      </c>
    </row>
    <row r="26" spans="1:10" x14ac:dyDescent="0.2">
      <c r="A26" s="110" t="s">
        <v>76</v>
      </c>
      <c r="B26" s="74"/>
      <c r="C26" s="35"/>
      <c r="D26" s="35">
        <f>SUM(D24:D25)</f>
        <v>1474.3656000000001</v>
      </c>
      <c r="E26" s="73"/>
      <c r="F26" s="35"/>
      <c r="G26" s="35">
        <f>SUM(G24:G25)</f>
        <v>1474.3656000000001</v>
      </c>
      <c r="H26" s="35">
        <f t="shared" si="2"/>
        <v>0</v>
      </c>
      <c r="I26" s="36">
        <f t="shared" si="6"/>
        <v>0</v>
      </c>
      <c r="J26" s="111">
        <f t="shared" si="1"/>
        <v>4.3887772226735532E-2</v>
      </c>
    </row>
    <row r="27" spans="1:10" s="1" customFormat="1" x14ac:dyDescent="0.2">
      <c r="A27" s="110" t="s">
        <v>80</v>
      </c>
      <c r="B27" s="74"/>
      <c r="C27" s="35"/>
      <c r="D27" s="35">
        <f>D23+D26</f>
        <v>10274.6266</v>
      </c>
      <c r="E27" s="73"/>
      <c r="F27" s="35"/>
      <c r="G27" s="35">
        <f>G23+G26</f>
        <v>10549.176599999999</v>
      </c>
      <c r="H27" s="35">
        <f t="shared" si="2"/>
        <v>274.54999999999927</v>
      </c>
      <c r="I27" s="36">
        <f t="shared" si="6"/>
        <v>2.6721165711267723E-2</v>
      </c>
      <c r="J27" s="111">
        <f t="shared" si="1"/>
        <v>0.31401971112213167</v>
      </c>
    </row>
    <row r="28" spans="1:10" x14ac:dyDescent="0.2">
      <c r="A28" s="107" t="s">
        <v>42</v>
      </c>
      <c r="B28" s="73">
        <f>B9</f>
        <v>185675</v>
      </c>
      <c r="C28" s="34">
        <v>3.5999999999999999E-3</v>
      </c>
      <c r="D28" s="22">
        <f>B28*C28</f>
        <v>668.43</v>
      </c>
      <c r="E28" s="73">
        <f t="shared" si="4"/>
        <v>185675</v>
      </c>
      <c r="F28" s="34">
        <v>3.5999999999999999E-3</v>
      </c>
      <c r="G28" s="22">
        <f>E28*F28</f>
        <v>668.43</v>
      </c>
      <c r="H28" s="22">
        <f t="shared" si="2"/>
        <v>0</v>
      </c>
      <c r="I28" s="23">
        <f t="shared" si="6"/>
        <v>0</v>
      </c>
      <c r="J28" s="124">
        <f t="shared" si="1"/>
        <v>1.9897306061343826E-2</v>
      </c>
    </row>
    <row r="29" spans="1:10" x14ac:dyDescent="0.2">
      <c r="A29" s="107" t="s">
        <v>43</v>
      </c>
      <c r="B29" s="73">
        <f>B9</f>
        <v>185675</v>
      </c>
      <c r="C29" s="34">
        <v>2.0999999999999999E-3</v>
      </c>
      <c r="D29" s="22">
        <f>B29*C29</f>
        <v>389.91749999999996</v>
      </c>
      <c r="E29" s="73">
        <f t="shared" si="4"/>
        <v>185675</v>
      </c>
      <c r="F29" s="34">
        <v>2.0999999999999999E-3</v>
      </c>
      <c r="G29" s="22">
        <f>E29*F29</f>
        <v>389.91749999999996</v>
      </c>
      <c r="H29" s="22">
        <f>G29-D29</f>
        <v>0</v>
      </c>
      <c r="I29" s="23">
        <f t="shared" si="6"/>
        <v>0</v>
      </c>
      <c r="J29" s="124">
        <f t="shared" si="1"/>
        <v>1.1606761869117231E-2</v>
      </c>
    </row>
    <row r="30" spans="1:10" x14ac:dyDescent="0.2">
      <c r="A30" s="107" t="s">
        <v>96</v>
      </c>
      <c r="B30" s="73">
        <f>B9</f>
        <v>185675</v>
      </c>
      <c r="C30" s="34">
        <v>0</v>
      </c>
      <c r="D30" s="22">
        <f>B30*C30</f>
        <v>0</v>
      </c>
      <c r="E30" s="73">
        <f t="shared" si="4"/>
        <v>185675</v>
      </c>
      <c r="F30" s="34">
        <v>0</v>
      </c>
      <c r="G30" s="22">
        <f>E30*F30</f>
        <v>0</v>
      </c>
      <c r="H30" s="22">
        <f>G30-D30</f>
        <v>0</v>
      </c>
      <c r="I30" s="23" t="str">
        <f t="shared" si="6"/>
        <v>N/A</v>
      </c>
      <c r="J30" s="124">
        <f>G30/$G$38</f>
        <v>0</v>
      </c>
    </row>
    <row r="31" spans="1:10" x14ac:dyDescent="0.2">
      <c r="A31" s="107" t="s">
        <v>44</v>
      </c>
      <c r="B31" s="73">
        <v>1</v>
      </c>
      <c r="C31" s="22">
        <v>0.25</v>
      </c>
      <c r="D31" s="22">
        <f>B31*C31</f>
        <v>0.25</v>
      </c>
      <c r="E31" s="73">
        <f t="shared" si="4"/>
        <v>1</v>
      </c>
      <c r="F31" s="22">
        <f>C31</f>
        <v>0.25</v>
      </c>
      <c r="G31" s="22">
        <f>E31*F31</f>
        <v>0.25</v>
      </c>
      <c r="H31" s="22">
        <f t="shared" si="2"/>
        <v>0</v>
      </c>
      <c r="I31" s="23">
        <f t="shared" si="6"/>
        <v>0</v>
      </c>
      <c r="J31" s="124">
        <f t="shared" ref="J31:J38" si="7">G31/$G$38</f>
        <v>7.4418061956165301E-6</v>
      </c>
    </row>
    <row r="32" spans="1:10" x14ac:dyDescent="0.2">
      <c r="A32" s="110" t="s">
        <v>45</v>
      </c>
      <c r="B32" s="74"/>
      <c r="C32" s="35"/>
      <c r="D32" s="35">
        <f>SUM(D28:D31)</f>
        <v>1058.5974999999999</v>
      </c>
      <c r="E32" s="73"/>
      <c r="F32" s="35"/>
      <c r="G32" s="35">
        <f>SUM(G28:G31)</f>
        <v>1058.5974999999999</v>
      </c>
      <c r="H32" s="35">
        <f t="shared" si="2"/>
        <v>0</v>
      </c>
      <c r="I32" s="36">
        <f t="shared" si="6"/>
        <v>0</v>
      </c>
      <c r="J32" s="111">
        <f t="shared" si="7"/>
        <v>3.1511509736656673E-2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2"/>
        <v>0</v>
      </c>
      <c r="I33" s="117">
        <f t="shared" si="6"/>
        <v>0</v>
      </c>
      <c r="J33" s="118">
        <f t="shared" si="7"/>
        <v>3.6464850358520998E-2</v>
      </c>
    </row>
    <row r="34" spans="1:10" x14ac:dyDescent="0.2">
      <c r="A34" s="37" t="s">
        <v>111</v>
      </c>
      <c r="B34" s="38"/>
      <c r="C34" s="39"/>
      <c r="D34" s="39">
        <f>SUM(D15,D23,D26,D32,D33)</f>
        <v>29454.649100000002</v>
      </c>
      <c r="E34" s="38"/>
      <c r="F34" s="39"/>
      <c r="G34" s="39">
        <f>SUM(G15,G23,G26,G32,G33)</f>
        <v>29729.199099999998</v>
      </c>
      <c r="H34" s="39">
        <f t="shared" si="2"/>
        <v>274.54999999999563</v>
      </c>
      <c r="I34" s="40">
        <f t="shared" si="6"/>
        <v>9.3211091759363585E-3</v>
      </c>
      <c r="J34" s="41">
        <f t="shared" si="7"/>
        <v>0.88495575221238942</v>
      </c>
    </row>
    <row r="35" spans="1:10" x14ac:dyDescent="0.2">
      <c r="A35" s="46" t="s">
        <v>102</v>
      </c>
      <c r="B35" s="43"/>
      <c r="C35" s="26">
        <v>0.13</v>
      </c>
      <c r="D35" s="26">
        <f>D34*C35</f>
        <v>3829.1043830000003</v>
      </c>
      <c r="E35" s="26"/>
      <c r="F35" s="26">
        <f>C35</f>
        <v>0.13</v>
      </c>
      <c r="G35" s="26">
        <f>G34*F35</f>
        <v>3864.7958829999998</v>
      </c>
      <c r="H35" s="26">
        <f t="shared" si="2"/>
        <v>35.691499999999451</v>
      </c>
      <c r="I35" s="44">
        <f t="shared" si="6"/>
        <v>9.3211091759363637E-3</v>
      </c>
      <c r="J35" s="45">
        <f t="shared" si="7"/>
        <v>0.11504424778761062</v>
      </c>
    </row>
    <row r="36" spans="1:10" x14ac:dyDescent="0.2">
      <c r="A36" s="46" t="s">
        <v>103</v>
      </c>
      <c r="B36" s="24"/>
      <c r="C36" s="25"/>
      <c r="D36" s="25">
        <f>SUM(D34:D35)</f>
        <v>33283.753483</v>
      </c>
      <c r="E36" s="25"/>
      <c r="F36" s="25"/>
      <c r="G36" s="25">
        <f>SUM(G34:G35)</f>
        <v>33593.994982999997</v>
      </c>
      <c r="H36" s="25">
        <f t="shared" si="2"/>
        <v>310.24149999999645</v>
      </c>
      <c r="I36" s="27">
        <f t="shared" si="6"/>
        <v>9.3211091759364002E-3</v>
      </c>
      <c r="J36" s="47">
        <f t="shared" si="7"/>
        <v>1</v>
      </c>
    </row>
    <row r="37" spans="1:10" x14ac:dyDescent="0.2">
      <c r="A37" s="46" t="s">
        <v>104</v>
      </c>
      <c r="B37" s="43"/>
      <c r="C37" s="26">
        <v>0</v>
      </c>
      <c r="D37" s="26">
        <f>D34*C37</f>
        <v>0</v>
      </c>
      <c r="E37" s="26"/>
      <c r="F37" s="26">
        <f>C37</f>
        <v>0</v>
      </c>
      <c r="G37" s="26">
        <f>G34*F37</f>
        <v>0</v>
      </c>
      <c r="H37" s="26">
        <f t="shared" si="2"/>
        <v>0</v>
      </c>
      <c r="I37" s="44" t="str">
        <f t="shared" si="6"/>
        <v>N/A</v>
      </c>
      <c r="J37" s="45">
        <f t="shared" si="7"/>
        <v>0</v>
      </c>
    </row>
    <row r="38" spans="1:10" ht="13.5" thickBot="1" x14ac:dyDescent="0.25">
      <c r="A38" s="46" t="s">
        <v>105</v>
      </c>
      <c r="B38" s="49"/>
      <c r="C38" s="50"/>
      <c r="D38" s="50">
        <f>SUM(D36:D37)</f>
        <v>33283.753483</v>
      </c>
      <c r="E38" s="50"/>
      <c r="F38" s="50"/>
      <c r="G38" s="50">
        <f>SUM(G36:G37)</f>
        <v>33593.994982999997</v>
      </c>
      <c r="H38" s="50">
        <f t="shared" si="2"/>
        <v>310.24149999999645</v>
      </c>
      <c r="I38" s="51">
        <f t="shared" si="6"/>
        <v>9.3211091759364002E-3</v>
      </c>
      <c r="J38" s="52">
        <f t="shared" si="7"/>
        <v>1</v>
      </c>
    </row>
    <row r="39" spans="1:10" x14ac:dyDescent="0.2">
      <c r="A39" s="169"/>
      <c r="F39" s="69"/>
    </row>
    <row r="40" spans="1:10" x14ac:dyDescent="0.2">
      <c r="A40" s="170"/>
      <c r="F40" s="69"/>
    </row>
    <row r="41" spans="1:10" x14ac:dyDescent="0.2">
      <c r="A41" s="170"/>
    </row>
    <row r="42" spans="1:10" x14ac:dyDescent="0.2">
      <c r="A42" s="170"/>
    </row>
    <row r="43" spans="1:10" x14ac:dyDescent="0.2">
      <c r="A43" s="170"/>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scale="72"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1" tint="0.499984740745262"/>
    <pageSetUpPr fitToPage="1"/>
  </sheetPr>
  <dimension ref="A1:J43"/>
  <sheetViews>
    <sheetView tabSelected="1" view="pageLayout"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117</v>
      </c>
      <c r="B1" s="189"/>
      <c r="C1" s="189"/>
      <c r="D1" s="189"/>
      <c r="E1" s="189"/>
      <c r="F1" s="189"/>
      <c r="G1" s="189"/>
      <c r="H1" s="189"/>
      <c r="I1" s="189"/>
      <c r="J1" s="190"/>
    </row>
    <row r="3" spans="1:10" x14ac:dyDescent="0.2">
      <c r="A3" s="13" t="s">
        <v>13</v>
      </c>
      <c r="B3" s="13" t="s">
        <v>47</v>
      </c>
    </row>
    <row r="4" spans="1:10" x14ac:dyDescent="0.2">
      <c r="A4" s="15" t="s">
        <v>62</v>
      </c>
      <c r="B4" s="79">
        <v>300</v>
      </c>
    </row>
    <row r="5" spans="1:10" x14ac:dyDescent="0.2">
      <c r="A5" s="15" t="s">
        <v>16</v>
      </c>
      <c r="B5" s="79">
        <v>10</v>
      </c>
    </row>
    <row r="6" spans="1:10" x14ac:dyDescent="0.2">
      <c r="A6" s="15" t="s">
        <v>20</v>
      </c>
      <c r="B6" s="80">
        <f>VLOOKUP($B$3,'Data for Bill Impacts'!$A$3:$Y$15,2,0)</f>
        <v>1.0609999999999999</v>
      </c>
    </row>
    <row r="7" spans="1:10" x14ac:dyDescent="0.2">
      <c r="A7" s="81" t="s">
        <v>48</v>
      </c>
      <c r="B7" s="82">
        <f>B4/(B5*730)</f>
        <v>4.1095890410958902E-2</v>
      </c>
    </row>
    <row r="8" spans="1:10" x14ac:dyDescent="0.2">
      <c r="A8" s="15" t="s">
        <v>15</v>
      </c>
      <c r="B8" s="79">
        <f>VLOOKUP($B$3,'Data for Bill Impacts'!$A$3:$Y$15,4,0)</f>
        <v>0</v>
      </c>
    </row>
    <row r="9" spans="1:10" x14ac:dyDescent="0.2">
      <c r="A9" s="15" t="s">
        <v>82</v>
      </c>
      <c r="B9" s="79">
        <f>B4*B6</f>
        <v>318.29999999999995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318.29999999999995</v>
      </c>
      <c r="C13" s="103">
        <v>9.0999999999999998E-2</v>
      </c>
      <c r="D13" s="104">
        <f>B13*C13</f>
        <v>28.965299999999996</v>
      </c>
      <c r="E13" s="102">
        <f>B13</f>
        <v>318.29999999999995</v>
      </c>
      <c r="F13" s="103">
        <f>C13</f>
        <v>9.0999999999999998E-2</v>
      </c>
      <c r="G13" s="104">
        <f>E13*F13</f>
        <v>28.965299999999996</v>
      </c>
      <c r="H13" s="104">
        <f>G13-D13</f>
        <v>0</v>
      </c>
      <c r="I13" s="105">
        <f t="shared" ref="I13:I18" si="0">IF(ISERROR(H13/ABS(D13)),"N/A",(H13/ABS(D13)))</f>
        <v>0</v>
      </c>
      <c r="J13" s="123">
        <f t="shared" ref="J13:J21" si="1">G13/$G$38</f>
        <v>7.3751235747973556E-2</v>
      </c>
    </row>
    <row r="14" spans="1:10" x14ac:dyDescent="0.2">
      <c r="A14" s="107" t="s">
        <v>32</v>
      </c>
      <c r="B14" s="73">
        <v>0</v>
      </c>
      <c r="C14" s="21">
        <v>0.106</v>
      </c>
      <c r="D14" s="22">
        <f>B14*C14</f>
        <v>0</v>
      </c>
      <c r="E14" s="73">
        <f>B14</f>
        <v>0</v>
      </c>
      <c r="F14" s="21">
        <f>C14</f>
        <v>0.106</v>
      </c>
      <c r="G14" s="22">
        <f>E14*F14</f>
        <v>0</v>
      </c>
      <c r="H14" s="22">
        <f t="shared" ref="H14:H38" si="2">G14-D14</f>
        <v>0</v>
      </c>
      <c r="I14" s="23" t="str">
        <f t="shared" si="0"/>
        <v>N/A</v>
      </c>
      <c r="J14" s="124">
        <f t="shared" si="1"/>
        <v>0</v>
      </c>
    </row>
    <row r="15" spans="1:10" s="1" customFormat="1" x14ac:dyDescent="0.2">
      <c r="A15" s="46" t="s">
        <v>33</v>
      </c>
      <c r="B15" s="24"/>
      <c r="C15" s="25"/>
      <c r="D15" s="25">
        <f>SUM(D13:D14)</f>
        <v>28.965299999999996</v>
      </c>
      <c r="E15" s="76"/>
      <c r="F15" s="25"/>
      <c r="G15" s="25">
        <f>SUM(G13:G14)</f>
        <v>28.965299999999996</v>
      </c>
      <c r="H15" s="25">
        <f t="shared" si="2"/>
        <v>0</v>
      </c>
      <c r="I15" s="27">
        <f t="shared" si="0"/>
        <v>0</v>
      </c>
      <c r="J15" s="47">
        <f t="shared" si="1"/>
        <v>7.3751235747973556E-2</v>
      </c>
    </row>
    <row r="16" spans="1:10" s="1" customFormat="1" x14ac:dyDescent="0.2">
      <c r="A16" s="107" t="s">
        <v>38</v>
      </c>
      <c r="B16" s="73">
        <v>1</v>
      </c>
      <c r="C16" s="78">
        <f>VLOOKUP($B$3,'Data for Bill Impacts'!$A$3:$Y$15,7,0)</f>
        <v>196.16</v>
      </c>
      <c r="D16" s="22">
        <f t="shared" ref="D16:D22" si="3">B16*C16</f>
        <v>196.16</v>
      </c>
      <c r="E16" s="73">
        <f t="shared" ref="E16:E33" si="4">B16</f>
        <v>1</v>
      </c>
      <c r="F16" s="78">
        <f>VLOOKUP($B$3,'Data for Bill Impacts'!$A$3:$Y$15,17,0)</f>
        <v>196.16</v>
      </c>
      <c r="G16" s="22">
        <f t="shared" ref="G16:G22" si="5">E16*F16</f>
        <v>196.16</v>
      </c>
      <c r="H16" s="22">
        <f t="shared" si="2"/>
        <v>0</v>
      </c>
      <c r="I16" s="23">
        <f t="shared" si="0"/>
        <v>0</v>
      </c>
      <c r="J16" s="124">
        <f t="shared" si="1"/>
        <v>0.49946116229842241</v>
      </c>
    </row>
    <row r="17" spans="1:10" hidden="1" x14ac:dyDescent="0.2">
      <c r="A17" s="107" t="s">
        <v>83</v>
      </c>
      <c r="B17" s="73">
        <v>1</v>
      </c>
      <c r="C17" s="78">
        <v>0</v>
      </c>
      <c r="D17" s="22">
        <f t="shared" si="3"/>
        <v>0</v>
      </c>
      <c r="E17" s="73">
        <f t="shared" si="4"/>
        <v>1</v>
      </c>
      <c r="F17" s="78">
        <v>0</v>
      </c>
      <c r="G17" s="22">
        <f t="shared" si="5"/>
        <v>0</v>
      </c>
      <c r="H17" s="22">
        <f t="shared" si="2"/>
        <v>0</v>
      </c>
      <c r="I17" s="23" t="str">
        <f t="shared" si="0"/>
        <v>N/A</v>
      </c>
      <c r="J17" s="124">
        <f t="shared" si="1"/>
        <v>0</v>
      </c>
    </row>
    <row r="18" spans="1:10" hidden="1" x14ac:dyDescent="0.2">
      <c r="A18" s="107" t="s">
        <v>84</v>
      </c>
      <c r="B18" s="73">
        <v>1</v>
      </c>
      <c r="C18" s="78">
        <v>0</v>
      </c>
      <c r="D18" s="22">
        <f t="shared" si="3"/>
        <v>0</v>
      </c>
      <c r="E18" s="73">
        <f t="shared" si="4"/>
        <v>1</v>
      </c>
      <c r="F18" s="78">
        <v>0</v>
      </c>
      <c r="G18" s="22">
        <f t="shared" si="5"/>
        <v>0</v>
      </c>
      <c r="H18" s="22">
        <f t="shared" si="2"/>
        <v>0</v>
      </c>
      <c r="I18" s="23" t="str">
        <f t="shared" si="0"/>
        <v>N/A</v>
      </c>
      <c r="J18" s="124">
        <f t="shared" si="1"/>
        <v>0</v>
      </c>
    </row>
    <row r="19" spans="1:10" x14ac:dyDescent="0.2">
      <c r="A19" s="107" t="s">
        <v>85</v>
      </c>
      <c r="B19" s="73">
        <v>1</v>
      </c>
      <c r="C19" s="121">
        <f>VLOOKUP($B$3,'Data for Bill Impacts'!$A$3:$Y$15,13,0)</f>
        <v>1.0999999999999999E-2</v>
      </c>
      <c r="D19" s="22">
        <f t="shared" si="3"/>
        <v>1.0999999999999999E-2</v>
      </c>
      <c r="E19" s="73">
        <f t="shared" si="4"/>
        <v>1</v>
      </c>
      <c r="F19" s="121">
        <f>VLOOKUP($B$3,'Data for Bill Impacts'!$A$3:$Y$15,22,0)</f>
        <v>1.0999999999999999E-2</v>
      </c>
      <c r="G19" s="22">
        <f t="shared" si="5"/>
        <v>1.0999999999999999E-2</v>
      </c>
      <c r="H19" s="22">
        <f t="shared" si="2"/>
        <v>0</v>
      </c>
      <c r="I19" s="23">
        <f>IF(ISERROR(H19/ABS(D19)),"N/A",(H19/ABS(D19)))</f>
        <v>0</v>
      </c>
      <c r="J19" s="124">
        <f t="shared" si="1"/>
        <v>2.8008119827093425E-5</v>
      </c>
    </row>
    <row r="20" spans="1:10" x14ac:dyDescent="0.2">
      <c r="A20" s="107" t="s">
        <v>39</v>
      </c>
      <c r="B20" s="73">
        <f>IF($B$10="kWh",$B$4,$B$5)</f>
        <v>10</v>
      </c>
      <c r="C20" s="125">
        <f>VLOOKUP($B$3,'Data for Bill Impacts'!$A$3:$Y$15,10,0)</f>
        <v>9.8219999999999992</v>
      </c>
      <c r="D20" s="22">
        <f t="shared" si="3"/>
        <v>98.22</v>
      </c>
      <c r="E20" s="73">
        <f t="shared" si="4"/>
        <v>10</v>
      </c>
      <c r="F20" s="125">
        <f>VLOOKUP($B$3,'Data for Bill Impacts'!$A$3:$Y$15,19,0)</f>
        <v>10.644600000000001</v>
      </c>
      <c r="G20" s="22">
        <f t="shared" si="5"/>
        <v>106.446</v>
      </c>
      <c r="H20" s="22">
        <f t="shared" si="2"/>
        <v>8.2259999999999991</v>
      </c>
      <c r="I20" s="23">
        <f>IF(ISERROR(H20/D20),0,(H20/D20))</f>
        <v>8.3750763591936464E-2</v>
      </c>
      <c r="J20" s="124">
        <f t="shared" si="1"/>
        <v>0.27103202937407156</v>
      </c>
    </row>
    <row r="21" spans="1:10" s="1" customFormat="1" x14ac:dyDescent="0.2">
      <c r="A21" s="107" t="s">
        <v>121</v>
      </c>
      <c r="B21" s="73">
        <f>IF($B$10="kWh",$B$4,$B$5)</f>
        <v>10</v>
      </c>
      <c r="C21" s="125">
        <f>VLOOKUP($B$3,'Data for Bill Impacts'!$A$3:$Y$15,14,0)</f>
        <v>2.82E-3</v>
      </c>
      <c r="D21" s="22">
        <f t="shared" si="3"/>
        <v>2.8199999999999999E-2</v>
      </c>
      <c r="E21" s="73">
        <f t="shared" si="4"/>
        <v>10</v>
      </c>
      <c r="F21" s="125">
        <f>VLOOKUP($B$3,'Data for Bill Impacts'!$A$3:$Y$15,23,0)</f>
        <v>2.82E-3</v>
      </c>
      <c r="G21" s="22">
        <f t="shared" si="5"/>
        <v>2.8199999999999999E-2</v>
      </c>
      <c r="H21" s="22">
        <f t="shared" si="2"/>
        <v>0</v>
      </c>
      <c r="I21" s="23">
        <f>IF(ISERROR(H21/D21),0,(H21/D21))</f>
        <v>0</v>
      </c>
      <c r="J21" s="124">
        <f t="shared" si="1"/>
        <v>7.1802634465821326E-5</v>
      </c>
    </row>
    <row r="22" spans="1:10" s="1" customFormat="1" x14ac:dyDescent="0.2">
      <c r="A22" s="107" t="s">
        <v>108</v>
      </c>
      <c r="B22" s="73">
        <f>B9</f>
        <v>318.29999999999995</v>
      </c>
      <c r="C22" s="125">
        <f>VLOOKUP($B$3,'Data for Bill Impacts'!$A$3:$Y$15,20,0)</f>
        <v>0</v>
      </c>
      <c r="D22" s="22">
        <f t="shared" si="3"/>
        <v>0</v>
      </c>
      <c r="E22" s="73">
        <f>B22</f>
        <v>318.29999999999995</v>
      </c>
      <c r="F22" s="125">
        <f>VLOOKUP($B$3,'Data for Bill Impacts'!$A$3:$Y$15,21,0)</f>
        <v>0</v>
      </c>
      <c r="G22" s="22">
        <f t="shared" si="5"/>
        <v>0</v>
      </c>
      <c r="H22" s="22">
        <f>G22-D22</f>
        <v>0</v>
      </c>
      <c r="I22" s="23" t="str">
        <f t="shared" ref="I22:I38" si="6">IF(ISERROR(H22/ABS(D22)),"N/A",(H22/ABS(D22)))</f>
        <v>N/A</v>
      </c>
      <c r="J22" s="124">
        <f>G22/$G$38</f>
        <v>0</v>
      </c>
    </row>
    <row r="23" spans="1:10" x14ac:dyDescent="0.2">
      <c r="A23" s="110" t="s">
        <v>93</v>
      </c>
      <c r="B23" s="74"/>
      <c r="C23" s="35"/>
      <c r="D23" s="35">
        <f>SUM(D16:D22)</f>
        <v>294.41919999999999</v>
      </c>
      <c r="E23" s="73"/>
      <c r="F23" s="35"/>
      <c r="G23" s="35">
        <f>SUM(G16:G22)</f>
        <v>302.64519999999999</v>
      </c>
      <c r="H23" s="35">
        <f t="shared" si="2"/>
        <v>8.2259999999999991</v>
      </c>
      <c r="I23" s="36">
        <f t="shared" si="6"/>
        <v>2.7939753929091579E-2</v>
      </c>
      <c r="J23" s="111">
        <f t="shared" ref="J23:J29" si="7">G23/$G$38</f>
        <v>0.77059300242678685</v>
      </c>
    </row>
    <row r="24" spans="1:10" x14ac:dyDescent="0.2">
      <c r="A24" s="107" t="s">
        <v>40</v>
      </c>
      <c r="B24" s="73">
        <f>B5</f>
        <v>10</v>
      </c>
      <c r="C24" s="125">
        <f>VLOOKUP($B$3,'Data for Bill Impacts'!$A$3:$Y$15,15,0)</f>
        <v>0.63108279999999994</v>
      </c>
      <c r="D24" s="22">
        <f>B24*C24</f>
        <v>6.310827999999999</v>
      </c>
      <c r="E24" s="73">
        <f t="shared" si="4"/>
        <v>10</v>
      </c>
      <c r="F24" s="125">
        <f>VLOOKUP($B$3,'Data for Bill Impacts'!$A$3:$Y$15,24,0)</f>
        <v>0.63108279999999994</v>
      </c>
      <c r="G24" s="22">
        <f>E24*F24</f>
        <v>6.310827999999999</v>
      </c>
      <c r="H24" s="22">
        <f t="shared" si="2"/>
        <v>0</v>
      </c>
      <c r="I24" s="23">
        <f t="shared" si="6"/>
        <v>0</v>
      </c>
      <c r="J24" s="124">
        <f t="shared" si="7"/>
        <v>1.6068584257470576E-2</v>
      </c>
    </row>
    <row r="25" spans="1:10" s="1" customFormat="1" x14ac:dyDescent="0.2">
      <c r="A25" s="107" t="s">
        <v>41</v>
      </c>
      <c r="B25" s="73">
        <f>B5</f>
        <v>10</v>
      </c>
      <c r="C25" s="125">
        <f>VLOOKUP($B$3,'Data for Bill Impacts'!$A$3:$Y$15,16,0)</f>
        <v>0.54747599999999996</v>
      </c>
      <c r="D25" s="22">
        <f>B25*C25</f>
        <v>5.4747599999999998</v>
      </c>
      <c r="E25" s="73">
        <f t="shared" si="4"/>
        <v>10</v>
      </c>
      <c r="F25" s="125">
        <f>VLOOKUP($B$3,'Data for Bill Impacts'!$A$3:$Y$15,25,0)</f>
        <v>0.54747599999999996</v>
      </c>
      <c r="G25" s="22">
        <f>E25*F25</f>
        <v>5.4747599999999998</v>
      </c>
      <c r="H25" s="22">
        <f t="shared" si="2"/>
        <v>0</v>
      </c>
      <c r="I25" s="23">
        <f t="shared" si="6"/>
        <v>0</v>
      </c>
      <c r="J25" s="124">
        <f t="shared" si="7"/>
        <v>1.3939794009507091E-2</v>
      </c>
    </row>
    <row r="26" spans="1:10" x14ac:dyDescent="0.2">
      <c r="A26" s="110" t="s">
        <v>76</v>
      </c>
      <c r="B26" s="74"/>
      <c r="C26" s="35"/>
      <c r="D26" s="35">
        <f>SUM(D24:D25)</f>
        <v>11.785587999999999</v>
      </c>
      <c r="E26" s="73"/>
      <c r="F26" s="35"/>
      <c r="G26" s="35">
        <f>SUM(G24:G25)</f>
        <v>11.785587999999999</v>
      </c>
      <c r="H26" s="35">
        <f t="shared" si="2"/>
        <v>0</v>
      </c>
      <c r="I26" s="36">
        <f t="shared" si="6"/>
        <v>0</v>
      </c>
      <c r="J26" s="111">
        <f t="shared" si="7"/>
        <v>3.0008378266977668E-2</v>
      </c>
    </row>
    <row r="27" spans="1:10" s="1" customFormat="1" x14ac:dyDescent="0.2">
      <c r="A27" s="110" t="s">
        <v>80</v>
      </c>
      <c r="B27" s="74"/>
      <c r="C27" s="35"/>
      <c r="D27" s="35">
        <f>D23+D26</f>
        <v>306.20478800000001</v>
      </c>
      <c r="E27" s="73"/>
      <c r="F27" s="35"/>
      <c r="G27" s="35">
        <f>G23+G26</f>
        <v>314.43078800000001</v>
      </c>
      <c r="H27" s="35">
        <f t="shared" si="2"/>
        <v>8.2259999999999991</v>
      </c>
      <c r="I27" s="36">
        <f t="shared" si="6"/>
        <v>2.6864374178237862E-2</v>
      </c>
      <c r="J27" s="111">
        <f t="shared" si="7"/>
        <v>0.80060138069376463</v>
      </c>
    </row>
    <row r="28" spans="1:10" x14ac:dyDescent="0.2">
      <c r="A28" s="107" t="s">
        <v>42</v>
      </c>
      <c r="B28" s="73">
        <f>B9</f>
        <v>318.29999999999995</v>
      </c>
      <c r="C28" s="34">
        <v>3.5999999999999999E-3</v>
      </c>
      <c r="D28" s="22">
        <f>B28*C28</f>
        <v>1.1458799999999998</v>
      </c>
      <c r="E28" s="73">
        <f t="shared" si="4"/>
        <v>318.29999999999995</v>
      </c>
      <c r="F28" s="34">
        <v>3.5999999999999999E-3</v>
      </c>
      <c r="G28" s="22">
        <f>E28*F28</f>
        <v>1.1458799999999998</v>
      </c>
      <c r="H28" s="22">
        <f t="shared" si="2"/>
        <v>0</v>
      </c>
      <c r="I28" s="23">
        <f t="shared" si="6"/>
        <v>0</v>
      </c>
      <c r="J28" s="124">
        <f t="shared" si="7"/>
        <v>2.9176313043154374E-3</v>
      </c>
    </row>
    <row r="29" spans="1:10" x14ac:dyDescent="0.2">
      <c r="A29" s="107" t="s">
        <v>43</v>
      </c>
      <c r="B29" s="73">
        <f>B9</f>
        <v>318.29999999999995</v>
      </c>
      <c r="C29" s="34">
        <v>2.0999999999999999E-3</v>
      </c>
      <c r="D29" s="22">
        <f>B29*C29</f>
        <v>0.66842999999999986</v>
      </c>
      <c r="E29" s="73">
        <f t="shared" si="4"/>
        <v>318.29999999999995</v>
      </c>
      <c r="F29" s="34">
        <v>2.0999999999999999E-3</v>
      </c>
      <c r="G29" s="22">
        <f>E29*F29</f>
        <v>0.66842999999999986</v>
      </c>
      <c r="H29" s="22">
        <f>G29-D29</f>
        <v>0</v>
      </c>
      <c r="I29" s="23">
        <f t="shared" si="6"/>
        <v>0</v>
      </c>
      <c r="J29" s="124">
        <f t="shared" si="7"/>
        <v>1.7019515941840051E-3</v>
      </c>
    </row>
    <row r="30" spans="1:10" x14ac:dyDescent="0.2">
      <c r="A30" s="107" t="s">
        <v>96</v>
      </c>
      <c r="B30" s="73">
        <f>B9</f>
        <v>318.29999999999995</v>
      </c>
      <c r="C30" s="34">
        <v>0</v>
      </c>
      <c r="D30" s="22">
        <f>B30*C30</f>
        <v>0</v>
      </c>
      <c r="E30" s="73">
        <f t="shared" si="4"/>
        <v>318.29999999999995</v>
      </c>
      <c r="F30" s="34">
        <v>0</v>
      </c>
      <c r="G30" s="22">
        <f>E30*F30</f>
        <v>0</v>
      </c>
      <c r="H30" s="22">
        <f>G30-D30</f>
        <v>0</v>
      </c>
      <c r="I30" s="23" t="str">
        <f t="shared" si="6"/>
        <v>N/A</v>
      </c>
      <c r="J30" s="124">
        <f>G30/$G$38</f>
        <v>0</v>
      </c>
    </row>
    <row r="31" spans="1:10" x14ac:dyDescent="0.2">
      <c r="A31" s="107" t="s">
        <v>44</v>
      </c>
      <c r="B31" s="73">
        <v>1</v>
      </c>
      <c r="C31" s="22">
        <v>0.25</v>
      </c>
      <c r="D31" s="22">
        <f>B31*C31</f>
        <v>0.25</v>
      </c>
      <c r="E31" s="73">
        <f t="shared" si="4"/>
        <v>1</v>
      </c>
      <c r="F31" s="22">
        <f>C31</f>
        <v>0.25</v>
      </c>
      <c r="G31" s="22">
        <f>E31*F31</f>
        <v>0.25</v>
      </c>
      <c r="H31" s="22">
        <f t="shared" si="2"/>
        <v>0</v>
      </c>
      <c r="I31" s="23">
        <f t="shared" si="6"/>
        <v>0</v>
      </c>
      <c r="J31" s="124">
        <f t="shared" ref="J31:J38" si="8">G31/$G$38</f>
        <v>6.3654817788848695E-4</v>
      </c>
    </row>
    <row r="32" spans="1:10" x14ac:dyDescent="0.2">
      <c r="A32" s="110" t="s">
        <v>45</v>
      </c>
      <c r="B32" s="74"/>
      <c r="C32" s="35"/>
      <c r="D32" s="35">
        <f>SUM(D28:D31)</f>
        <v>2.0643099999999999</v>
      </c>
      <c r="E32" s="73"/>
      <c r="F32" s="35"/>
      <c r="G32" s="35">
        <f>SUM(G28:G31)</f>
        <v>2.0643099999999999</v>
      </c>
      <c r="H32" s="35">
        <f t="shared" si="2"/>
        <v>0</v>
      </c>
      <c r="I32" s="36">
        <f t="shared" si="6"/>
        <v>0</v>
      </c>
      <c r="J32" s="111">
        <f t="shared" si="8"/>
        <v>5.2561310763879297E-3</v>
      </c>
    </row>
    <row r="33" spans="1:10" ht="13.5" thickBot="1" x14ac:dyDescent="0.25">
      <c r="A33" s="112" t="s">
        <v>46</v>
      </c>
      <c r="B33" s="113">
        <f>B4</f>
        <v>300</v>
      </c>
      <c r="C33" s="114">
        <v>7.0000000000000001E-3</v>
      </c>
      <c r="D33" s="115">
        <f>B33*C33</f>
        <v>2.1</v>
      </c>
      <c r="E33" s="116">
        <f t="shared" si="4"/>
        <v>300</v>
      </c>
      <c r="F33" s="114">
        <f>C33</f>
        <v>7.0000000000000001E-3</v>
      </c>
      <c r="G33" s="115">
        <f>E33*F33</f>
        <v>2.1</v>
      </c>
      <c r="H33" s="115">
        <f t="shared" si="2"/>
        <v>0</v>
      </c>
      <c r="I33" s="117">
        <f t="shared" si="6"/>
        <v>0</v>
      </c>
      <c r="J33" s="118">
        <f t="shared" si="8"/>
        <v>5.3470046942632908E-3</v>
      </c>
    </row>
    <row r="34" spans="1:10" x14ac:dyDescent="0.2">
      <c r="A34" s="37" t="s">
        <v>111</v>
      </c>
      <c r="B34" s="38"/>
      <c r="C34" s="39"/>
      <c r="D34" s="39">
        <f>SUM(D15,D23,D26,D32,D33)</f>
        <v>339.33439800000002</v>
      </c>
      <c r="E34" s="38"/>
      <c r="F34" s="39"/>
      <c r="G34" s="39">
        <f>SUM(G15,G23,G26,G32,G33)</f>
        <v>347.56039800000002</v>
      </c>
      <c r="H34" s="39">
        <f t="shared" si="2"/>
        <v>8.2259999999999991</v>
      </c>
      <c r="I34" s="40">
        <f t="shared" si="6"/>
        <v>2.4241574236160988E-2</v>
      </c>
      <c r="J34" s="41">
        <f t="shared" si="8"/>
        <v>0.88495575221238942</v>
      </c>
    </row>
    <row r="35" spans="1:10" x14ac:dyDescent="0.2">
      <c r="A35" s="46" t="s">
        <v>102</v>
      </c>
      <c r="B35" s="43"/>
      <c r="C35" s="26">
        <v>0.13</v>
      </c>
      <c r="D35" s="26">
        <f>D34*C35</f>
        <v>44.113471740000001</v>
      </c>
      <c r="E35" s="26"/>
      <c r="F35" s="26">
        <f>C35</f>
        <v>0.13</v>
      </c>
      <c r="G35" s="26">
        <f>G34*F35</f>
        <v>45.182851740000004</v>
      </c>
      <c r="H35" s="26">
        <f t="shared" si="2"/>
        <v>1.0693800000000024</v>
      </c>
      <c r="I35" s="44">
        <f t="shared" si="6"/>
        <v>2.4241574236161047E-2</v>
      </c>
      <c r="J35" s="45">
        <f t="shared" si="8"/>
        <v>0.11504424778761063</v>
      </c>
    </row>
    <row r="36" spans="1:10" x14ac:dyDescent="0.2">
      <c r="A36" s="46" t="s">
        <v>103</v>
      </c>
      <c r="B36" s="24"/>
      <c r="C36" s="25"/>
      <c r="D36" s="25">
        <f>SUM(D34:D35)</f>
        <v>383.44786974000004</v>
      </c>
      <c r="E36" s="25"/>
      <c r="F36" s="25"/>
      <c r="G36" s="25">
        <f>SUM(G34:G35)</f>
        <v>392.74324974000001</v>
      </c>
      <c r="H36" s="25">
        <f t="shared" si="2"/>
        <v>9.295379999999966</v>
      </c>
      <c r="I36" s="27">
        <f t="shared" si="6"/>
        <v>2.4241574236160902E-2</v>
      </c>
      <c r="J36" s="47">
        <f t="shared" si="8"/>
        <v>1</v>
      </c>
    </row>
    <row r="37" spans="1:10" x14ac:dyDescent="0.2">
      <c r="A37" s="46" t="s">
        <v>104</v>
      </c>
      <c r="B37" s="43"/>
      <c r="C37" s="26">
        <v>0</v>
      </c>
      <c r="D37" s="26">
        <f>D34*C37</f>
        <v>0</v>
      </c>
      <c r="E37" s="26"/>
      <c r="F37" s="26">
        <f>C37</f>
        <v>0</v>
      </c>
      <c r="G37" s="26">
        <f>G34*F37</f>
        <v>0</v>
      </c>
      <c r="H37" s="26">
        <f t="shared" si="2"/>
        <v>0</v>
      </c>
      <c r="I37" s="44" t="str">
        <f t="shared" si="6"/>
        <v>N/A</v>
      </c>
      <c r="J37" s="45">
        <f t="shared" si="8"/>
        <v>0</v>
      </c>
    </row>
    <row r="38" spans="1:10" ht="13.5" thickBot="1" x14ac:dyDescent="0.25">
      <c r="A38" s="46" t="s">
        <v>105</v>
      </c>
      <c r="B38" s="49"/>
      <c r="C38" s="50"/>
      <c r="D38" s="50">
        <f>SUM(D36:D37)</f>
        <v>383.44786974000004</v>
      </c>
      <c r="E38" s="50"/>
      <c r="F38" s="50"/>
      <c r="G38" s="50">
        <f>SUM(G36:G37)</f>
        <v>392.74324974000001</v>
      </c>
      <c r="H38" s="50">
        <f t="shared" si="2"/>
        <v>9.295379999999966</v>
      </c>
      <c r="I38" s="51">
        <f t="shared" si="6"/>
        <v>2.4241574236160902E-2</v>
      </c>
      <c r="J38" s="52">
        <f t="shared" si="8"/>
        <v>1</v>
      </c>
    </row>
    <row r="39" spans="1:10" x14ac:dyDescent="0.2">
      <c r="A39" s="168"/>
      <c r="F39" s="69"/>
    </row>
    <row r="40" spans="1:10" x14ac:dyDescent="0.2">
      <c r="A40" s="168"/>
      <c r="F40" s="69"/>
    </row>
    <row r="41" spans="1:10" x14ac:dyDescent="0.2">
      <c r="A41" s="168"/>
    </row>
    <row r="42" spans="1:10" x14ac:dyDescent="0.2">
      <c r="A42" s="168"/>
    </row>
    <row r="43" spans="1:10" x14ac:dyDescent="0.2">
      <c r="A43" s="168"/>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1" tint="0.499984740745262"/>
    <pageSetUpPr fitToPage="1"/>
  </sheetPr>
  <dimension ref="A1:J43"/>
  <sheetViews>
    <sheetView tabSelected="1" view="pageLayout"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119</v>
      </c>
      <c r="B1" s="189"/>
      <c r="C1" s="189"/>
      <c r="D1" s="189"/>
      <c r="E1" s="189"/>
      <c r="F1" s="189"/>
      <c r="G1" s="189"/>
      <c r="H1" s="189"/>
      <c r="I1" s="189"/>
      <c r="J1" s="190"/>
    </row>
    <row r="3" spans="1:10" x14ac:dyDescent="0.2">
      <c r="A3" s="13" t="s">
        <v>13</v>
      </c>
      <c r="B3" s="13" t="s">
        <v>47</v>
      </c>
    </row>
    <row r="4" spans="1:10" x14ac:dyDescent="0.2">
      <c r="A4" s="15" t="s">
        <v>62</v>
      </c>
      <c r="B4" s="79">
        <f>VLOOKUP(B3,'Data for Bill Impacts'!A19:D31,3,FALSE)</f>
        <v>1328</v>
      </c>
    </row>
    <row r="5" spans="1:10" x14ac:dyDescent="0.2">
      <c r="A5" s="15" t="s">
        <v>16</v>
      </c>
      <c r="B5" s="79">
        <f>VLOOKUP(B3,'Data for Bill Impacts'!A19:D31,4,FALSE)</f>
        <v>13</v>
      </c>
    </row>
    <row r="6" spans="1:10" x14ac:dyDescent="0.2">
      <c r="A6" s="15" t="s">
        <v>20</v>
      </c>
      <c r="B6" s="80">
        <f>VLOOKUP($B$3,'Data for Bill Impacts'!$A$3:$Y$15,2,0)</f>
        <v>1.0609999999999999</v>
      </c>
    </row>
    <row r="7" spans="1:10" x14ac:dyDescent="0.2">
      <c r="A7" s="81" t="s">
        <v>48</v>
      </c>
      <c r="B7" s="82">
        <f>B4/(B5*730)</f>
        <v>0.1399367755532139</v>
      </c>
    </row>
    <row r="8" spans="1:10" x14ac:dyDescent="0.2">
      <c r="A8" s="15" t="s">
        <v>15</v>
      </c>
      <c r="B8" s="79">
        <f>VLOOKUP($B$3,'Data for Bill Impacts'!$A$3:$Y$15,4,0)</f>
        <v>0</v>
      </c>
    </row>
    <row r="9" spans="1:10" x14ac:dyDescent="0.2">
      <c r="A9" s="15" t="s">
        <v>82</v>
      </c>
      <c r="B9" s="79">
        <f>B4*B6</f>
        <v>1409.0079999999998</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1409.0079999999998</v>
      </c>
      <c r="C13" s="103">
        <v>9.0999999999999998E-2</v>
      </c>
      <c r="D13" s="104">
        <f>B13*C13</f>
        <v>128.21972799999998</v>
      </c>
      <c r="E13" s="102">
        <f>B13</f>
        <v>1409.0079999999998</v>
      </c>
      <c r="F13" s="103">
        <f>C13</f>
        <v>9.0999999999999998E-2</v>
      </c>
      <c r="G13" s="104">
        <f>E13*F13</f>
        <v>128.21972799999998</v>
      </c>
      <c r="H13" s="104">
        <f>G13-D13</f>
        <v>0</v>
      </c>
      <c r="I13" s="105">
        <f t="shared" ref="I13:I18" si="0">IF(ISERROR(H13/ABS(D13)),"N/A",(H13/ABS(D13)))</f>
        <v>0</v>
      </c>
      <c r="J13" s="123">
        <f t="shared" ref="J13:J18" si="1">G13/$G$38</f>
        <v>0.22890348730742091</v>
      </c>
    </row>
    <row r="14" spans="1:10" x14ac:dyDescent="0.2">
      <c r="A14" s="107" t="s">
        <v>32</v>
      </c>
      <c r="B14" s="73">
        <v>0</v>
      </c>
      <c r="C14" s="21">
        <v>0.106</v>
      </c>
      <c r="D14" s="22">
        <f>B14*C14</f>
        <v>0</v>
      </c>
      <c r="E14" s="73">
        <f>B14</f>
        <v>0</v>
      </c>
      <c r="F14" s="21">
        <f>C14</f>
        <v>0.106</v>
      </c>
      <c r="G14" s="22">
        <f>E14*F14</f>
        <v>0</v>
      </c>
      <c r="H14" s="22">
        <f t="shared" ref="H14:H38" si="2">G14-D14</f>
        <v>0</v>
      </c>
      <c r="I14" s="23" t="str">
        <f t="shared" si="0"/>
        <v>N/A</v>
      </c>
      <c r="J14" s="124">
        <f t="shared" si="1"/>
        <v>0</v>
      </c>
    </row>
    <row r="15" spans="1:10" s="1" customFormat="1" x14ac:dyDescent="0.2">
      <c r="A15" s="46" t="s">
        <v>33</v>
      </c>
      <c r="B15" s="24"/>
      <c r="C15" s="25"/>
      <c r="D15" s="25">
        <f>SUM(D13:D14)</f>
        <v>128.21972799999998</v>
      </c>
      <c r="E15" s="76"/>
      <c r="F15" s="25"/>
      <c r="G15" s="25">
        <f>SUM(G13:G14)</f>
        <v>128.21972799999998</v>
      </c>
      <c r="H15" s="25">
        <f t="shared" si="2"/>
        <v>0</v>
      </c>
      <c r="I15" s="27">
        <f t="shared" si="0"/>
        <v>0</v>
      </c>
      <c r="J15" s="47">
        <f t="shared" si="1"/>
        <v>0.22890348730742091</v>
      </c>
    </row>
    <row r="16" spans="1:10" s="1" customFormat="1" x14ac:dyDescent="0.2">
      <c r="A16" s="107" t="s">
        <v>38</v>
      </c>
      <c r="B16" s="73">
        <v>1</v>
      </c>
      <c r="C16" s="78">
        <f>VLOOKUP($B$3,'Data for Bill Impacts'!$A$3:$Y$15,7,0)</f>
        <v>196.16</v>
      </c>
      <c r="D16" s="22">
        <f t="shared" ref="D16:D22" si="3">B16*C16</f>
        <v>196.16</v>
      </c>
      <c r="E16" s="73">
        <f t="shared" ref="E16:E33" si="4">B16</f>
        <v>1</v>
      </c>
      <c r="F16" s="22">
        <f>VLOOKUP($B$3,'Data for Bill Impacts'!$A$3:$Y$15,17,0)</f>
        <v>196.16</v>
      </c>
      <c r="G16" s="22">
        <f t="shared" ref="G16:G22" si="5">E16*F16</f>
        <v>196.16</v>
      </c>
      <c r="H16" s="22">
        <f t="shared" si="2"/>
        <v>0</v>
      </c>
      <c r="I16" s="23">
        <f t="shared" si="0"/>
        <v>0</v>
      </c>
      <c r="J16" s="124">
        <f t="shared" si="1"/>
        <v>0.35019344347871095</v>
      </c>
    </row>
    <row r="17" spans="1:10" hidden="1" x14ac:dyDescent="0.2">
      <c r="A17" s="107" t="s">
        <v>83</v>
      </c>
      <c r="B17" s="73">
        <v>1</v>
      </c>
      <c r="C17" s="78">
        <v>0</v>
      </c>
      <c r="D17" s="22">
        <f t="shared" si="3"/>
        <v>0</v>
      </c>
      <c r="E17" s="73">
        <f t="shared" si="4"/>
        <v>1</v>
      </c>
      <c r="F17" s="78">
        <v>0</v>
      </c>
      <c r="G17" s="22">
        <f t="shared" si="5"/>
        <v>0</v>
      </c>
      <c r="H17" s="22">
        <f t="shared" si="2"/>
        <v>0</v>
      </c>
      <c r="I17" s="23" t="str">
        <f t="shared" si="0"/>
        <v>N/A</v>
      </c>
      <c r="J17" s="124">
        <f t="shared" si="1"/>
        <v>0</v>
      </c>
    </row>
    <row r="18" spans="1:10" hidden="1" x14ac:dyDescent="0.2">
      <c r="A18" s="107" t="s">
        <v>84</v>
      </c>
      <c r="B18" s="73">
        <v>1</v>
      </c>
      <c r="C18" s="78">
        <v>0</v>
      </c>
      <c r="D18" s="22">
        <f t="shared" si="3"/>
        <v>0</v>
      </c>
      <c r="E18" s="73">
        <f t="shared" si="4"/>
        <v>1</v>
      </c>
      <c r="F18" s="78">
        <v>0</v>
      </c>
      <c r="G18" s="22">
        <f t="shared" si="5"/>
        <v>0</v>
      </c>
      <c r="H18" s="22">
        <f t="shared" si="2"/>
        <v>0</v>
      </c>
      <c r="I18" s="23" t="str">
        <f t="shared" si="0"/>
        <v>N/A</v>
      </c>
      <c r="J18" s="124">
        <f t="shared" si="1"/>
        <v>0</v>
      </c>
    </row>
    <row r="19" spans="1:10" x14ac:dyDescent="0.2">
      <c r="A19" s="107" t="s">
        <v>85</v>
      </c>
      <c r="B19" s="73">
        <v>1</v>
      </c>
      <c r="C19" s="121">
        <f>VLOOKUP($B$3,'Data for Bill Impacts'!$A$3:$Y$15,13,0)</f>
        <v>1.0999999999999999E-2</v>
      </c>
      <c r="D19" s="22">
        <f t="shared" si="3"/>
        <v>1.0999999999999999E-2</v>
      </c>
      <c r="E19" s="73">
        <f t="shared" si="4"/>
        <v>1</v>
      </c>
      <c r="F19" s="121">
        <f>VLOOKUP($B$3,'Data for Bill Impacts'!$A$3:$Y$15,22,0)</f>
        <v>1.0999999999999999E-2</v>
      </c>
      <c r="G19" s="22">
        <f t="shared" si="5"/>
        <v>1.0999999999999999E-2</v>
      </c>
      <c r="H19" s="22">
        <f t="shared" si="2"/>
        <v>0</v>
      </c>
      <c r="I19" s="23">
        <f>IF(ISERROR(H19/ABS(D19)),"N/A",(H19/ABS(D19)))</f>
        <v>0</v>
      </c>
      <c r="J19" s="124">
        <f t="shared" ref="J19:J29" si="6">G19/$G$38</f>
        <v>1.963768290306801E-5</v>
      </c>
    </row>
    <row r="20" spans="1:10" x14ac:dyDescent="0.2">
      <c r="A20" s="107" t="s">
        <v>39</v>
      </c>
      <c r="B20" s="73">
        <f>IF($B$10="kWh",$B$4,$B$5)</f>
        <v>13</v>
      </c>
      <c r="C20" s="125">
        <f>VLOOKUP($B$3,'Data for Bill Impacts'!$A$3:$Y$15,10,0)</f>
        <v>9.8219999999999992</v>
      </c>
      <c r="D20" s="22">
        <f t="shared" si="3"/>
        <v>127.68599999999999</v>
      </c>
      <c r="E20" s="73">
        <f t="shared" si="4"/>
        <v>13</v>
      </c>
      <c r="F20" s="125">
        <f>VLOOKUP($B$3,'Data for Bill Impacts'!$A$3:$Y$15,19,0)</f>
        <v>10.644600000000001</v>
      </c>
      <c r="G20" s="22">
        <f t="shared" si="5"/>
        <v>138.37980000000002</v>
      </c>
      <c r="H20" s="22">
        <f t="shared" si="2"/>
        <v>10.693800000000024</v>
      </c>
      <c r="I20" s="23">
        <f>IF(ISERROR(H20/D20),0,(H20/D20))</f>
        <v>8.3750763591936658E-2</v>
      </c>
      <c r="J20" s="124">
        <f t="shared" si="6"/>
        <v>0.24704169387181554</v>
      </c>
    </row>
    <row r="21" spans="1:10" x14ac:dyDescent="0.2">
      <c r="A21" s="107" t="s">
        <v>121</v>
      </c>
      <c r="B21" s="73">
        <f>IF($B$10="kWh",$B$4,$B$5)</f>
        <v>13</v>
      </c>
      <c r="C21" s="125">
        <f>VLOOKUP($B$3,'Data for Bill Impacts'!$A$3:$Y$15,14,0)</f>
        <v>2.82E-3</v>
      </c>
      <c r="D21" s="22">
        <f t="shared" si="3"/>
        <v>3.6659999999999998E-2</v>
      </c>
      <c r="E21" s="73">
        <f t="shared" si="4"/>
        <v>13</v>
      </c>
      <c r="F21" s="125">
        <f>VLOOKUP($B$3,'Data for Bill Impacts'!$A$3:$Y$15,23,0)</f>
        <v>2.82E-3</v>
      </c>
      <c r="G21" s="22">
        <f t="shared" si="5"/>
        <v>3.6659999999999998E-2</v>
      </c>
      <c r="H21" s="22">
        <f t="shared" si="2"/>
        <v>0</v>
      </c>
      <c r="I21" s="23">
        <f>IF(ISERROR(H21/D21),0,(H21/D21))</f>
        <v>0</v>
      </c>
      <c r="J21" s="124">
        <f t="shared" si="6"/>
        <v>6.5447041384224835E-5</v>
      </c>
    </row>
    <row r="22" spans="1:10" x14ac:dyDescent="0.2">
      <c r="A22" s="107" t="s">
        <v>108</v>
      </c>
      <c r="B22" s="73">
        <f>B9</f>
        <v>1409.0079999999998</v>
      </c>
      <c r="C22" s="125">
        <f>VLOOKUP($B$3,'Data for Bill Impacts'!$A$3:$Y$15,20,0)</f>
        <v>0</v>
      </c>
      <c r="D22" s="22">
        <f t="shared" si="3"/>
        <v>0</v>
      </c>
      <c r="E22" s="73">
        <f>B22</f>
        <v>1409.0079999999998</v>
      </c>
      <c r="F22" s="125">
        <f>VLOOKUP($B$3,'Data for Bill Impacts'!$A$3:$Y$15,21,0)</f>
        <v>0</v>
      </c>
      <c r="G22" s="22">
        <f t="shared" si="5"/>
        <v>0</v>
      </c>
      <c r="H22" s="22">
        <f>G22-D22</f>
        <v>0</v>
      </c>
      <c r="I22" s="23" t="str">
        <f t="shared" ref="I22:I38" si="7">IF(ISERROR(H22/ABS(D22)),"N/A",(H22/ABS(D22)))</f>
        <v>N/A</v>
      </c>
      <c r="J22" s="124">
        <f t="shared" si="6"/>
        <v>0</v>
      </c>
    </row>
    <row r="23" spans="1:10" s="1" customFormat="1" x14ac:dyDescent="0.2">
      <c r="A23" s="110" t="s">
        <v>79</v>
      </c>
      <c r="B23" s="74"/>
      <c r="C23" s="35"/>
      <c r="D23" s="35">
        <f>SUM(D16:D22)</f>
        <v>323.89365999999995</v>
      </c>
      <c r="E23" s="73"/>
      <c r="F23" s="35"/>
      <c r="G23" s="35">
        <f>SUM(G16:G22)</f>
        <v>334.58745999999996</v>
      </c>
      <c r="H23" s="35">
        <f t="shared" si="2"/>
        <v>10.69380000000001</v>
      </c>
      <c r="I23" s="36">
        <f t="shared" si="7"/>
        <v>3.3016391861452339E-2</v>
      </c>
      <c r="J23" s="111">
        <f t="shared" si="6"/>
        <v>0.59732022207481372</v>
      </c>
    </row>
    <row r="24" spans="1:10" s="1" customFormat="1" x14ac:dyDescent="0.2">
      <c r="A24" s="107" t="s">
        <v>40</v>
      </c>
      <c r="B24" s="73">
        <f>B5</f>
        <v>13</v>
      </c>
      <c r="C24" s="125">
        <f>VLOOKUP($B$3,'Data for Bill Impacts'!$A$3:$Y$15,15,0)</f>
        <v>0.63108279999999994</v>
      </c>
      <c r="D24" s="22">
        <f>B24*C24</f>
        <v>8.2040763999999999</v>
      </c>
      <c r="E24" s="73">
        <f t="shared" si="4"/>
        <v>13</v>
      </c>
      <c r="F24" s="125">
        <f>VLOOKUP($B$3,'Data for Bill Impacts'!$A$3:$Y$15,24,0)</f>
        <v>0.63108279999999994</v>
      </c>
      <c r="G24" s="22">
        <f>E24*F24</f>
        <v>8.2040763999999999</v>
      </c>
      <c r="H24" s="22">
        <f t="shared" si="2"/>
        <v>0</v>
      </c>
      <c r="I24" s="23">
        <f t="shared" si="7"/>
        <v>0</v>
      </c>
      <c r="J24" s="124">
        <f t="shared" si="6"/>
        <v>1.4646277350522159E-2</v>
      </c>
    </row>
    <row r="25" spans="1:10" x14ac:dyDescent="0.2">
      <c r="A25" s="107" t="s">
        <v>41</v>
      </c>
      <c r="B25" s="73">
        <f>B5</f>
        <v>13</v>
      </c>
      <c r="C25" s="125">
        <f>VLOOKUP($B$3,'Data for Bill Impacts'!$A$3:$Y$15,16,0)</f>
        <v>0.54747599999999996</v>
      </c>
      <c r="D25" s="22">
        <f>B25*C25</f>
        <v>7.1171879999999996</v>
      </c>
      <c r="E25" s="73">
        <f t="shared" si="4"/>
        <v>13</v>
      </c>
      <c r="F25" s="125">
        <f>VLOOKUP($B$3,'Data for Bill Impacts'!$A$3:$Y$15,25,0)</f>
        <v>0.54747599999999996</v>
      </c>
      <c r="G25" s="22">
        <f>E25*F25</f>
        <v>7.1171879999999996</v>
      </c>
      <c r="H25" s="22">
        <f t="shared" si="2"/>
        <v>0</v>
      </c>
      <c r="I25" s="23">
        <f t="shared" si="7"/>
        <v>0</v>
      </c>
      <c r="J25" s="124">
        <f t="shared" si="6"/>
        <v>1.2705916464138255E-2</v>
      </c>
    </row>
    <row r="26" spans="1:10" x14ac:dyDescent="0.2">
      <c r="A26" s="110" t="s">
        <v>76</v>
      </c>
      <c r="B26" s="74"/>
      <c r="C26" s="35"/>
      <c r="D26" s="35">
        <f>SUM(D24:D25)</f>
        <v>15.3212644</v>
      </c>
      <c r="E26" s="73"/>
      <c r="F26" s="35"/>
      <c r="G26" s="35">
        <f>SUM(G24:G25)</f>
        <v>15.3212644</v>
      </c>
      <c r="H26" s="35">
        <f t="shared" si="2"/>
        <v>0</v>
      </c>
      <c r="I26" s="36">
        <f t="shared" si="7"/>
        <v>0</v>
      </c>
      <c r="J26" s="111">
        <f t="shared" si="6"/>
        <v>2.7352193814660416E-2</v>
      </c>
    </row>
    <row r="27" spans="1:10" s="1" customFormat="1" x14ac:dyDescent="0.2">
      <c r="A27" s="110" t="s">
        <v>80</v>
      </c>
      <c r="B27" s="74"/>
      <c r="C27" s="35"/>
      <c r="D27" s="35">
        <f>D23+D26</f>
        <v>339.21492439999997</v>
      </c>
      <c r="E27" s="73"/>
      <c r="F27" s="35"/>
      <c r="G27" s="35">
        <f>G23+G26</f>
        <v>349.90872439999998</v>
      </c>
      <c r="H27" s="35">
        <f t="shared" si="2"/>
        <v>10.69380000000001</v>
      </c>
      <c r="I27" s="36">
        <f t="shared" si="7"/>
        <v>3.1525145949622052E-2</v>
      </c>
      <c r="J27" s="111">
        <f t="shared" si="6"/>
        <v>0.6246724158894742</v>
      </c>
    </row>
    <row r="28" spans="1:10" x14ac:dyDescent="0.2">
      <c r="A28" s="107" t="s">
        <v>42</v>
      </c>
      <c r="B28" s="73">
        <f>B9</f>
        <v>1409.0079999999998</v>
      </c>
      <c r="C28" s="34">
        <v>3.5999999999999999E-3</v>
      </c>
      <c r="D28" s="22">
        <f>B28*C28</f>
        <v>5.0724287999999991</v>
      </c>
      <c r="E28" s="73">
        <f t="shared" si="4"/>
        <v>1409.0079999999998</v>
      </c>
      <c r="F28" s="34">
        <v>3.5999999999999999E-3</v>
      </c>
      <c r="G28" s="22">
        <f>E28*F28</f>
        <v>5.0724287999999991</v>
      </c>
      <c r="H28" s="22">
        <f t="shared" si="2"/>
        <v>0</v>
      </c>
      <c r="I28" s="23">
        <f t="shared" si="7"/>
        <v>0</v>
      </c>
      <c r="J28" s="124">
        <f t="shared" si="6"/>
        <v>9.0555225747990693E-3</v>
      </c>
    </row>
    <row r="29" spans="1:10" s="1" customFormat="1" x14ac:dyDescent="0.2">
      <c r="A29" s="107" t="s">
        <v>43</v>
      </c>
      <c r="B29" s="73">
        <f>B9</f>
        <v>1409.0079999999998</v>
      </c>
      <c r="C29" s="34">
        <v>2.0999999999999999E-3</v>
      </c>
      <c r="D29" s="22">
        <f>B29*C29</f>
        <v>2.9589167999999995</v>
      </c>
      <c r="E29" s="73">
        <f t="shared" si="4"/>
        <v>1409.0079999999998</v>
      </c>
      <c r="F29" s="34">
        <v>2.0999999999999999E-3</v>
      </c>
      <c r="G29" s="22">
        <f>E29*F29</f>
        <v>2.9589167999999995</v>
      </c>
      <c r="H29" s="22">
        <f>G29-D29</f>
        <v>0</v>
      </c>
      <c r="I29" s="23">
        <f t="shared" si="7"/>
        <v>0</v>
      </c>
      <c r="J29" s="124">
        <f t="shared" si="6"/>
        <v>5.2823881686327907E-3</v>
      </c>
    </row>
    <row r="30" spans="1:10" x14ac:dyDescent="0.2">
      <c r="A30" s="107" t="s">
        <v>96</v>
      </c>
      <c r="B30" s="73">
        <f>B9</f>
        <v>1409.0079999999998</v>
      </c>
      <c r="C30" s="34">
        <v>0</v>
      </c>
      <c r="D30" s="22">
        <f>B30*C30</f>
        <v>0</v>
      </c>
      <c r="E30" s="73">
        <f t="shared" si="4"/>
        <v>1409.0079999999998</v>
      </c>
      <c r="F30" s="34">
        <v>0</v>
      </c>
      <c r="G30" s="22">
        <f>E30*F30</f>
        <v>0</v>
      </c>
      <c r="H30" s="22">
        <f>G30-D30</f>
        <v>0</v>
      </c>
      <c r="I30" s="23" t="str">
        <f t="shared" si="7"/>
        <v>N/A</v>
      </c>
      <c r="J30" s="124">
        <f>G30/$G$38</f>
        <v>0</v>
      </c>
    </row>
    <row r="31" spans="1:10" x14ac:dyDescent="0.2">
      <c r="A31" s="107" t="s">
        <v>44</v>
      </c>
      <c r="B31" s="73">
        <v>1</v>
      </c>
      <c r="C31" s="22">
        <v>0.25</v>
      </c>
      <c r="D31" s="22">
        <f>B31*C31</f>
        <v>0.25</v>
      </c>
      <c r="E31" s="73">
        <f t="shared" si="4"/>
        <v>1</v>
      </c>
      <c r="F31" s="22">
        <f>C31</f>
        <v>0.25</v>
      </c>
      <c r="G31" s="22">
        <f>E31*F31</f>
        <v>0.25</v>
      </c>
      <c r="H31" s="22">
        <f t="shared" si="2"/>
        <v>0</v>
      </c>
      <c r="I31" s="23">
        <f t="shared" si="7"/>
        <v>0</v>
      </c>
      <c r="J31" s="124">
        <f t="shared" ref="J31:J38" si="8">G31/$G$38</f>
        <v>4.4631097506972749E-4</v>
      </c>
    </row>
    <row r="32" spans="1:10" x14ac:dyDescent="0.2">
      <c r="A32" s="110" t="s">
        <v>45</v>
      </c>
      <c r="B32" s="74"/>
      <c r="C32" s="35"/>
      <c r="D32" s="35">
        <f>SUM(D28:D31)</f>
        <v>8.2813455999999981</v>
      </c>
      <c r="E32" s="73"/>
      <c r="F32" s="35"/>
      <c r="G32" s="35">
        <f>SUM(G28:G31)</f>
        <v>8.2813455999999981</v>
      </c>
      <c r="H32" s="35">
        <f t="shared" si="2"/>
        <v>0</v>
      </c>
      <c r="I32" s="36">
        <f t="shared" si="7"/>
        <v>0</v>
      </c>
      <c r="J32" s="111">
        <f t="shared" si="8"/>
        <v>1.4784221718501587E-2</v>
      </c>
    </row>
    <row r="33" spans="1:10" ht="13.5" thickBot="1" x14ac:dyDescent="0.25">
      <c r="A33" s="112" t="s">
        <v>46</v>
      </c>
      <c r="B33" s="113">
        <f>B4</f>
        <v>1328</v>
      </c>
      <c r="C33" s="114">
        <v>7.0000000000000001E-3</v>
      </c>
      <c r="D33" s="115">
        <f>B33*C33</f>
        <v>9.2959999999999994</v>
      </c>
      <c r="E33" s="116">
        <f t="shared" si="4"/>
        <v>1328</v>
      </c>
      <c r="F33" s="114">
        <f>C33</f>
        <v>7.0000000000000001E-3</v>
      </c>
      <c r="G33" s="115">
        <f>E33*F33</f>
        <v>9.2959999999999994</v>
      </c>
      <c r="H33" s="115">
        <f t="shared" si="2"/>
        <v>0</v>
      </c>
      <c r="I33" s="117">
        <f t="shared" si="7"/>
        <v>0</v>
      </c>
      <c r="J33" s="118">
        <f t="shared" si="8"/>
        <v>1.6595627296992745E-2</v>
      </c>
    </row>
    <row r="34" spans="1:10" x14ac:dyDescent="0.2">
      <c r="A34" s="37" t="s">
        <v>111</v>
      </c>
      <c r="B34" s="38"/>
      <c r="C34" s="39"/>
      <c r="D34" s="39">
        <f>SUM(D15,D23,D26,D32,D33)</f>
        <v>485.01199799999995</v>
      </c>
      <c r="E34" s="38"/>
      <c r="F34" s="39"/>
      <c r="G34" s="39">
        <f>SUM(G15,G23,G26,G32,G33)</f>
        <v>495.70579799999996</v>
      </c>
      <c r="H34" s="39">
        <f t="shared" si="2"/>
        <v>10.69380000000001</v>
      </c>
      <c r="I34" s="40">
        <f t="shared" si="7"/>
        <v>2.2048526725312084E-2</v>
      </c>
      <c r="J34" s="41">
        <f t="shared" si="8"/>
        <v>0.88495575221238942</v>
      </c>
    </row>
    <row r="35" spans="1:10" x14ac:dyDescent="0.2">
      <c r="A35" s="46" t="s">
        <v>102</v>
      </c>
      <c r="B35" s="43"/>
      <c r="C35" s="26">
        <v>0.13</v>
      </c>
      <c r="D35" s="26">
        <f>D34*C35</f>
        <v>63.051559739999995</v>
      </c>
      <c r="E35" s="26"/>
      <c r="F35" s="26">
        <f>C35</f>
        <v>0.13</v>
      </c>
      <c r="G35" s="26">
        <f>G34*F35</f>
        <v>64.441753739999996</v>
      </c>
      <c r="H35" s="26">
        <f t="shared" si="2"/>
        <v>1.390194000000001</v>
      </c>
      <c r="I35" s="44">
        <f t="shared" si="7"/>
        <v>2.204852672531208E-2</v>
      </c>
      <c r="J35" s="45">
        <f t="shared" si="8"/>
        <v>0.11504424778761063</v>
      </c>
    </row>
    <row r="36" spans="1:10" x14ac:dyDescent="0.2">
      <c r="A36" s="46" t="s">
        <v>103</v>
      </c>
      <c r="B36" s="24"/>
      <c r="C36" s="25"/>
      <c r="D36" s="25">
        <f>SUM(D34:D35)</f>
        <v>548.06355773999996</v>
      </c>
      <c r="E36" s="25"/>
      <c r="F36" s="25"/>
      <c r="G36" s="25">
        <f>SUM(G34:G35)</f>
        <v>560.14755173999993</v>
      </c>
      <c r="H36" s="25">
        <f t="shared" si="2"/>
        <v>12.083993999999961</v>
      </c>
      <c r="I36" s="27">
        <f t="shared" si="7"/>
        <v>2.2048526725311993E-2</v>
      </c>
      <c r="J36" s="47">
        <f t="shared" si="8"/>
        <v>1</v>
      </c>
    </row>
    <row r="37" spans="1:10" x14ac:dyDescent="0.2">
      <c r="A37" s="46" t="s">
        <v>104</v>
      </c>
      <c r="B37" s="43"/>
      <c r="C37" s="26">
        <v>0</v>
      </c>
      <c r="D37" s="26">
        <f>D34*C37</f>
        <v>0</v>
      </c>
      <c r="E37" s="26"/>
      <c r="F37" s="26">
        <f>C37</f>
        <v>0</v>
      </c>
      <c r="G37" s="26">
        <f>G34*F37</f>
        <v>0</v>
      </c>
      <c r="H37" s="26">
        <f t="shared" si="2"/>
        <v>0</v>
      </c>
      <c r="I37" s="44" t="str">
        <f t="shared" si="7"/>
        <v>N/A</v>
      </c>
      <c r="J37" s="45">
        <f t="shared" si="8"/>
        <v>0</v>
      </c>
    </row>
    <row r="38" spans="1:10" ht="13.5" thickBot="1" x14ac:dyDescent="0.25">
      <c r="A38" s="46" t="s">
        <v>105</v>
      </c>
      <c r="B38" s="49"/>
      <c r="C38" s="50"/>
      <c r="D38" s="50">
        <f>SUM(D36:D37)</f>
        <v>548.06355773999996</v>
      </c>
      <c r="E38" s="50"/>
      <c r="F38" s="50"/>
      <c r="G38" s="50">
        <f>SUM(G36:G37)</f>
        <v>560.14755173999993</v>
      </c>
      <c r="H38" s="50">
        <f t="shared" si="2"/>
        <v>12.083993999999961</v>
      </c>
      <c r="I38" s="51">
        <f t="shared" si="7"/>
        <v>2.2048526725311993E-2</v>
      </c>
      <c r="J38" s="52">
        <f t="shared" si="8"/>
        <v>1</v>
      </c>
    </row>
    <row r="39" spans="1:10" x14ac:dyDescent="0.2">
      <c r="A39" s="168"/>
      <c r="F39" s="69"/>
      <c r="G39" s="128"/>
    </row>
    <row r="40" spans="1:10" x14ac:dyDescent="0.2">
      <c r="A40" s="168"/>
      <c r="F40" s="131"/>
    </row>
    <row r="41" spans="1:10" x14ac:dyDescent="0.2">
      <c r="A41" s="168"/>
      <c r="F41" s="129"/>
    </row>
    <row r="42" spans="1:10" x14ac:dyDescent="0.2">
      <c r="A42" s="168"/>
      <c r="F42" s="130"/>
      <c r="G42" s="128"/>
      <c r="H42" s="128"/>
    </row>
    <row r="43" spans="1:10" x14ac:dyDescent="0.2">
      <c r="A43" s="168"/>
      <c r="F43" s="129"/>
      <c r="G43" s="128"/>
    </row>
  </sheetData>
  <mergeCells count="1">
    <mergeCell ref="A1:J1"/>
  </mergeCells>
  <dataValidations count="1">
    <dataValidation type="list" allowBlank="1" showInputMessage="1" showErrorMessage="1" sqref="WVI983034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B131064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B196600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B262136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B327672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B393208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B458744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B524280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B589816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B655352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B720888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B786424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B851960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B917496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B983032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formula1>Demand</formula1>
    </dataValidation>
  </dataValidation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1" tint="0.499984740745262"/>
    <pageSetUpPr fitToPage="1"/>
  </sheetPr>
  <dimension ref="A1:J43"/>
  <sheetViews>
    <sheetView tabSelected="1" view="pageLayout" topLeftCell="A22"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120</v>
      </c>
      <c r="B1" s="189"/>
      <c r="C1" s="189"/>
      <c r="D1" s="189"/>
      <c r="E1" s="189"/>
      <c r="F1" s="189"/>
      <c r="G1" s="189"/>
      <c r="H1" s="189"/>
      <c r="I1" s="189"/>
      <c r="J1" s="190"/>
    </row>
    <row r="3" spans="1:10" x14ac:dyDescent="0.2">
      <c r="A3" s="13" t="s">
        <v>13</v>
      </c>
      <c r="B3" s="13" t="s">
        <v>47</v>
      </c>
    </row>
    <row r="4" spans="1:10" x14ac:dyDescent="0.2">
      <c r="A4" s="15" t="s">
        <v>62</v>
      </c>
      <c r="B4" s="79">
        <v>5000</v>
      </c>
    </row>
    <row r="5" spans="1:10" x14ac:dyDescent="0.2">
      <c r="A5" s="15" t="s">
        <v>16</v>
      </c>
      <c r="B5" s="79">
        <v>100</v>
      </c>
    </row>
    <row r="6" spans="1:10" x14ac:dyDescent="0.2">
      <c r="A6" s="15" t="s">
        <v>20</v>
      </c>
      <c r="B6" s="80">
        <f>VLOOKUP($B$3,'Data for Bill Impacts'!$A$3:$Y$15,2,0)</f>
        <v>1.0609999999999999</v>
      </c>
    </row>
    <row r="7" spans="1:10" x14ac:dyDescent="0.2">
      <c r="A7" s="81" t="s">
        <v>48</v>
      </c>
      <c r="B7" s="82">
        <f>B4/(B5*730)</f>
        <v>6.8493150684931503E-2</v>
      </c>
    </row>
    <row r="8" spans="1:10" x14ac:dyDescent="0.2">
      <c r="A8" s="15" t="s">
        <v>15</v>
      </c>
      <c r="B8" s="79">
        <f>VLOOKUP($B$3,'Data for Bill Impacts'!$A$3:$Y$15,4,0)</f>
        <v>0</v>
      </c>
    </row>
    <row r="9" spans="1:10" x14ac:dyDescent="0.2">
      <c r="A9" s="15" t="s">
        <v>82</v>
      </c>
      <c r="B9" s="79">
        <f>B4*B6</f>
        <v>5305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5305</v>
      </c>
      <c r="C13" s="103">
        <v>9.0999999999999998E-2</v>
      </c>
      <c r="D13" s="104">
        <f>B13*C13</f>
        <v>482.755</v>
      </c>
      <c r="E13" s="102">
        <f>B13</f>
        <v>5305</v>
      </c>
      <c r="F13" s="103">
        <f>C13</f>
        <v>9.0999999999999998E-2</v>
      </c>
      <c r="G13" s="104">
        <f>E13*F13</f>
        <v>482.755</v>
      </c>
      <c r="H13" s="104">
        <f>G13-D13</f>
        <v>0</v>
      </c>
      <c r="I13" s="105">
        <f t="shared" ref="I13:I18" si="0">IF(ISERROR(H13/ABS(D13)),"N/A",(H13/ABS(D13)))</f>
        <v>0</v>
      </c>
      <c r="J13" s="123">
        <f t="shared" ref="J13:J21" si="1">G13/$G$38</f>
        <v>0.22169905009084168</v>
      </c>
    </row>
    <row r="14" spans="1:10" x14ac:dyDescent="0.2">
      <c r="A14" s="107" t="s">
        <v>32</v>
      </c>
      <c r="B14" s="73">
        <v>0</v>
      </c>
      <c r="C14" s="21">
        <v>0.106</v>
      </c>
      <c r="D14" s="22">
        <f>B14*C14</f>
        <v>0</v>
      </c>
      <c r="E14" s="73">
        <f>B14</f>
        <v>0</v>
      </c>
      <c r="F14" s="21">
        <f>C14</f>
        <v>0.106</v>
      </c>
      <c r="G14" s="22">
        <f>E14*F14</f>
        <v>0</v>
      </c>
      <c r="H14" s="22">
        <f t="shared" ref="H14:H38" si="2">G14-D14</f>
        <v>0</v>
      </c>
      <c r="I14" s="23" t="str">
        <f t="shared" si="0"/>
        <v>N/A</v>
      </c>
      <c r="J14" s="124">
        <f t="shared" si="1"/>
        <v>0</v>
      </c>
    </row>
    <row r="15" spans="1:10" s="1" customFormat="1" x14ac:dyDescent="0.2">
      <c r="A15" s="46" t="s">
        <v>33</v>
      </c>
      <c r="B15" s="24"/>
      <c r="C15" s="25"/>
      <c r="D15" s="25">
        <f>SUM(D13:D14)</f>
        <v>482.755</v>
      </c>
      <c r="E15" s="76"/>
      <c r="F15" s="25"/>
      <c r="G15" s="25">
        <f>SUM(G13:G14)</f>
        <v>482.755</v>
      </c>
      <c r="H15" s="25">
        <f t="shared" si="2"/>
        <v>0</v>
      </c>
      <c r="I15" s="27">
        <f t="shared" si="0"/>
        <v>0</v>
      </c>
      <c r="J15" s="47">
        <f t="shared" si="1"/>
        <v>0.22169905009084168</v>
      </c>
    </row>
    <row r="16" spans="1:10" s="1" customFormat="1" x14ac:dyDescent="0.2">
      <c r="A16" s="107" t="s">
        <v>38</v>
      </c>
      <c r="B16" s="73">
        <v>1</v>
      </c>
      <c r="C16" s="78">
        <f>VLOOKUP($B$3,'Data for Bill Impacts'!$A$3:$Y$15,7,0)</f>
        <v>196.16</v>
      </c>
      <c r="D16" s="22">
        <f t="shared" ref="D16:D22" si="3">B16*C16</f>
        <v>196.16</v>
      </c>
      <c r="E16" s="73">
        <f t="shared" ref="E16:E33" si="4">B16</f>
        <v>1</v>
      </c>
      <c r="F16" s="78">
        <f>VLOOKUP($B$3,'Data for Bill Impacts'!$A$3:$Y$15,17,0)</f>
        <v>196.16</v>
      </c>
      <c r="G16" s="22">
        <f t="shared" ref="G16:G22" si="5">E16*F16</f>
        <v>196.16</v>
      </c>
      <c r="H16" s="22">
        <f t="shared" si="2"/>
        <v>0</v>
      </c>
      <c r="I16" s="23">
        <f t="shared" si="0"/>
        <v>0</v>
      </c>
      <c r="J16" s="124">
        <f t="shared" si="1"/>
        <v>9.0083967366095641E-2</v>
      </c>
    </row>
    <row r="17" spans="1:10" hidden="1" x14ac:dyDescent="0.2">
      <c r="A17" s="107" t="s">
        <v>83</v>
      </c>
      <c r="B17" s="73">
        <v>1</v>
      </c>
      <c r="C17" s="78">
        <v>0</v>
      </c>
      <c r="D17" s="22">
        <f t="shared" si="3"/>
        <v>0</v>
      </c>
      <c r="E17" s="73">
        <f t="shared" si="4"/>
        <v>1</v>
      </c>
      <c r="F17" s="78">
        <v>0</v>
      </c>
      <c r="G17" s="22">
        <f t="shared" si="5"/>
        <v>0</v>
      </c>
      <c r="H17" s="22">
        <f t="shared" si="2"/>
        <v>0</v>
      </c>
      <c r="I17" s="23" t="str">
        <f t="shared" si="0"/>
        <v>N/A</v>
      </c>
      <c r="J17" s="124">
        <f t="shared" si="1"/>
        <v>0</v>
      </c>
    </row>
    <row r="18" spans="1:10" hidden="1" x14ac:dyDescent="0.2">
      <c r="A18" s="107" t="s">
        <v>84</v>
      </c>
      <c r="B18" s="73">
        <v>1</v>
      </c>
      <c r="C18" s="78">
        <v>0</v>
      </c>
      <c r="D18" s="22">
        <f t="shared" si="3"/>
        <v>0</v>
      </c>
      <c r="E18" s="73">
        <f t="shared" si="4"/>
        <v>1</v>
      </c>
      <c r="F18" s="78">
        <v>0</v>
      </c>
      <c r="G18" s="22">
        <f t="shared" si="5"/>
        <v>0</v>
      </c>
      <c r="H18" s="22">
        <f t="shared" si="2"/>
        <v>0</v>
      </c>
      <c r="I18" s="23" t="str">
        <f t="shared" si="0"/>
        <v>N/A</v>
      </c>
      <c r="J18" s="124">
        <f t="shared" si="1"/>
        <v>0</v>
      </c>
    </row>
    <row r="19" spans="1:10" x14ac:dyDescent="0.2">
      <c r="A19" s="107" t="s">
        <v>85</v>
      </c>
      <c r="B19" s="73">
        <v>1</v>
      </c>
      <c r="C19" s="121">
        <f>VLOOKUP($B$3,'Data for Bill Impacts'!$A$3:$Y$15,13,0)</f>
        <v>1.0999999999999999E-2</v>
      </c>
      <c r="D19" s="22">
        <f t="shared" si="3"/>
        <v>1.0999999999999999E-2</v>
      </c>
      <c r="E19" s="73">
        <f t="shared" si="4"/>
        <v>1</v>
      </c>
      <c r="F19" s="121">
        <f>VLOOKUP($B$3,'Data for Bill Impacts'!$A$3:$Y$15,22,0)</f>
        <v>1.0999999999999999E-2</v>
      </c>
      <c r="G19" s="22">
        <f t="shared" si="5"/>
        <v>1.0999999999999999E-2</v>
      </c>
      <c r="H19" s="22">
        <f t="shared" si="2"/>
        <v>0</v>
      </c>
      <c r="I19" s="23">
        <f>IF(ISERROR(H19/ABS(D19)),"N/A",(H19/ABS(D19)))</f>
        <v>0</v>
      </c>
      <c r="J19" s="124">
        <f t="shared" si="1"/>
        <v>5.0516090998524261E-6</v>
      </c>
    </row>
    <row r="20" spans="1:10" x14ac:dyDescent="0.2">
      <c r="A20" s="107" t="s">
        <v>39</v>
      </c>
      <c r="B20" s="73">
        <f>IF($B$10="kWh",$B$4,$B$5)</f>
        <v>100</v>
      </c>
      <c r="C20" s="125">
        <f>VLOOKUP($B$3,'Data for Bill Impacts'!$A$3:$Y$15,10,0)</f>
        <v>9.8219999999999992</v>
      </c>
      <c r="D20" s="22">
        <f t="shared" si="3"/>
        <v>982.19999999999993</v>
      </c>
      <c r="E20" s="73">
        <f t="shared" si="4"/>
        <v>100</v>
      </c>
      <c r="F20" s="125">
        <f>VLOOKUP($B$3,'Data for Bill Impacts'!$A$3:$Y$15,19,0)</f>
        <v>10.644600000000001</v>
      </c>
      <c r="G20" s="22">
        <f t="shared" si="5"/>
        <v>1064.46</v>
      </c>
      <c r="H20" s="22">
        <f t="shared" si="2"/>
        <v>82.260000000000105</v>
      </c>
      <c r="I20" s="23">
        <f>IF(ISERROR(H20/D20),0,(H20/D20))</f>
        <v>8.3750763591936575E-2</v>
      </c>
      <c r="J20" s="124">
        <f t="shared" si="1"/>
        <v>0.4888396202208104</v>
      </c>
    </row>
    <row r="21" spans="1:10" s="1" customFormat="1" x14ac:dyDescent="0.2">
      <c r="A21" s="107" t="s">
        <v>121</v>
      </c>
      <c r="B21" s="73">
        <f>IF($B$10="kWh",$B$4,$B$5)</f>
        <v>100</v>
      </c>
      <c r="C21" s="125">
        <f>VLOOKUP($B$3,'Data for Bill Impacts'!$A$3:$Y$15,14,0)</f>
        <v>2.82E-3</v>
      </c>
      <c r="D21" s="22">
        <f t="shared" si="3"/>
        <v>0.28200000000000003</v>
      </c>
      <c r="E21" s="73">
        <f t="shared" si="4"/>
        <v>100</v>
      </c>
      <c r="F21" s="125">
        <f>VLOOKUP($B$3,'Data for Bill Impacts'!$A$3:$Y$15,23,0)</f>
        <v>2.82E-3</v>
      </c>
      <c r="G21" s="22">
        <f t="shared" si="5"/>
        <v>0.28200000000000003</v>
      </c>
      <c r="H21" s="22">
        <f t="shared" si="2"/>
        <v>0</v>
      </c>
      <c r="I21" s="23">
        <f>IF(ISERROR(H21/D21),0,(H21/D21))</f>
        <v>0</v>
      </c>
      <c r="J21" s="124">
        <f t="shared" si="1"/>
        <v>1.2950488783258042E-4</v>
      </c>
    </row>
    <row r="22" spans="1:10" s="1" customFormat="1" x14ac:dyDescent="0.2">
      <c r="A22" s="107" t="s">
        <v>108</v>
      </c>
      <c r="B22" s="73">
        <f>B9</f>
        <v>5305</v>
      </c>
      <c r="C22" s="125">
        <f>VLOOKUP($B$3,'Data for Bill Impacts'!$A$3:$Y$15,20,0)</f>
        <v>0</v>
      </c>
      <c r="D22" s="22">
        <f t="shared" si="3"/>
        <v>0</v>
      </c>
      <c r="E22" s="73">
        <f>B22</f>
        <v>5305</v>
      </c>
      <c r="F22" s="125">
        <f>VLOOKUP($B$3,'Data for Bill Impacts'!$A$3:$Y$15,21,0)</f>
        <v>0</v>
      </c>
      <c r="G22" s="22">
        <f t="shared" si="5"/>
        <v>0</v>
      </c>
      <c r="H22" s="22">
        <f>G22-D22</f>
        <v>0</v>
      </c>
      <c r="I22" s="23" t="str">
        <f t="shared" ref="I22:I38" si="6">IF(ISERROR(H22/ABS(D22)),"N/A",(H22/ABS(D22)))</f>
        <v>N/A</v>
      </c>
      <c r="J22" s="124">
        <f>G22/$G$38</f>
        <v>0</v>
      </c>
    </row>
    <row r="23" spans="1:10" x14ac:dyDescent="0.2">
      <c r="A23" s="110" t="s">
        <v>93</v>
      </c>
      <c r="B23" s="74"/>
      <c r="C23" s="35"/>
      <c r="D23" s="35">
        <f>SUM(D16:D22)</f>
        <v>1178.6529999999998</v>
      </c>
      <c r="E23" s="73"/>
      <c r="F23" s="35"/>
      <c r="G23" s="35">
        <f>SUM(G16:G22)</f>
        <v>1260.913</v>
      </c>
      <c r="H23" s="35">
        <f t="shared" si="2"/>
        <v>82.260000000000218</v>
      </c>
      <c r="I23" s="36">
        <f t="shared" si="6"/>
        <v>6.979153321630728E-2</v>
      </c>
      <c r="J23" s="111">
        <f t="shared" ref="J23:J29" si="7">G23/$G$38</f>
        <v>0.57905814408383849</v>
      </c>
    </row>
    <row r="24" spans="1:10" x14ac:dyDescent="0.2">
      <c r="A24" s="107" t="s">
        <v>40</v>
      </c>
      <c r="B24" s="73">
        <f>B5</f>
        <v>100</v>
      </c>
      <c r="C24" s="125">
        <f>VLOOKUP($B$3,'Data for Bill Impacts'!$A$3:$Y$15,15,0)</f>
        <v>0.63108279999999994</v>
      </c>
      <c r="D24" s="22">
        <f>B24*C24</f>
        <v>63.108279999999993</v>
      </c>
      <c r="E24" s="73">
        <f t="shared" si="4"/>
        <v>100</v>
      </c>
      <c r="F24" s="125">
        <f>VLOOKUP($B$3,'Data for Bill Impacts'!$A$3:$Y$15,24,0)</f>
        <v>0.63108279999999994</v>
      </c>
      <c r="G24" s="22">
        <f>E24*F24</f>
        <v>63.108279999999993</v>
      </c>
      <c r="H24" s="22">
        <f t="shared" si="2"/>
        <v>0</v>
      </c>
      <c r="I24" s="23">
        <f t="shared" si="6"/>
        <v>0</v>
      </c>
      <c r="J24" s="124">
        <f t="shared" si="7"/>
        <v>2.8981669229457715E-2</v>
      </c>
    </row>
    <row r="25" spans="1:10" s="1" customFormat="1" x14ac:dyDescent="0.2">
      <c r="A25" s="107" t="s">
        <v>41</v>
      </c>
      <c r="B25" s="73">
        <f>B5</f>
        <v>100</v>
      </c>
      <c r="C25" s="125">
        <f>VLOOKUP($B$3,'Data for Bill Impacts'!$A$3:$Y$15,16,0)</f>
        <v>0.54747599999999996</v>
      </c>
      <c r="D25" s="22">
        <f>B25*C25</f>
        <v>54.747599999999998</v>
      </c>
      <c r="E25" s="73">
        <f t="shared" si="4"/>
        <v>100</v>
      </c>
      <c r="F25" s="125">
        <f>VLOOKUP($B$3,'Data for Bill Impacts'!$A$3:$Y$15,25,0)</f>
        <v>0.54747599999999996</v>
      </c>
      <c r="G25" s="22">
        <f>E25*F25</f>
        <v>54.747599999999998</v>
      </c>
      <c r="H25" s="22">
        <f t="shared" si="2"/>
        <v>0</v>
      </c>
      <c r="I25" s="23">
        <f t="shared" si="6"/>
        <v>0</v>
      </c>
      <c r="J25" s="124">
        <f t="shared" si="7"/>
        <v>2.5142134032280064E-2</v>
      </c>
    </row>
    <row r="26" spans="1:10" x14ac:dyDescent="0.2">
      <c r="A26" s="110" t="s">
        <v>76</v>
      </c>
      <c r="B26" s="74"/>
      <c r="C26" s="35"/>
      <c r="D26" s="35">
        <f>SUM(D24:D25)</f>
        <v>117.85587999999998</v>
      </c>
      <c r="E26" s="73"/>
      <c r="F26" s="35"/>
      <c r="G26" s="35">
        <f>SUM(G24:G25)</f>
        <v>117.85587999999998</v>
      </c>
      <c r="H26" s="35">
        <f t="shared" si="2"/>
        <v>0</v>
      </c>
      <c r="I26" s="36">
        <f t="shared" si="6"/>
        <v>0</v>
      </c>
      <c r="J26" s="111">
        <f t="shared" si="7"/>
        <v>5.4123803261737775E-2</v>
      </c>
    </row>
    <row r="27" spans="1:10" s="1" customFormat="1" x14ac:dyDescent="0.2">
      <c r="A27" s="110" t="s">
        <v>80</v>
      </c>
      <c r="B27" s="74"/>
      <c r="C27" s="35"/>
      <c r="D27" s="35">
        <f>D23+D26</f>
        <v>1296.5088799999999</v>
      </c>
      <c r="E27" s="73"/>
      <c r="F27" s="35"/>
      <c r="G27" s="35">
        <f>G23+G26</f>
        <v>1378.7688800000001</v>
      </c>
      <c r="H27" s="35">
        <f t="shared" si="2"/>
        <v>82.260000000000218</v>
      </c>
      <c r="I27" s="36">
        <f t="shared" si="6"/>
        <v>6.3447309362046345E-2</v>
      </c>
      <c r="J27" s="111">
        <f t="shared" si="7"/>
        <v>0.63318194734557631</v>
      </c>
    </row>
    <row r="28" spans="1:10" x14ac:dyDescent="0.2">
      <c r="A28" s="107" t="s">
        <v>42</v>
      </c>
      <c r="B28" s="73">
        <f>B9</f>
        <v>5305</v>
      </c>
      <c r="C28" s="34">
        <v>3.5999999999999999E-3</v>
      </c>
      <c r="D28" s="22">
        <f>B28*C28</f>
        <v>19.097999999999999</v>
      </c>
      <c r="E28" s="73">
        <f t="shared" si="4"/>
        <v>5305</v>
      </c>
      <c r="F28" s="34">
        <v>3.5999999999999999E-3</v>
      </c>
      <c r="G28" s="22">
        <f>E28*F28</f>
        <v>19.097999999999999</v>
      </c>
      <c r="H28" s="22">
        <f t="shared" si="2"/>
        <v>0</v>
      </c>
      <c r="I28" s="23">
        <f t="shared" si="6"/>
        <v>0</v>
      </c>
      <c r="J28" s="124">
        <f t="shared" si="7"/>
        <v>8.7705118717256031E-3</v>
      </c>
    </row>
    <row r="29" spans="1:10" x14ac:dyDescent="0.2">
      <c r="A29" s="107" t="s">
        <v>43</v>
      </c>
      <c r="B29" s="73">
        <f>B9</f>
        <v>5305</v>
      </c>
      <c r="C29" s="34">
        <v>2.0999999999999999E-3</v>
      </c>
      <c r="D29" s="22">
        <f>B29*C29</f>
        <v>11.140499999999999</v>
      </c>
      <c r="E29" s="73">
        <f t="shared" si="4"/>
        <v>5305</v>
      </c>
      <c r="F29" s="34">
        <v>2.0999999999999999E-3</v>
      </c>
      <c r="G29" s="22">
        <f>E29*F29</f>
        <v>11.140499999999999</v>
      </c>
      <c r="H29" s="22">
        <f>G29-D29</f>
        <v>0</v>
      </c>
      <c r="I29" s="23">
        <f t="shared" si="6"/>
        <v>0</v>
      </c>
      <c r="J29" s="124">
        <f t="shared" si="7"/>
        <v>5.116131925173269E-3</v>
      </c>
    </row>
    <row r="30" spans="1:10" x14ac:dyDescent="0.2">
      <c r="A30" s="107" t="s">
        <v>96</v>
      </c>
      <c r="B30" s="73">
        <f>B9</f>
        <v>5305</v>
      </c>
      <c r="C30" s="34">
        <v>0</v>
      </c>
      <c r="D30" s="22">
        <f>B30*C30</f>
        <v>0</v>
      </c>
      <c r="E30" s="73">
        <f t="shared" si="4"/>
        <v>5305</v>
      </c>
      <c r="F30" s="34">
        <v>0</v>
      </c>
      <c r="G30" s="22">
        <f>E30*F30</f>
        <v>0</v>
      </c>
      <c r="H30" s="22">
        <f>G30-D30</f>
        <v>0</v>
      </c>
      <c r="I30" s="23" t="str">
        <f t="shared" si="6"/>
        <v>N/A</v>
      </c>
      <c r="J30" s="124">
        <f>G30/$G$38</f>
        <v>0</v>
      </c>
    </row>
    <row r="31" spans="1:10" x14ac:dyDescent="0.2">
      <c r="A31" s="107" t="s">
        <v>44</v>
      </c>
      <c r="B31" s="73">
        <v>1</v>
      </c>
      <c r="C31" s="22">
        <v>0.25</v>
      </c>
      <c r="D31" s="22">
        <f>B31*C31</f>
        <v>0.25</v>
      </c>
      <c r="E31" s="73">
        <f t="shared" si="4"/>
        <v>1</v>
      </c>
      <c r="F31" s="22">
        <f>C31</f>
        <v>0.25</v>
      </c>
      <c r="G31" s="22">
        <f>E31*F31</f>
        <v>0.25</v>
      </c>
      <c r="H31" s="22">
        <f t="shared" si="2"/>
        <v>0</v>
      </c>
      <c r="I31" s="23">
        <f t="shared" si="6"/>
        <v>0</v>
      </c>
      <c r="J31" s="124">
        <f t="shared" ref="J31:J38" si="8">G31/$G$38</f>
        <v>1.1480929772391879E-4</v>
      </c>
    </row>
    <row r="32" spans="1:10" x14ac:dyDescent="0.2">
      <c r="A32" s="110" t="s">
        <v>45</v>
      </c>
      <c r="B32" s="74"/>
      <c r="C32" s="35"/>
      <c r="D32" s="35">
        <f>SUM(D28:D31)</f>
        <v>30.488499999999998</v>
      </c>
      <c r="E32" s="73"/>
      <c r="F32" s="35"/>
      <c r="G32" s="35">
        <f>SUM(G28:G31)</f>
        <v>30.488499999999998</v>
      </c>
      <c r="H32" s="35">
        <f t="shared" si="2"/>
        <v>0</v>
      </c>
      <c r="I32" s="36">
        <f t="shared" si="6"/>
        <v>0</v>
      </c>
      <c r="J32" s="111">
        <f t="shared" si="8"/>
        <v>1.4001453094622791E-2</v>
      </c>
    </row>
    <row r="33" spans="1:10" ht="13.5" thickBot="1" x14ac:dyDescent="0.25">
      <c r="A33" s="112" t="s">
        <v>46</v>
      </c>
      <c r="B33" s="113">
        <f>B4</f>
        <v>5000</v>
      </c>
      <c r="C33" s="114">
        <v>7.0000000000000001E-3</v>
      </c>
      <c r="D33" s="115">
        <f>B33*C33</f>
        <v>35</v>
      </c>
      <c r="E33" s="116">
        <f t="shared" si="4"/>
        <v>5000</v>
      </c>
      <c r="F33" s="114">
        <f>C33</f>
        <v>7.0000000000000001E-3</v>
      </c>
      <c r="G33" s="115">
        <f>E33*F33</f>
        <v>35</v>
      </c>
      <c r="H33" s="115">
        <f t="shared" si="2"/>
        <v>0</v>
      </c>
      <c r="I33" s="117">
        <f t="shared" si="6"/>
        <v>0</v>
      </c>
      <c r="J33" s="118">
        <f t="shared" si="8"/>
        <v>1.6073301681348632E-2</v>
      </c>
    </row>
    <row r="34" spans="1:10" x14ac:dyDescent="0.2">
      <c r="A34" s="37" t="s">
        <v>111</v>
      </c>
      <c r="B34" s="38"/>
      <c r="C34" s="39"/>
      <c r="D34" s="39">
        <f>SUM(D15,D23,D26,D32,D33)</f>
        <v>1844.7523799999999</v>
      </c>
      <c r="E34" s="38"/>
      <c r="F34" s="39"/>
      <c r="G34" s="39">
        <f>SUM(G15,G23,G26,G32,G33)</f>
        <v>1927.0123800000001</v>
      </c>
      <c r="H34" s="39">
        <f t="shared" si="2"/>
        <v>82.260000000000218</v>
      </c>
      <c r="I34" s="40">
        <f t="shared" si="6"/>
        <v>4.459135052044233E-2</v>
      </c>
      <c r="J34" s="41">
        <f t="shared" si="8"/>
        <v>0.88495575221238942</v>
      </c>
    </row>
    <row r="35" spans="1:10" x14ac:dyDescent="0.2">
      <c r="A35" s="46" t="s">
        <v>102</v>
      </c>
      <c r="B35" s="43"/>
      <c r="C35" s="26">
        <v>0.13</v>
      </c>
      <c r="D35" s="26">
        <f>D34*C35</f>
        <v>239.81780939999999</v>
      </c>
      <c r="E35" s="26"/>
      <c r="F35" s="26">
        <f>C35</f>
        <v>0.13</v>
      </c>
      <c r="G35" s="26">
        <f>G34*F35</f>
        <v>250.51160940000003</v>
      </c>
      <c r="H35" s="26">
        <f t="shared" si="2"/>
        <v>10.693800000000039</v>
      </c>
      <c r="I35" s="44">
        <f t="shared" si="6"/>
        <v>4.4591350520442372E-2</v>
      </c>
      <c r="J35" s="45">
        <f t="shared" si="8"/>
        <v>0.11504424778761063</v>
      </c>
    </row>
    <row r="36" spans="1:10" x14ac:dyDescent="0.2">
      <c r="A36" s="46" t="s">
        <v>103</v>
      </c>
      <c r="B36" s="24"/>
      <c r="C36" s="25"/>
      <c r="D36" s="25">
        <f>SUM(D34:D35)</f>
        <v>2084.5701893999999</v>
      </c>
      <c r="E36" s="25"/>
      <c r="F36" s="25"/>
      <c r="G36" s="25">
        <f>SUM(G34:G35)</f>
        <v>2177.5239894000001</v>
      </c>
      <c r="H36" s="25">
        <f t="shared" si="2"/>
        <v>92.953800000000228</v>
      </c>
      <c r="I36" s="27">
        <f t="shared" si="6"/>
        <v>4.4591350520442316E-2</v>
      </c>
      <c r="J36" s="47">
        <f t="shared" si="8"/>
        <v>1</v>
      </c>
    </row>
    <row r="37" spans="1:10" x14ac:dyDescent="0.2">
      <c r="A37" s="46" t="s">
        <v>104</v>
      </c>
      <c r="B37" s="43"/>
      <c r="C37" s="26">
        <v>0</v>
      </c>
      <c r="D37" s="26">
        <f>D34*C37</f>
        <v>0</v>
      </c>
      <c r="E37" s="26"/>
      <c r="F37" s="26">
        <f>C37</f>
        <v>0</v>
      </c>
      <c r="G37" s="26">
        <f>G34*F37</f>
        <v>0</v>
      </c>
      <c r="H37" s="26">
        <f t="shared" si="2"/>
        <v>0</v>
      </c>
      <c r="I37" s="44" t="str">
        <f t="shared" si="6"/>
        <v>N/A</v>
      </c>
      <c r="J37" s="45">
        <f t="shared" si="8"/>
        <v>0</v>
      </c>
    </row>
    <row r="38" spans="1:10" ht="13.5" thickBot="1" x14ac:dyDescent="0.25">
      <c r="A38" s="46" t="s">
        <v>105</v>
      </c>
      <c r="B38" s="49"/>
      <c r="C38" s="50"/>
      <c r="D38" s="50">
        <f>SUM(D36:D37)</f>
        <v>2084.5701893999999</v>
      </c>
      <c r="E38" s="50"/>
      <c r="F38" s="50"/>
      <c r="G38" s="50">
        <f>SUM(G36:G37)</f>
        <v>2177.5239894000001</v>
      </c>
      <c r="H38" s="50">
        <f t="shared" si="2"/>
        <v>92.953800000000228</v>
      </c>
      <c r="I38" s="51">
        <f t="shared" si="6"/>
        <v>4.4591350520442316E-2</v>
      </c>
      <c r="J38" s="52">
        <f t="shared" si="8"/>
        <v>1</v>
      </c>
    </row>
    <row r="39" spans="1:10" x14ac:dyDescent="0.2">
      <c r="A39" s="168"/>
      <c r="F39" s="69"/>
    </row>
    <row r="40" spans="1:10" x14ac:dyDescent="0.2">
      <c r="A40" s="168"/>
      <c r="F40" s="69"/>
    </row>
    <row r="41" spans="1:10" x14ac:dyDescent="0.2">
      <c r="A41" s="168"/>
    </row>
    <row r="42" spans="1:10" x14ac:dyDescent="0.2">
      <c r="A42" s="168"/>
    </row>
    <row r="43" spans="1:10" x14ac:dyDescent="0.2">
      <c r="A43" s="168"/>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1" tint="0.499984740745262"/>
    <pageSetUpPr fitToPage="1"/>
  </sheetPr>
  <dimension ref="A1:J43"/>
  <sheetViews>
    <sheetView tabSelected="1" view="pageLayout" topLeftCell="A4"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117</v>
      </c>
      <c r="B1" s="189"/>
      <c r="C1" s="189"/>
      <c r="D1" s="189"/>
      <c r="E1" s="189"/>
      <c r="F1" s="189"/>
      <c r="G1" s="189"/>
      <c r="H1" s="189"/>
      <c r="I1" s="189"/>
      <c r="J1" s="190"/>
    </row>
    <row r="3" spans="1:10" x14ac:dyDescent="0.2">
      <c r="A3" s="13" t="s">
        <v>13</v>
      </c>
      <c r="B3" s="13" t="s">
        <v>11</v>
      </c>
    </row>
    <row r="4" spans="1:10" x14ac:dyDescent="0.2">
      <c r="A4" s="15" t="s">
        <v>62</v>
      </c>
      <c r="B4" s="79">
        <v>200000</v>
      </c>
    </row>
    <row r="5" spans="1:10" x14ac:dyDescent="0.2">
      <c r="A5" s="15" t="s">
        <v>16</v>
      </c>
      <c r="B5" s="79">
        <v>500</v>
      </c>
    </row>
    <row r="6" spans="1:10" x14ac:dyDescent="0.2">
      <c r="A6" s="15" t="s">
        <v>20</v>
      </c>
      <c r="B6" s="80">
        <f>VLOOKUP($B$3,'Data for Bill Impacts'!$A$3:$Y$15,2,0)</f>
        <v>1.034</v>
      </c>
    </row>
    <row r="7" spans="1:10" x14ac:dyDescent="0.2">
      <c r="A7" s="81" t="s">
        <v>48</v>
      </c>
      <c r="B7" s="82">
        <f>B4/(B5*730)</f>
        <v>0.54794520547945202</v>
      </c>
    </row>
    <row r="8" spans="1:10" x14ac:dyDescent="0.2">
      <c r="A8" s="15" t="s">
        <v>15</v>
      </c>
      <c r="B8" s="79">
        <f>VLOOKUP($B$3,'Data for Bill Impacts'!$A$3:$Y$15,4,0)</f>
        <v>0</v>
      </c>
    </row>
    <row r="9" spans="1:10" x14ac:dyDescent="0.2">
      <c r="A9" s="15" t="s">
        <v>82</v>
      </c>
      <c r="B9" s="79">
        <f>B4*B6</f>
        <v>206800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206800</v>
      </c>
      <c r="C13" s="103">
        <v>9.0999999999999998E-2</v>
      </c>
      <c r="D13" s="104">
        <f>B13*C13</f>
        <v>18818.8</v>
      </c>
      <c r="E13" s="102">
        <f>B13</f>
        <v>206800</v>
      </c>
      <c r="F13" s="103">
        <f>C13</f>
        <v>9.0999999999999998E-2</v>
      </c>
      <c r="G13" s="104">
        <f>E13*F13</f>
        <v>18818.8</v>
      </c>
      <c r="H13" s="104">
        <f>G13-D13</f>
        <v>0</v>
      </c>
      <c r="I13" s="105">
        <f t="shared" ref="I13:I18" si="0">IF(ISERROR(H13/ABS(D13)),"N/A",(H13/ABS(D13)))</f>
        <v>0</v>
      </c>
      <c r="J13" s="123">
        <f t="shared" ref="J13:J27" si="1">G13/$G$36</f>
        <v>0.63225191041493245</v>
      </c>
    </row>
    <row r="14" spans="1:10" x14ac:dyDescent="0.2">
      <c r="A14" s="107" t="s">
        <v>32</v>
      </c>
      <c r="B14" s="73">
        <v>0</v>
      </c>
      <c r="C14" s="21">
        <v>0.106</v>
      </c>
      <c r="D14" s="22">
        <f>B14*C14</f>
        <v>0</v>
      </c>
      <c r="E14" s="73">
        <f>B14</f>
        <v>0</v>
      </c>
      <c r="F14" s="21">
        <f>C14</f>
        <v>0.106</v>
      </c>
      <c r="G14" s="22">
        <f>E14*F14</f>
        <v>0</v>
      </c>
      <c r="H14" s="22">
        <f t="shared" ref="H14:H36" si="2">G14-D14</f>
        <v>0</v>
      </c>
      <c r="I14" s="23" t="str">
        <f t="shared" si="0"/>
        <v>N/A</v>
      </c>
      <c r="J14" s="124">
        <f t="shared" si="1"/>
        <v>0</v>
      </c>
    </row>
    <row r="15" spans="1:10" s="1" customFormat="1" x14ac:dyDescent="0.2">
      <c r="A15" s="46" t="s">
        <v>33</v>
      </c>
      <c r="B15" s="24"/>
      <c r="C15" s="25"/>
      <c r="D15" s="25">
        <f>SUM(D13:D14)</f>
        <v>18818.8</v>
      </c>
      <c r="E15" s="76"/>
      <c r="F15" s="25"/>
      <c r="G15" s="25">
        <f>SUM(G13:G14)</f>
        <v>18818.8</v>
      </c>
      <c r="H15" s="25">
        <f t="shared" si="2"/>
        <v>0</v>
      </c>
      <c r="I15" s="27">
        <f t="shared" si="0"/>
        <v>0</v>
      </c>
      <c r="J15" s="47">
        <f t="shared" si="1"/>
        <v>0.63225191041493245</v>
      </c>
    </row>
    <row r="16" spans="1:10" s="1" customFormat="1" x14ac:dyDescent="0.2">
      <c r="A16" s="107" t="s">
        <v>38</v>
      </c>
      <c r="B16" s="73">
        <v>1</v>
      </c>
      <c r="C16" s="78">
        <f>VLOOKUP($B$3,'Data for Bill Impacts'!$A$3:$Y$15,7,0)</f>
        <v>1223.97</v>
      </c>
      <c r="D16" s="22">
        <f>B16*C16</f>
        <v>1223.97</v>
      </c>
      <c r="E16" s="73">
        <f t="shared" ref="E16:E31" si="3">B16</f>
        <v>1</v>
      </c>
      <c r="F16" s="78">
        <f>VLOOKUP($B$3,'Data for Bill Impacts'!$A$3:$Y$15,17,0)</f>
        <v>1255.93</v>
      </c>
      <c r="G16" s="22">
        <f>E16*F16</f>
        <v>1255.93</v>
      </c>
      <c r="H16" s="22">
        <f t="shared" si="2"/>
        <v>31.960000000000036</v>
      </c>
      <c r="I16" s="23">
        <f t="shared" si="0"/>
        <v>2.6111751105010773E-2</v>
      </c>
      <c r="J16" s="124">
        <f t="shared" si="1"/>
        <v>4.2195259094492003E-2</v>
      </c>
    </row>
    <row r="17" spans="1:10" x14ac:dyDescent="0.2">
      <c r="A17" s="107" t="s">
        <v>85</v>
      </c>
      <c r="B17" s="73">
        <v>1</v>
      </c>
      <c r="C17" s="121">
        <f>VLOOKUP($B$3,'Data for Bill Impacts'!$A$3:$Y$15,13,0)</f>
        <v>3.819</v>
      </c>
      <c r="D17" s="22">
        <f>B17*C17</f>
        <v>3.819</v>
      </c>
      <c r="E17" s="73">
        <f t="shared" si="3"/>
        <v>1</v>
      </c>
      <c r="F17" s="121">
        <f>VLOOKUP($B$3,'Data for Bill Impacts'!$A$3:$Y$15,22,0)</f>
        <v>3.819</v>
      </c>
      <c r="G17" s="22">
        <f>E17*F17</f>
        <v>3.819</v>
      </c>
      <c r="H17" s="22">
        <f t="shared" si="2"/>
        <v>0</v>
      </c>
      <c r="I17" s="23">
        <f t="shared" si="0"/>
        <v>0</v>
      </c>
      <c r="J17" s="124">
        <f t="shared" si="1"/>
        <v>1.2830627063758725E-4</v>
      </c>
    </row>
    <row r="18" spans="1:10" x14ac:dyDescent="0.2">
      <c r="A18" s="107" t="s">
        <v>39</v>
      </c>
      <c r="B18" s="73">
        <f>IF($B$10="kWh",$B$4,$B$5)</f>
        <v>500</v>
      </c>
      <c r="C18" s="125">
        <f>VLOOKUP($B$3,'Data for Bill Impacts'!$A$3:$Y$15,10,0)</f>
        <v>1.365848472559207</v>
      </c>
      <c r="D18" s="22">
        <f>B18*C18</f>
        <v>682.92423627960352</v>
      </c>
      <c r="E18" s="73">
        <f t="shared" si="3"/>
        <v>500</v>
      </c>
      <c r="F18" s="125">
        <f>VLOOKUP($B$3,'Data for Bill Impacts'!$A$3:$Y$15,19,0)</f>
        <v>1.4136569223533728</v>
      </c>
      <c r="G18" s="22">
        <f>E18*F18</f>
        <v>706.82846117668646</v>
      </c>
      <c r="H18" s="22">
        <f t="shared" si="2"/>
        <v>23.904224897082941</v>
      </c>
      <c r="I18" s="23">
        <f t="shared" si="0"/>
        <v>3.5002747928975314E-2</v>
      </c>
      <c r="J18" s="124">
        <f t="shared" si="1"/>
        <v>2.3747191367919685E-2</v>
      </c>
    </row>
    <row r="19" spans="1:10" s="1" customFormat="1" x14ac:dyDescent="0.2">
      <c r="A19" s="107" t="s">
        <v>121</v>
      </c>
      <c r="B19" s="73">
        <f>IF($B$10="kWh",$B$4,$B$5)</f>
        <v>500</v>
      </c>
      <c r="C19" s="125">
        <f>VLOOKUP($B$3,'Data for Bill Impacts'!$A$3:$Y$15,14,0)</f>
        <v>-0.13666999999999996</v>
      </c>
      <c r="D19" s="22">
        <f>B19*C19</f>
        <v>-68.33499999999998</v>
      </c>
      <c r="E19" s="73">
        <f>B19</f>
        <v>500</v>
      </c>
      <c r="F19" s="125">
        <f>VLOOKUP($B$3,'Data for Bill Impacts'!$A$3:$Y$15,23,0)</f>
        <v>-0.13666999999999996</v>
      </c>
      <c r="G19" s="22">
        <f>E19*F19</f>
        <v>-68.33499999999998</v>
      </c>
      <c r="H19" s="22">
        <f>G19-D19</f>
        <v>0</v>
      </c>
      <c r="I19" s="23">
        <f>IF(ISERROR(H19/ABS(D19)),"N/A",(H19/ABS(D19)))</f>
        <v>0</v>
      </c>
      <c r="J19" s="124">
        <f t="shared" si="1"/>
        <v>-2.2958389641318465E-3</v>
      </c>
    </row>
    <row r="20" spans="1:10" s="1" customFormat="1" x14ac:dyDescent="0.2">
      <c r="A20" s="107" t="s">
        <v>108</v>
      </c>
      <c r="B20" s="73">
        <f>B9</f>
        <v>206800</v>
      </c>
      <c r="C20" s="125">
        <f>VLOOKUP($B$3,'Data for Bill Impacts'!$A$3:$Y$15,20,0)</f>
        <v>0</v>
      </c>
      <c r="D20" s="22">
        <f>B20*C20</f>
        <v>0</v>
      </c>
      <c r="E20" s="73">
        <f t="shared" si="3"/>
        <v>206800</v>
      </c>
      <c r="F20" s="125">
        <f>VLOOKUP($B$3,'Data for Bill Impacts'!$A$3:$Y$15,21,0)</f>
        <v>0</v>
      </c>
      <c r="G20" s="22">
        <f>E20*F20</f>
        <v>0</v>
      </c>
      <c r="H20" s="22">
        <f t="shared" si="2"/>
        <v>0</v>
      </c>
      <c r="I20" s="23">
        <f>IF(ISERROR(H20/D20),0,(H20/D20))</f>
        <v>0</v>
      </c>
      <c r="J20" s="124">
        <f t="shared" si="1"/>
        <v>0</v>
      </c>
    </row>
    <row r="21" spans="1:10" x14ac:dyDescent="0.2">
      <c r="A21" s="110" t="s">
        <v>93</v>
      </c>
      <c r="B21" s="74"/>
      <c r="C21" s="35"/>
      <c r="D21" s="35">
        <f>SUM(D16:D20)</f>
        <v>1842.3782362796035</v>
      </c>
      <c r="E21" s="73"/>
      <c r="F21" s="35"/>
      <c r="G21" s="35">
        <f>SUM(G16:G20)</f>
        <v>1898.2424611766864</v>
      </c>
      <c r="H21" s="35">
        <f t="shared" si="2"/>
        <v>55.864224897082977</v>
      </c>
      <c r="I21" s="36">
        <f>IF(ISERROR(H21/D21),0,(H21/D21))</f>
        <v>3.0321800267187317E-2</v>
      </c>
      <c r="J21" s="111">
        <f t="shared" si="1"/>
        <v>6.377491776891743E-2</v>
      </c>
    </row>
    <row r="22" spans="1:10" x14ac:dyDescent="0.2">
      <c r="A22" s="107" t="s">
        <v>40</v>
      </c>
      <c r="B22" s="73">
        <f>B5</f>
        <v>500</v>
      </c>
      <c r="C22" s="125">
        <f>VLOOKUP($B$3,'Data for Bill Impacts'!$A$3:$Y$15,15,0)</f>
        <v>3.4866480000000002</v>
      </c>
      <c r="D22" s="22">
        <f>B22*C22</f>
        <v>1743.3240000000001</v>
      </c>
      <c r="E22" s="73">
        <f t="shared" si="3"/>
        <v>500</v>
      </c>
      <c r="F22" s="125">
        <f>VLOOKUP($B$3,'Data for Bill Impacts'!$A$3:$Y$15,24,0)</f>
        <v>3.4866480000000002</v>
      </c>
      <c r="G22" s="22">
        <f>E22*F22</f>
        <v>1743.3240000000001</v>
      </c>
      <c r="H22" s="22">
        <f t="shared" si="2"/>
        <v>0</v>
      </c>
      <c r="I22" s="23">
        <f t="shared" ref="I22:I36" si="4">IF(ISERROR(H22/ABS(D22)),"N/A",(H22/ABS(D22)))</f>
        <v>0</v>
      </c>
      <c r="J22" s="124">
        <f t="shared" si="1"/>
        <v>5.8570149503273418E-2</v>
      </c>
    </row>
    <row r="23" spans="1:10" s="1" customFormat="1" x14ac:dyDescent="0.2">
      <c r="A23" s="107" t="s">
        <v>41</v>
      </c>
      <c r="B23" s="73">
        <f>B5</f>
        <v>500</v>
      </c>
      <c r="C23" s="125">
        <f>VLOOKUP($B$3,'Data for Bill Impacts'!$A$3:$Y$15,16,0)</f>
        <v>2.6021643999999999</v>
      </c>
      <c r="D23" s="22">
        <f>B23*C23</f>
        <v>1301.0822000000001</v>
      </c>
      <c r="E23" s="73">
        <f t="shared" si="3"/>
        <v>500</v>
      </c>
      <c r="F23" s="125">
        <f>VLOOKUP($B$3,'Data for Bill Impacts'!$A$3:$Y$15,25,0)</f>
        <v>2.6021643999999999</v>
      </c>
      <c r="G23" s="22">
        <f>E23*F23</f>
        <v>1301.0822000000001</v>
      </c>
      <c r="H23" s="22">
        <f t="shared" si="2"/>
        <v>0</v>
      </c>
      <c r="I23" s="23">
        <f t="shared" si="4"/>
        <v>0</v>
      </c>
      <c r="J23" s="124">
        <f t="shared" si="1"/>
        <v>4.3712229608522502E-2</v>
      </c>
    </row>
    <row r="24" spans="1:10" x14ac:dyDescent="0.2">
      <c r="A24" s="110" t="s">
        <v>76</v>
      </c>
      <c r="B24" s="74"/>
      <c r="C24" s="35"/>
      <c r="D24" s="35">
        <f>SUM(D22:D23)</f>
        <v>3044.4062000000004</v>
      </c>
      <c r="E24" s="73"/>
      <c r="F24" s="35"/>
      <c r="G24" s="35">
        <f>SUM(G22:G23)</f>
        <v>3044.4062000000004</v>
      </c>
      <c r="H24" s="35">
        <f t="shared" si="2"/>
        <v>0</v>
      </c>
      <c r="I24" s="36">
        <f t="shared" si="4"/>
        <v>0</v>
      </c>
      <c r="J24" s="111">
        <f t="shared" si="1"/>
        <v>0.10228237911179593</v>
      </c>
    </row>
    <row r="25" spans="1:10" s="1" customFormat="1" x14ac:dyDescent="0.2">
      <c r="A25" s="110" t="s">
        <v>80</v>
      </c>
      <c r="B25" s="74"/>
      <c r="C25" s="35"/>
      <c r="D25" s="35">
        <f>D21+D24</f>
        <v>4886.7844362796041</v>
      </c>
      <c r="E25" s="73"/>
      <c r="F25" s="35"/>
      <c r="G25" s="35">
        <f>G21+G24</f>
        <v>4942.6486611766868</v>
      </c>
      <c r="H25" s="35">
        <f t="shared" si="2"/>
        <v>55.86422489708275</v>
      </c>
      <c r="I25" s="36">
        <f t="shared" si="4"/>
        <v>1.1431694118190566E-2</v>
      </c>
      <c r="J25" s="111">
        <f t="shared" si="1"/>
        <v>0.16605729688071336</v>
      </c>
    </row>
    <row r="26" spans="1:10" x14ac:dyDescent="0.2">
      <c r="A26" s="107" t="s">
        <v>42</v>
      </c>
      <c r="B26" s="73">
        <f>B9</f>
        <v>206800</v>
      </c>
      <c r="C26" s="34">
        <v>3.5999999999999999E-3</v>
      </c>
      <c r="D26" s="22">
        <f>B26*C26</f>
        <v>744.48</v>
      </c>
      <c r="E26" s="73">
        <f t="shared" si="3"/>
        <v>206800</v>
      </c>
      <c r="F26" s="34">
        <v>3.5999999999999999E-3</v>
      </c>
      <c r="G26" s="22">
        <f>E26*F26</f>
        <v>744.48</v>
      </c>
      <c r="H26" s="22">
        <f t="shared" si="2"/>
        <v>0</v>
      </c>
      <c r="I26" s="23">
        <f t="shared" si="4"/>
        <v>0</v>
      </c>
      <c r="J26" s="124">
        <f t="shared" si="1"/>
        <v>2.5012163488942384E-2</v>
      </c>
    </row>
    <row r="27" spans="1:10" x14ac:dyDescent="0.2">
      <c r="A27" s="107" t="s">
        <v>43</v>
      </c>
      <c r="B27" s="73">
        <f>B9</f>
        <v>206800</v>
      </c>
      <c r="C27" s="34">
        <v>2.0999999999999999E-3</v>
      </c>
      <c r="D27" s="22">
        <f>B27*C27</f>
        <v>434.28</v>
      </c>
      <c r="E27" s="73">
        <f t="shared" si="3"/>
        <v>206800</v>
      </c>
      <c r="F27" s="34">
        <v>2.0999999999999999E-3</v>
      </c>
      <c r="G27" s="22">
        <f>E27*F27</f>
        <v>434.28</v>
      </c>
      <c r="H27" s="22">
        <f>G27-D27</f>
        <v>0</v>
      </c>
      <c r="I27" s="23">
        <f t="shared" si="4"/>
        <v>0</v>
      </c>
      <c r="J27" s="124">
        <f t="shared" si="1"/>
        <v>1.4590428701883056E-2</v>
      </c>
    </row>
    <row r="28" spans="1:10" x14ac:dyDescent="0.2">
      <c r="A28" s="107" t="s">
        <v>96</v>
      </c>
      <c r="B28" s="73">
        <f>B9</f>
        <v>206800</v>
      </c>
      <c r="C28" s="34">
        <v>0</v>
      </c>
      <c r="D28" s="22">
        <f>B28*C28</f>
        <v>0</v>
      </c>
      <c r="E28" s="73">
        <f t="shared" si="3"/>
        <v>206800</v>
      </c>
      <c r="F28" s="34">
        <v>0</v>
      </c>
      <c r="G28" s="22">
        <f>E28*F28</f>
        <v>0</v>
      </c>
      <c r="H28" s="22">
        <f>G28-D28</f>
        <v>0</v>
      </c>
      <c r="I28" s="23" t="str">
        <f t="shared" si="4"/>
        <v>N/A</v>
      </c>
      <c r="J28" s="124">
        <f>G28/$G$36</f>
        <v>0</v>
      </c>
    </row>
    <row r="29" spans="1:10" x14ac:dyDescent="0.2">
      <c r="A29" s="107" t="s">
        <v>44</v>
      </c>
      <c r="B29" s="73">
        <v>1</v>
      </c>
      <c r="C29" s="22">
        <v>0.25</v>
      </c>
      <c r="D29" s="22">
        <f>B29*C29</f>
        <v>0.25</v>
      </c>
      <c r="E29" s="73">
        <f t="shared" si="3"/>
        <v>1</v>
      </c>
      <c r="F29" s="22">
        <f>C29</f>
        <v>0.25</v>
      </c>
      <c r="G29" s="22">
        <f>E29*F29</f>
        <v>0.25</v>
      </c>
      <c r="H29" s="22">
        <f t="shared" si="2"/>
        <v>0</v>
      </c>
      <c r="I29" s="23">
        <f t="shared" si="4"/>
        <v>0</v>
      </c>
      <c r="J29" s="124">
        <f t="shared" ref="J29:J36" si="5">G29/$G$36</f>
        <v>8.3992059857022301E-6</v>
      </c>
    </row>
    <row r="30" spans="1:10" x14ac:dyDescent="0.2">
      <c r="A30" s="110" t="s">
        <v>45</v>
      </c>
      <c r="B30" s="74"/>
      <c r="C30" s="35"/>
      <c r="D30" s="35">
        <f>SUM(D26:D29)</f>
        <v>1179.01</v>
      </c>
      <c r="E30" s="73"/>
      <c r="F30" s="35"/>
      <c r="G30" s="35">
        <f>SUM(G26:G29)</f>
        <v>1179.01</v>
      </c>
      <c r="H30" s="35">
        <f t="shared" si="2"/>
        <v>0</v>
      </c>
      <c r="I30" s="36">
        <f t="shared" si="4"/>
        <v>0</v>
      </c>
      <c r="J30" s="111">
        <f t="shared" si="5"/>
        <v>3.9610991396811145E-2</v>
      </c>
    </row>
    <row r="31" spans="1:10" ht="13.5" thickBot="1" x14ac:dyDescent="0.25">
      <c r="A31" s="112" t="s">
        <v>46</v>
      </c>
      <c r="B31" s="113">
        <f>B4</f>
        <v>200000</v>
      </c>
      <c r="C31" s="114">
        <v>7.0000000000000001E-3</v>
      </c>
      <c r="D31" s="115">
        <f>B31*C31</f>
        <v>1400</v>
      </c>
      <c r="E31" s="116">
        <f t="shared" si="3"/>
        <v>200000</v>
      </c>
      <c r="F31" s="114">
        <f>C31</f>
        <v>7.0000000000000001E-3</v>
      </c>
      <c r="G31" s="115">
        <f>E31*F31</f>
        <v>1400</v>
      </c>
      <c r="H31" s="115">
        <f t="shared" si="2"/>
        <v>0</v>
      </c>
      <c r="I31" s="117">
        <f t="shared" si="4"/>
        <v>0</v>
      </c>
      <c r="J31" s="118">
        <f t="shared" si="5"/>
        <v>4.7035553519932487E-2</v>
      </c>
    </row>
    <row r="32" spans="1:10" x14ac:dyDescent="0.2">
      <c r="A32" s="37" t="s">
        <v>111</v>
      </c>
      <c r="B32" s="38"/>
      <c r="C32" s="39"/>
      <c r="D32" s="39">
        <f>SUM(D15,D21,D24,D30,D31)</f>
        <v>26284.594436279604</v>
      </c>
      <c r="E32" s="38"/>
      <c r="F32" s="39"/>
      <c r="G32" s="39">
        <f>SUM(G15,G21,G24,G30,G31)</f>
        <v>26340.458661176686</v>
      </c>
      <c r="H32" s="39">
        <f t="shared" si="2"/>
        <v>55.86422489708275</v>
      </c>
      <c r="I32" s="40">
        <f t="shared" si="4"/>
        <v>2.1253599720745752E-3</v>
      </c>
      <c r="J32" s="41">
        <f t="shared" si="5"/>
        <v>0.88495575221238942</v>
      </c>
    </row>
    <row r="33" spans="1:10" x14ac:dyDescent="0.2">
      <c r="A33" s="46" t="s">
        <v>102</v>
      </c>
      <c r="B33" s="43"/>
      <c r="C33" s="26">
        <v>0.13</v>
      </c>
      <c r="D33" s="26">
        <f>D32*C33</f>
        <v>3416.9972767163486</v>
      </c>
      <c r="E33" s="26"/>
      <c r="F33" s="26">
        <f>C33</f>
        <v>0.13</v>
      </c>
      <c r="G33" s="26">
        <f>G32*F33</f>
        <v>3424.2596259529691</v>
      </c>
      <c r="H33" s="26">
        <f t="shared" si="2"/>
        <v>7.2623492366205937</v>
      </c>
      <c r="I33" s="44">
        <f t="shared" si="4"/>
        <v>2.1253599720745271E-3</v>
      </c>
      <c r="J33" s="45">
        <f t="shared" si="5"/>
        <v>0.11504424778761062</v>
      </c>
    </row>
    <row r="34" spans="1:10" x14ac:dyDescent="0.2">
      <c r="A34" s="46" t="s">
        <v>103</v>
      </c>
      <c r="B34" s="24"/>
      <c r="C34" s="25"/>
      <c r="D34" s="25">
        <f>SUM(D32:D33)</f>
        <v>29701.591712995953</v>
      </c>
      <c r="E34" s="25"/>
      <c r="F34" s="25"/>
      <c r="G34" s="25">
        <f>SUM(G32:G33)</f>
        <v>29764.718287129654</v>
      </c>
      <c r="H34" s="25">
        <f t="shared" si="2"/>
        <v>63.12657413370107</v>
      </c>
      <c r="I34" s="27">
        <f t="shared" si="4"/>
        <v>2.1253599720744928E-3</v>
      </c>
      <c r="J34" s="47">
        <f t="shared" si="5"/>
        <v>1</v>
      </c>
    </row>
    <row r="35" spans="1:10" x14ac:dyDescent="0.2">
      <c r="A35" s="46" t="s">
        <v>104</v>
      </c>
      <c r="B35" s="43"/>
      <c r="C35" s="26">
        <v>0</v>
      </c>
      <c r="D35" s="26">
        <f>D32*C35</f>
        <v>0</v>
      </c>
      <c r="E35" s="26"/>
      <c r="F35" s="26">
        <v>0</v>
      </c>
      <c r="G35" s="26">
        <f>G32*F35</f>
        <v>0</v>
      </c>
      <c r="H35" s="26">
        <f t="shared" si="2"/>
        <v>0</v>
      </c>
      <c r="I35" s="44" t="str">
        <f t="shared" si="4"/>
        <v>N/A</v>
      </c>
      <c r="J35" s="45">
        <f t="shared" si="5"/>
        <v>0</v>
      </c>
    </row>
    <row r="36" spans="1:10" ht="13.5" thickBot="1" x14ac:dyDescent="0.25">
      <c r="A36" s="46" t="s">
        <v>105</v>
      </c>
      <c r="B36" s="49"/>
      <c r="C36" s="50"/>
      <c r="D36" s="50">
        <f>SUM(D34:D35)</f>
        <v>29701.591712995953</v>
      </c>
      <c r="E36" s="50"/>
      <c r="F36" s="50"/>
      <c r="G36" s="50">
        <f>SUM(G34:G35)</f>
        <v>29764.718287129654</v>
      </c>
      <c r="H36" s="50">
        <f t="shared" si="2"/>
        <v>63.12657413370107</v>
      </c>
      <c r="I36" s="51">
        <f t="shared" si="4"/>
        <v>2.1253599720744928E-3</v>
      </c>
      <c r="J36" s="52">
        <f t="shared" si="5"/>
        <v>1</v>
      </c>
    </row>
    <row r="37" spans="1:10" x14ac:dyDescent="0.2">
      <c r="A37" s="169"/>
      <c r="F37" s="69"/>
    </row>
    <row r="38" spans="1:10" x14ac:dyDescent="0.2">
      <c r="A38" s="170"/>
      <c r="F38" s="69"/>
    </row>
    <row r="39" spans="1:10" x14ac:dyDescent="0.2">
      <c r="A39" s="170"/>
    </row>
    <row r="40" spans="1:10" x14ac:dyDescent="0.2">
      <c r="A40" s="170"/>
    </row>
    <row r="41" spans="1:10" x14ac:dyDescent="0.2">
      <c r="A41" s="170"/>
    </row>
    <row r="42" spans="1:10" x14ac:dyDescent="0.2">
      <c r="A42" s="170"/>
    </row>
    <row r="43" spans="1:10" x14ac:dyDescent="0.2">
      <c r="A43" s="170"/>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theme="1" tint="0.499984740745262"/>
    <pageSetUpPr fitToPage="1"/>
  </sheetPr>
  <dimension ref="A1:J43"/>
  <sheetViews>
    <sheetView tabSelected="1" view="pageLayout" topLeftCell="A13"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119</v>
      </c>
      <c r="B1" s="189"/>
      <c r="C1" s="189"/>
      <c r="D1" s="189"/>
      <c r="E1" s="189"/>
      <c r="F1" s="189"/>
      <c r="G1" s="189"/>
      <c r="H1" s="189"/>
      <c r="I1" s="189"/>
      <c r="J1" s="190"/>
    </row>
    <row r="3" spans="1:10" x14ac:dyDescent="0.2">
      <c r="A3" s="13" t="s">
        <v>13</v>
      </c>
      <c r="B3" s="13" t="s">
        <v>11</v>
      </c>
    </row>
    <row r="4" spans="1:10" x14ac:dyDescent="0.2">
      <c r="A4" s="15" t="s">
        <v>62</v>
      </c>
      <c r="B4" s="79">
        <f>VLOOKUP(B3,'Data for Bill Impacts'!A19:D31,3,FALSE)</f>
        <v>1601036</v>
      </c>
    </row>
    <row r="5" spans="1:10" x14ac:dyDescent="0.2">
      <c r="A5" s="15" t="s">
        <v>16</v>
      </c>
      <c r="B5" s="79">
        <f>VLOOKUP(B3,'Data for Bill Impacts'!A19:D31,4,FALSE)</f>
        <v>3091</v>
      </c>
    </row>
    <row r="6" spans="1:10" x14ac:dyDescent="0.2">
      <c r="A6" s="15" t="s">
        <v>20</v>
      </c>
      <c r="B6" s="80">
        <f>VLOOKUP($B$3,'Data for Bill Impacts'!$A$3:$Y$15,2,0)</f>
        <v>1.034</v>
      </c>
    </row>
    <row r="7" spans="1:10" x14ac:dyDescent="0.2">
      <c r="A7" s="81" t="s">
        <v>48</v>
      </c>
      <c r="B7" s="82">
        <f>B4/(B5*730)</f>
        <v>0.70954383694597223</v>
      </c>
    </row>
    <row r="8" spans="1:10" x14ac:dyDescent="0.2">
      <c r="A8" s="15" t="s">
        <v>15</v>
      </c>
      <c r="B8" s="79">
        <f>VLOOKUP($B$3,'Data for Bill Impacts'!$A$3:$Y$15,4,0)</f>
        <v>0</v>
      </c>
    </row>
    <row r="9" spans="1:10" x14ac:dyDescent="0.2">
      <c r="A9" s="15" t="s">
        <v>82</v>
      </c>
      <c r="B9" s="79">
        <f>B4*B6</f>
        <v>1655471.2240000002</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1655471.2240000002</v>
      </c>
      <c r="C13" s="103">
        <v>9.0999999999999998E-2</v>
      </c>
      <c r="D13" s="104">
        <f>B13*C13</f>
        <v>150647.88138400001</v>
      </c>
      <c r="E13" s="102">
        <f>B13</f>
        <v>1655471.2240000002</v>
      </c>
      <c r="F13" s="103">
        <f>C13</f>
        <v>9.0999999999999998E-2</v>
      </c>
      <c r="G13" s="104">
        <f>E13*F13</f>
        <v>150647.88138400001</v>
      </c>
      <c r="H13" s="104">
        <f>G13-D13</f>
        <v>0</v>
      </c>
      <c r="I13" s="105">
        <f t="shared" ref="I13:I18" si="0">IF(ISERROR(H13/ABS(D13)),"N/A",(H13/ABS(D13)))</f>
        <v>0</v>
      </c>
      <c r="J13" s="123">
        <f t="shared" ref="J13:J27" si="1">G13/$G$36</f>
        <v>0.68255882128192225</v>
      </c>
    </row>
    <row r="14" spans="1:10" x14ac:dyDescent="0.2">
      <c r="A14" s="107" t="s">
        <v>32</v>
      </c>
      <c r="B14" s="73">
        <v>0</v>
      </c>
      <c r="C14" s="21">
        <v>0.106</v>
      </c>
      <c r="D14" s="22">
        <f>B14*C14</f>
        <v>0</v>
      </c>
      <c r="E14" s="73">
        <f>B14</f>
        <v>0</v>
      </c>
      <c r="F14" s="21">
        <f>C14</f>
        <v>0.106</v>
      </c>
      <c r="G14" s="22">
        <f>E14*F14</f>
        <v>0</v>
      </c>
      <c r="H14" s="22">
        <f t="shared" ref="H14:H36" si="2">G14-D14</f>
        <v>0</v>
      </c>
      <c r="I14" s="23" t="str">
        <f t="shared" si="0"/>
        <v>N/A</v>
      </c>
      <c r="J14" s="124">
        <f t="shared" si="1"/>
        <v>0</v>
      </c>
    </row>
    <row r="15" spans="1:10" s="1" customFormat="1" x14ac:dyDescent="0.2">
      <c r="A15" s="46" t="s">
        <v>33</v>
      </c>
      <c r="B15" s="24"/>
      <c r="C15" s="25"/>
      <c r="D15" s="25">
        <f>SUM(D13:D14)</f>
        <v>150647.88138400001</v>
      </c>
      <c r="E15" s="76"/>
      <c r="F15" s="25"/>
      <c r="G15" s="25">
        <f>SUM(G13:G14)</f>
        <v>150647.88138400001</v>
      </c>
      <c r="H15" s="25">
        <f t="shared" si="2"/>
        <v>0</v>
      </c>
      <c r="I15" s="27">
        <f t="shared" si="0"/>
        <v>0</v>
      </c>
      <c r="J15" s="47">
        <f t="shared" si="1"/>
        <v>0.68255882128192225</v>
      </c>
    </row>
    <row r="16" spans="1:10" s="1" customFormat="1" x14ac:dyDescent="0.2">
      <c r="A16" s="107" t="s">
        <v>38</v>
      </c>
      <c r="B16" s="73">
        <v>1</v>
      </c>
      <c r="C16" s="78">
        <f>VLOOKUP($B$3,'Data for Bill Impacts'!$A$3:$Y$15,7,0)</f>
        <v>1223.97</v>
      </c>
      <c r="D16" s="22">
        <f>B16*C16</f>
        <v>1223.97</v>
      </c>
      <c r="E16" s="73">
        <f t="shared" ref="E16:E31" si="3">B16</f>
        <v>1</v>
      </c>
      <c r="F16" s="78">
        <f>VLOOKUP($B$3,'Data for Bill Impacts'!$A$3:$Y$15,17,0)</f>
        <v>1255.93</v>
      </c>
      <c r="G16" s="22">
        <f>E16*F16</f>
        <v>1255.93</v>
      </c>
      <c r="H16" s="22">
        <f t="shared" si="2"/>
        <v>31.960000000000036</v>
      </c>
      <c r="I16" s="23">
        <f t="shared" si="0"/>
        <v>2.6111751105010773E-2</v>
      </c>
      <c r="J16" s="124">
        <f t="shared" si="1"/>
        <v>5.6903959918791864E-3</v>
      </c>
    </row>
    <row r="17" spans="1:10" x14ac:dyDescent="0.2">
      <c r="A17" s="107" t="s">
        <v>85</v>
      </c>
      <c r="B17" s="73">
        <v>1</v>
      </c>
      <c r="C17" s="121">
        <f>VLOOKUP($B$3,'Data for Bill Impacts'!$A$3:$Y$15,13,0)</f>
        <v>3.819</v>
      </c>
      <c r="D17" s="22">
        <f>B17*C17</f>
        <v>3.819</v>
      </c>
      <c r="E17" s="73">
        <f t="shared" si="3"/>
        <v>1</v>
      </c>
      <c r="F17" s="121">
        <f>VLOOKUP($B$3,'Data for Bill Impacts'!$A$3:$Y$15,22,0)</f>
        <v>3.819</v>
      </c>
      <c r="G17" s="22">
        <f>E17*F17</f>
        <v>3.819</v>
      </c>
      <c r="H17" s="22">
        <f t="shared" si="2"/>
        <v>0</v>
      </c>
      <c r="I17" s="23">
        <f t="shared" si="0"/>
        <v>0</v>
      </c>
      <c r="J17" s="124">
        <f t="shared" si="1"/>
        <v>1.7303211399510012E-5</v>
      </c>
    </row>
    <row r="18" spans="1:10" x14ac:dyDescent="0.2">
      <c r="A18" s="107" t="s">
        <v>39</v>
      </c>
      <c r="B18" s="73">
        <f>IF($B$10="kWh",$B$4,$B$5)</f>
        <v>3091</v>
      </c>
      <c r="C18" s="125">
        <f>VLOOKUP($B$3,'Data for Bill Impacts'!$A$3:$Y$15,10,0)</f>
        <v>1.365848472559207</v>
      </c>
      <c r="D18" s="22">
        <f>B18*C18</f>
        <v>4221.8376286805087</v>
      </c>
      <c r="E18" s="73">
        <f t="shared" si="3"/>
        <v>3091</v>
      </c>
      <c r="F18" s="125">
        <f>VLOOKUP($B$3,'Data for Bill Impacts'!$A$3:$Y$15,19,0)</f>
        <v>1.4136569223533728</v>
      </c>
      <c r="G18" s="22">
        <f>E18*F18</f>
        <v>4369.6135469942756</v>
      </c>
      <c r="H18" s="22">
        <f t="shared" si="2"/>
        <v>147.77591831376685</v>
      </c>
      <c r="I18" s="23">
        <f t="shared" si="0"/>
        <v>3.5002747928975342E-2</v>
      </c>
      <c r="J18" s="124">
        <f t="shared" si="1"/>
        <v>1.9797943686254184E-2</v>
      </c>
    </row>
    <row r="19" spans="1:10" s="1" customFormat="1" x14ac:dyDescent="0.2">
      <c r="A19" s="107" t="s">
        <v>121</v>
      </c>
      <c r="B19" s="73">
        <f>IF($B$10="kWh",$B$4,$B$5)</f>
        <v>3091</v>
      </c>
      <c r="C19" s="125">
        <f>VLOOKUP($B$3,'Data for Bill Impacts'!$A$3:$Y$15,14,0)</f>
        <v>-0.13666999999999996</v>
      </c>
      <c r="D19" s="22">
        <f>B19*C19</f>
        <v>-422.44696999999985</v>
      </c>
      <c r="E19" s="73">
        <f>B19</f>
        <v>3091</v>
      </c>
      <c r="F19" s="125">
        <f>VLOOKUP($B$3,'Data for Bill Impacts'!$A$3:$Y$15,23,0)</f>
        <v>-0.13666999999999996</v>
      </c>
      <c r="G19" s="22">
        <f>E19*F19</f>
        <v>-422.44696999999985</v>
      </c>
      <c r="H19" s="22">
        <f>G19-D19</f>
        <v>0</v>
      </c>
      <c r="I19" s="23">
        <f>IF(ISERROR(H19/ABS(D19)),"N/A",(H19/ABS(D19)))</f>
        <v>0</v>
      </c>
      <c r="J19" s="124">
        <f t="shared" si="1"/>
        <v>-1.914032266821802E-3</v>
      </c>
    </row>
    <row r="20" spans="1:10" s="1" customFormat="1" x14ac:dyDescent="0.2">
      <c r="A20" s="107" t="s">
        <v>108</v>
      </c>
      <c r="B20" s="73">
        <f>B9</f>
        <v>1655471.2240000002</v>
      </c>
      <c r="C20" s="125">
        <f>VLOOKUP($B$3,'Data for Bill Impacts'!$A$3:$Y$15,20,0)</f>
        <v>0</v>
      </c>
      <c r="D20" s="22">
        <f>B20*C20</f>
        <v>0</v>
      </c>
      <c r="E20" s="73">
        <f t="shared" si="3"/>
        <v>1655471.2240000002</v>
      </c>
      <c r="F20" s="125">
        <f>VLOOKUP($B$3,'Data for Bill Impacts'!$A$3:$Y$15,21,0)</f>
        <v>0</v>
      </c>
      <c r="G20" s="22">
        <f>E20*F20</f>
        <v>0</v>
      </c>
      <c r="H20" s="22">
        <f t="shared" si="2"/>
        <v>0</v>
      </c>
      <c r="I20" s="23">
        <f>IF(ISERROR(H20/D20),0,(H20/D20))</f>
        <v>0</v>
      </c>
      <c r="J20" s="124">
        <f t="shared" si="1"/>
        <v>0</v>
      </c>
    </row>
    <row r="21" spans="1:10" x14ac:dyDescent="0.2">
      <c r="A21" s="110" t="s">
        <v>79</v>
      </c>
      <c r="B21" s="74"/>
      <c r="C21" s="35"/>
      <c r="D21" s="35">
        <f>SUM(D16:D20)</f>
        <v>5027.1796586805085</v>
      </c>
      <c r="E21" s="73"/>
      <c r="F21" s="35"/>
      <c r="G21" s="35">
        <f>SUM(G16:G20)</f>
        <v>5206.9155769942754</v>
      </c>
      <c r="H21" s="35">
        <f t="shared" si="2"/>
        <v>179.73591831376689</v>
      </c>
      <c r="I21" s="36">
        <f>IF(ISERROR(H21/D21),0,(H21/D21))</f>
        <v>3.5752833699391293E-2</v>
      </c>
      <c r="J21" s="111">
        <f t="shared" si="1"/>
        <v>2.3591610622711076E-2</v>
      </c>
    </row>
    <row r="22" spans="1:10" x14ac:dyDescent="0.2">
      <c r="A22" s="107" t="s">
        <v>40</v>
      </c>
      <c r="B22" s="73">
        <f>B5</f>
        <v>3091</v>
      </c>
      <c r="C22" s="78">
        <f>VLOOKUP($B$3,'Data for Bill Impacts'!$A$3:$Y$15,15,0)</f>
        <v>3.4866480000000002</v>
      </c>
      <c r="D22" s="22">
        <f>B22*C22</f>
        <v>10777.228968000001</v>
      </c>
      <c r="E22" s="73">
        <f t="shared" si="3"/>
        <v>3091</v>
      </c>
      <c r="F22" s="125">
        <f>VLOOKUP($B$3,'Data for Bill Impacts'!$A$3:$Y$15,24,0)</f>
        <v>3.4866480000000002</v>
      </c>
      <c r="G22" s="22">
        <f>E22*F22</f>
        <v>10777.228968000001</v>
      </c>
      <c r="H22" s="22">
        <f t="shared" si="2"/>
        <v>0</v>
      </c>
      <c r="I22" s="23">
        <f t="shared" ref="I22:I36" si="4">IF(ISERROR(H22/ABS(D22)),"N/A",(H22/ABS(D22)))</f>
        <v>0</v>
      </c>
      <c r="J22" s="124">
        <f t="shared" si="1"/>
        <v>4.8829712263479222E-2</v>
      </c>
    </row>
    <row r="23" spans="1:10" s="1" customFormat="1" x14ac:dyDescent="0.2">
      <c r="A23" s="107" t="s">
        <v>41</v>
      </c>
      <c r="B23" s="73">
        <f>B5</f>
        <v>3091</v>
      </c>
      <c r="C23" s="125">
        <f>VLOOKUP($B$3,'Data for Bill Impacts'!$A$3:$Y$15,16,0)</f>
        <v>2.6021643999999999</v>
      </c>
      <c r="D23" s="22">
        <f>B23*C23</f>
        <v>8043.2901603999999</v>
      </c>
      <c r="E23" s="73">
        <f t="shared" si="3"/>
        <v>3091</v>
      </c>
      <c r="F23" s="125">
        <f>VLOOKUP($B$3,'Data for Bill Impacts'!$A$3:$Y$15,25,0)</f>
        <v>2.6021643999999999</v>
      </c>
      <c r="G23" s="22">
        <f>E23*F23</f>
        <v>8043.2901603999999</v>
      </c>
      <c r="H23" s="22">
        <f t="shared" si="2"/>
        <v>0</v>
      </c>
      <c r="I23" s="23">
        <f t="shared" si="4"/>
        <v>0</v>
      </c>
      <c r="J23" s="124">
        <f t="shared" si="1"/>
        <v>3.6442720605655933E-2</v>
      </c>
    </row>
    <row r="24" spans="1:10" x14ac:dyDescent="0.2">
      <c r="A24" s="110" t="s">
        <v>76</v>
      </c>
      <c r="B24" s="74"/>
      <c r="C24" s="35"/>
      <c r="D24" s="35">
        <f>SUM(D22:D23)</f>
        <v>18820.519128400003</v>
      </c>
      <c r="E24" s="73"/>
      <c r="F24" s="35"/>
      <c r="G24" s="35">
        <f>SUM(G22:G23)</f>
        <v>18820.519128400003</v>
      </c>
      <c r="H24" s="35">
        <f t="shared" si="2"/>
        <v>0</v>
      </c>
      <c r="I24" s="36">
        <f t="shared" si="4"/>
        <v>0</v>
      </c>
      <c r="J24" s="111">
        <f t="shared" si="1"/>
        <v>8.5272432869135162E-2</v>
      </c>
    </row>
    <row r="25" spans="1:10" s="1" customFormat="1" x14ac:dyDescent="0.2">
      <c r="A25" s="110" t="s">
        <v>80</v>
      </c>
      <c r="B25" s="74"/>
      <c r="C25" s="35"/>
      <c r="D25" s="35">
        <f>D21+D24</f>
        <v>23847.69878708051</v>
      </c>
      <c r="E25" s="73"/>
      <c r="F25" s="35"/>
      <c r="G25" s="35">
        <f>G21+G24</f>
        <v>24027.434705394277</v>
      </c>
      <c r="H25" s="35">
        <f t="shared" si="2"/>
        <v>179.73591831376689</v>
      </c>
      <c r="I25" s="36">
        <f t="shared" si="4"/>
        <v>7.5368244088666039E-3</v>
      </c>
      <c r="J25" s="111">
        <f t="shared" si="1"/>
        <v>0.10886404349184622</v>
      </c>
    </row>
    <row r="26" spans="1:10" x14ac:dyDescent="0.2">
      <c r="A26" s="107" t="s">
        <v>42</v>
      </c>
      <c r="B26" s="73">
        <f>B9</f>
        <v>1655471.2240000002</v>
      </c>
      <c r="C26" s="34">
        <v>3.5999999999999999E-3</v>
      </c>
      <c r="D26" s="22">
        <f>B26*C26</f>
        <v>5959.6964064000003</v>
      </c>
      <c r="E26" s="73">
        <f t="shared" si="3"/>
        <v>1655471.2240000002</v>
      </c>
      <c r="F26" s="34">
        <v>3.5999999999999999E-3</v>
      </c>
      <c r="G26" s="22">
        <f>E26*F26</f>
        <v>5959.6964064000003</v>
      </c>
      <c r="H26" s="22">
        <f t="shared" si="2"/>
        <v>0</v>
      </c>
      <c r="I26" s="23">
        <f t="shared" si="4"/>
        <v>0</v>
      </c>
      <c r="J26" s="124">
        <f t="shared" si="1"/>
        <v>2.7002326995768353E-2</v>
      </c>
    </row>
    <row r="27" spans="1:10" x14ac:dyDescent="0.2">
      <c r="A27" s="107" t="s">
        <v>43</v>
      </c>
      <c r="B27" s="73">
        <f>B9</f>
        <v>1655471.2240000002</v>
      </c>
      <c r="C27" s="34">
        <v>2.0999999999999999E-3</v>
      </c>
      <c r="D27" s="22">
        <f>B27*C27</f>
        <v>3476.4895704</v>
      </c>
      <c r="E27" s="73">
        <f t="shared" si="3"/>
        <v>1655471.2240000002</v>
      </c>
      <c r="F27" s="34">
        <v>2.0999999999999999E-3</v>
      </c>
      <c r="G27" s="22">
        <f>E27*F27</f>
        <v>3476.4895704</v>
      </c>
      <c r="H27" s="22">
        <f>G27-D27</f>
        <v>0</v>
      </c>
      <c r="I27" s="23">
        <f t="shared" si="4"/>
        <v>0</v>
      </c>
      <c r="J27" s="124">
        <f t="shared" si="1"/>
        <v>1.5751357414198208E-2</v>
      </c>
    </row>
    <row r="28" spans="1:10" x14ac:dyDescent="0.2">
      <c r="A28" s="107" t="s">
        <v>96</v>
      </c>
      <c r="B28" s="73">
        <f>B9</f>
        <v>1655471.2240000002</v>
      </c>
      <c r="C28" s="34">
        <v>0</v>
      </c>
      <c r="D28" s="22">
        <f>B28*C28</f>
        <v>0</v>
      </c>
      <c r="E28" s="73">
        <f t="shared" si="3"/>
        <v>1655471.2240000002</v>
      </c>
      <c r="F28" s="34">
        <v>0</v>
      </c>
      <c r="G28" s="22">
        <f>E28*F28</f>
        <v>0</v>
      </c>
      <c r="H28" s="22">
        <f>G28-D28</f>
        <v>0</v>
      </c>
      <c r="I28" s="23" t="str">
        <f t="shared" si="4"/>
        <v>N/A</v>
      </c>
      <c r="J28" s="124">
        <f>G28/$G$36</f>
        <v>0</v>
      </c>
    </row>
    <row r="29" spans="1:10" x14ac:dyDescent="0.2">
      <c r="A29" s="107" t="s">
        <v>44</v>
      </c>
      <c r="B29" s="73">
        <v>1</v>
      </c>
      <c r="C29" s="22">
        <v>0.25</v>
      </c>
      <c r="D29" s="22">
        <f>B29*C29</f>
        <v>0.25</v>
      </c>
      <c r="E29" s="73">
        <f t="shared" si="3"/>
        <v>1</v>
      </c>
      <c r="F29" s="22">
        <f>C29</f>
        <v>0.25</v>
      </c>
      <c r="G29" s="22">
        <f>E29*F29</f>
        <v>0.25</v>
      </c>
      <c r="H29" s="22">
        <f t="shared" si="2"/>
        <v>0</v>
      </c>
      <c r="I29" s="23">
        <f t="shared" si="4"/>
        <v>0</v>
      </c>
      <c r="J29" s="124">
        <f t="shared" ref="J29:J36" si="5">G29/$G$36</f>
        <v>1.1327056428063638E-6</v>
      </c>
    </row>
    <row r="30" spans="1:10" x14ac:dyDescent="0.2">
      <c r="A30" s="110" t="s">
        <v>45</v>
      </c>
      <c r="B30" s="74"/>
      <c r="C30" s="35"/>
      <c r="D30" s="35">
        <f>SUM(D26:D29)</f>
        <v>9436.4359767999995</v>
      </c>
      <c r="E30" s="73"/>
      <c r="F30" s="35"/>
      <c r="G30" s="35">
        <f>SUM(G26:G29)</f>
        <v>9436.4359767999995</v>
      </c>
      <c r="H30" s="35">
        <f t="shared" si="2"/>
        <v>0</v>
      </c>
      <c r="I30" s="36">
        <f t="shared" si="4"/>
        <v>0</v>
      </c>
      <c r="J30" s="111">
        <f t="shared" si="5"/>
        <v>4.2754817115609363E-2</v>
      </c>
    </row>
    <row r="31" spans="1:10" ht="13.5" thickBot="1" x14ac:dyDescent="0.25">
      <c r="A31" s="112" t="s">
        <v>46</v>
      </c>
      <c r="B31" s="113">
        <f>B4</f>
        <v>1601036</v>
      </c>
      <c r="C31" s="114">
        <v>7.0000000000000001E-3</v>
      </c>
      <c r="D31" s="115">
        <f>B31*C31</f>
        <v>11207.252</v>
      </c>
      <c r="E31" s="116">
        <f t="shared" si="3"/>
        <v>1601036</v>
      </c>
      <c r="F31" s="114">
        <f>C31</f>
        <v>7.0000000000000001E-3</v>
      </c>
      <c r="G31" s="115">
        <f>E31*F31</f>
        <v>11207.252</v>
      </c>
      <c r="H31" s="115">
        <f t="shared" si="2"/>
        <v>0</v>
      </c>
      <c r="I31" s="117">
        <f t="shared" si="4"/>
        <v>0</v>
      </c>
      <c r="J31" s="118">
        <f t="shared" si="5"/>
        <v>5.0778070323011626E-2</v>
      </c>
    </row>
    <row r="32" spans="1:10" x14ac:dyDescent="0.2">
      <c r="A32" s="37" t="s">
        <v>111</v>
      </c>
      <c r="B32" s="38"/>
      <c r="C32" s="39"/>
      <c r="D32" s="39">
        <f>SUM(D15,D21,D24,D30,D31)</f>
        <v>195139.26814788053</v>
      </c>
      <c r="E32" s="38"/>
      <c r="F32" s="39"/>
      <c r="G32" s="39">
        <f>SUM(G15,G21,G24,G30,G31)</f>
        <v>195319.00406619426</v>
      </c>
      <c r="H32" s="39">
        <f t="shared" si="2"/>
        <v>179.73591831373051</v>
      </c>
      <c r="I32" s="40">
        <f t="shared" si="4"/>
        <v>9.2106483753707092E-4</v>
      </c>
      <c r="J32" s="41">
        <f t="shared" si="5"/>
        <v>0.88495575221238942</v>
      </c>
    </row>
    <row r="33" spans="1:10" x14ac:dyDescent="0.2">
      <c r="A33" s="46" t="s">
        <v>102</v>
      </c>
      <c r="B33" s="43"/>
      <c r="C33" s="26">
        <v>0.13</v>
      </c>
      <c r="D33" s="26">
        <f>D32*C33</f>
        <v>25368.10485922447</v>
      </c>
      <c r="E33" s="26"/>
      <c r="F33" s="26">
        <f>C33</f>
        <v>0.13</v>
      </c>
      <c r="G33" s="26">
        <f>G32*F33</f>
        <v>25391.470528605256</v>
      </c>
      <c r="H33" s="26">
        <f t="shared" si="2"/>
        <v>23.36566938078613</v>
      </c>
      <c r="I33" s="44">
        <f t="shared" si="4"/>
        <v>9.2106483753711678E-4</v>
      </c>
      <c r="J33" s="45">
        <f t="shared" si="5"/>
        <v>0.11504424778761063</v>
      </c>
    </row>
    <row r="34" spans="1:10" x14ac:dyDescent="0.2">
      <c r="A34" s="46" t="s">
        <v>103</v>
      </c>
      <c r="B34" s="24"/>
      <c r="C34" s="25"/>
      <c r="D34" s="25">
        <f>SUM(D32:D33)</f>
        <v>220507.37300710499</v>
      </c>
      <c r="E34" s="25"/>
      <c r="F34" s="25"/>
      <c r="G34" s="25">
        <f>SUM(G32:G33)</f>
        <v>220710.47459479951</v>
      </c>
      <c r="H34" s="25">
        <f t="shared" si="2"/>
        <v>203.10158769451664</v>
      </c>
      <c r="I34" s="27">
        <f t="shared" si="4"/>
        <v>9.2106483753707624E-4</v>
      </c>
      <c r="J34" s="47">
        <f t="shared" si="5"/>
        <v>1</v>
      </c>
    </row>
    <row r="35" spans="1:10" x14ac:dyDescent="0.2">
      <c r="A35" s="46" t="s">
        <v>104</v>
      </c>
      <c r="B35" s="43"/>
      <c r="C35" s="26">
        <v>0</v>
      </c>
      <c r="D35" s="26">
        <f>D32*C35</f>
        <v>0</v>
      </c>
      <c r="E35" s="26"/>
      <c r="F35" s="26">
        <v>0</v>
      </c>
      <c r="G35" s="26">
        <f>G32*F35</f>
        <v>0</v>
      </c>
      <c r="H35" s="26">
        <f t="shared" si="2"/>
        <v>0</v>
      </c>
      <c r="I35" s="44" t="str">
        <f t="shared" si="4"/>
        <v>N/A</v>
      </c>
      <c r="J35" s="45">
        <f t="shared" si="5"/>
        <v>0</v>
      </c>
    </row>
    <row r="36" spans="1:10" ht="13.5" thickBot="1" x14ac:dyDescent="0.25">
      <c r="A36" s="46" t="s">
        <v>105</v>
      </c>
      <c r="B36" s="49"/>
      <c r="C36" s="50"/>
      <c r="D36" s="50">
        <f>SUM(D34:D35)</f>
        <v>220507.37300710499</v>
      </c>
      <c r="E36" s="50"/>
      <c r="F36" s="50"/>
      <c r="G36" s="50">
        <f>SUM(G34:G35)</f>
        <v>220710.47459479951</v>
      </c>
      <c r="H36" s="50">
        <f t="shared" si="2"/>
        <v>203.10158769451664</v>
      </c>
      <c r="I36" s="51">
        <f t="shared" si="4"/>
        <v>9.2106483753707624E-4</v>
      </c>
      <c r="J36" s="52">
        <f t="shared" si="5"/>
        <v>1</v>
      </c>
    </row>
    <row r="37" spans="1:10" x14ac:dyDescent="0.2">
      <c r="A37" s="169"/>
      <c r="F37" s="69"/>
    </row>
    <row r="38" spans="1:10" x14ac:dyDescent="0.2">
      <c r="A38" s="170"/>
      <c r="F38" s="69"/>
    </row>
    <row r="39" spans="1:10" x14ac:dyDescent="0.2">
      <c r="A39" s="170"/>
    </row>
    <row r="40" spans="1:10" x14ac:dyDescent="0.2">
      <c r="A40" s="170"/>
    </row>
    <row r="41" spans="1:10" x14ac:dyDescent="0.2">
      <c r="A41" s="170"/>
    </row>
    <row r="42" spans="1:10" x14ac:dyDescent="0.2">
      <c r="A42" s="170"/>
    </row>
    <row r="43" spans="1:10" x14ac:dyDescent="0.2">
      <c r="A43" s="170"/>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1" tint="0.499984740745262"/>
    <pageSetUpPr fitToPage="1"/>
  </sheetPr>
  <dimension ref="A1:J43"/>
  <sheetViews>
    <sheetView tabSelected="1" view="pageLayout" topLeftCell="A16"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120</v>
      </c>
      <c r="B1" s="189"/>
      <c r="C1" s="189"/>
      <c r="D1" s="189"/>
      <c r="E1" s="189"/>
      <c r="F1" s="189"/>
      <c r="G1" s="189"/>
      <c r="H1" s="189"/>
      <c r="I1" s="189"/>
      <c r="J1" s="190"/>
    </row>
    <row r="3" spans="1:10" x14ac:dyDescent="0.2">
      <c r="A3" s="13" t="s">
        <v>13</v>
      </c>
      <c r="B3" s="13" t="s">
        <v>11</v>
      </c>
    </row>
    <row r="4" spans="1:10" x14ac:dyDescent="0.2">
      <c r="A4" s="15" t="s">
        <v>62</v>
      </c>
      <c r="B4" s="79">
        <v>4000000</v>
      </c>
    </row>
    <row r="5" spans="1:10" x14ac:dyDescent="0.2">
      <c r="A5" s="15" t="s">
        <v>16</v>
      </c>
      <c r="B5" s="79">
        <v>10000</v>
      </c>
    </row>
    <row r="6" spans="1:10" x14ac:dyDescent="0.2">
      <c r="A6" s="15" t="s">
        <v>20</v>
      </c>
      <c r="B6" s="80">
        <f>VLOOKUP($B$3,'Data for Bill Impacts'!$A$3:$Y$15,2,0)</f>
        <v>1.034</v>
      </c>
    </row>
    <row r="7" spans="1:10" x14ac:dyDescent="0.2">
      <c r="A7" s="81" t="s">
        <v>48</v>
      </c>
      <c r="B7" s="82">
        <f>B4/(B5*730)</f>
        <v>0.54794520547945202</v>
      </c>
    </row>
    <row r="8" spans="1:10" x14ac:dyDescent="0.2">
      <c r="A8" s="15" t="s">
        <v>15</v>
      </c>
      <c r="B8" s="79">
        <f>VLOOKUP($B$3,'Data for Bill Impacts'!$A$3:$Y$15,4,0)</f>
        <v>0</v>
      </c>
    </row>
    <row r="9" spans="1:10" x14ac:dyDescent="0.2">
      <c r="A9" s="15" t="s">
        <v>82</v>
      </c>
      <c r="B9" s="79">
        <f>B4*B6</f>
        <v>4136000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4136000</v>
      </c>
      <c r="C13" s="103">
        <v>9.0999999999999998E-2</v>
      </c>
      <c r="D13" s="104">
        <f>B13*C13</f>
        <v>376376</v>
      </c>
      <c r="E13" s="102">
        <f>B13</f>
        <v>4136000</v>
      </c>
      <c r="F13" s="103">
        <f>C13</f>
        <v>9.0999999999999998E-2</v>
      </c>
      <c r="G13" s="104">
        <f>E13*F13</f>
        <v>376376</v>
      </c>
      <c r="H13" s="104">
        <f>G13-D13</f>
        <v>0</v>
      </c>
      <c r="I13" s="105">
        <f t="shared" ref="I13:I18" si="0">IF(ISERROR(H13/ABS(D13)),"N/A",(H13/ABS(D13)))</f>
        <v>0</v>
      </c>
      <c r="J13" s="123">
        <f t="shared" ref="J13:J27" si="1">G13/$G$36</f>
        <v>0.66235138550033179</v>
      </c>
    </row>
    <row r="14" spans="1:10" x14ac:dyDescent="0.2">
      <c r="A14" s="107" t="s">
        <v>32</v>
      </c>
      <c r="B14" s="73">
        <v>0</v>
      </c>
      <c r="C14" s="21">
        <v>0.106</v>
      </c>
      <c r="D14" s="22">
        <f>B14*C14</f>
        <v>0</v>
      </c>
      <c r="E14" s="73">
        <f>B14</f>
        <v>0</v>
      </c>
      <c r="F14" s="21">
        <f>C14</f>
        <v>0.106</v>
      </c>
      <c r="G14" s="22">
        <f>E14*F14</f>
        <v>0</v>
      </c>
      <c r="H14" s="22">
        <f t="shared" ref="H14:H36" si="2">G14-D14</f>
        <v>0</v>
      </c>
      <c r="I14" s="23" t="str">
        <f t="shared" si="0"/>
        <v>N/A</v>
      </c>
      <c r="J14" s="124">
        <f t="shared" si="1"/>
        <v>0</v>
      </c>
    </row>
    <row r="15" spans="1:10" s="1" customFormat="1" x14ac:dyDescent="0.2">
      <c r="A15" s="46" t="s">
        <v>33</v>
      </c>
      <c r="B15" s="24"/>
      <c r="C15" s="25"/>
      <c r="D15" s="25">
        <f>SUM(D13:D14)</f>
        <v>376376</v>
      </c>
      <c r="E15" s="76"/>
      <c r="F15" s="25"/>
      <c r="G15" s="25">
        <f>SUM(G13:G14)</f>
        <v>376376</v>
      </c>
      <c r="H15" s="25">
        <f t="shared" si="2"/>
        <v>0</v>
      </c>
      <c r="I15" s="27">
        <f t="shared" si="0"/>
        <v>0</v>
      </c>
      <c r="J15" s="47">
        <f t="shared" si="1"/>
        <v>0.66235138550033179</v>
      </c>
    </row>
    <row r="16" spans="1:10" s="1" customFormat="1" x14ac:dyDescent="0.2">
      <c r="A16" s="107" t="s">
        <v>38</v>
      </c>
      <c r="B16" s="73">
        <v>1</v>
      </c>
      <c r="C16" s="78">
        <f>VLOOKUP($B$3,'Data for Bill Impacts'!$A$3:$Y$15,7,0)</f>
        <v>1223.97</v>
      </c>
      <c r="D16" s="22">
        <f>B16*C16</f>
        <v>1223.97</v>
      </c>
      <c r="E16" s="73">
        <f t="shared" ref="E16:E31" si="3">B16</f>
        <v>1</v>
      </c>
      <c r="F16" s="78">
        <f>VLOOKUP($B$3,'Data for Bill Impacts'!$A$3:$Y$15,17,0)</f>
        <v>1255.93</v>
      </c>
      <c r="G16" s="22">
        <f>E16*F16</f>
        <v>1255.93</v>
      </c>
      <c r="H16" s="22">
        <f t="shared" si="2"/>
        <v>31.960000000000036</v>
      </c>
      <c r="I16" s="23">
        <f t="shared" si="0"/>
        <v>2.6111751105010773E-2</v>
      </c>
      <c r="J16" s="124">
        <f t="shared" si="1"/>
        <v>2.2102019671589894E-3</v>
      </c>
    </row>
    <row r="17" spans="1:10" x14ac:dyDescent="0.2">
      <c r="A17" s="107" t="s">
        <v>85</v>
      </c>
      <c r="B17" s="73">
        <v>1</v>
      </c>
      <c r="C17" s="121">
        <f>VLOOKUP($B$3,'Data for Bill Impacts'!$A$3:$Y$15,13,0)</f>
        <v>3.819</v>
      </c>
      <c r="D17" s="22">
        <f>B17*C17</f>
        <v>3.819</v>
      </c>
      <c r="E17" s="73">
        <f t="shared" si="3"/>
        <v>1</v>
      </c>
      <c r="F17" s="121">
        <f>VLOOKUP($B$3,'Data for Bill Impacts'!$A$3:$Y$15,22,0)</f>
        <v>3.819</v>
      </c>
      <c r="G17" s="22">
        <f>E17*F17</f>
        <v>3.819</v>
      </c>
      <c r="H17" s="22">
        <f t="shared" si="2"/>
        <v>0</v>
      </c>
      <c r="I17" s="23">
        <f t="shared" si="0"/>
        <v>0</v>
      </c>
      <c r="J17" s="124">
        <f t="shared" si="1"/>
        <v>6.720725926269919E-6</v>
      </c>
    </row>
    <row r="18" spans="1:10" x14ac:dyDescent="0.2">
      <c r="A18" s="107" t="s">
        <v>39</v>
      </c>
      <c r="B18" s="73">
        <f>IF($B$10="kWh",$B$4,$B$5)</f>
        <v>10000</v>
      </c>
      <c r="C18" s="125">
        <f>VLOOKUP($B$3,'Data for Bill Impacts'!$A$3:$Y$15,10,0)</f>
        <v>1.365848472559207</v>
      </c>
      <c r="D18" s="22">
        <f>B18*C18</f>
        <v>13658.48472559207</v>
      </c>
      <c r="E18" s="73">
        <f t="shared" si="3"/>
        <v>10000</v>
      </c>
      <c r="F18" s="125">
        <f>VLOOKUP($B$3,'Data for Bill Impacts'!$A$3:$Y$15,19,0)</f>
        <v>1.4136569223533728</v>
      </c>
      <c r="G18" s="22">
        <f>E18*F18</f>
        <v>14136.569223533728</v>
      </c>
      <c r="H18" s="22">
        <f t="shared" si="2"/>
        <v>478.0844979416579</v>
      </c>
      <c r="I18" s="23">
        <f t="shared" si="0"/>
        <v>3.5002747928975245E-2</v>
      </c>
      <c r="J18" s="124">
        <f t="shared" si="1"/>
        <v>2.4877718588403392E-2</v>
      </c>
    </row>
    <row r="19" spans="1:10" s="1" customFormat="1" x14ac:dyDescent="0.2">
      <c r="A19" s="107" t="s">
        <v>121</v>
      </c>
      <c r="B19" s="73">
        <f>IF($B$10="kWh",$B$4,$B$5)</f>
        <v>10000</v>
      </c>
      <c r="C19" s="125">
        <f>VLOOKUP($B$3,'Data for Bill Impacts'!$A$3:$Y$15,14,0)</f>
        <v>-0.13666999999999996</v>
      </c>
      <c r="D19" s="22">
        <f>B19*C19</f>
        <v>-1366.6999999999996</v>
      </c>
      <c r="E19" s="73">
        <f>B19</f>
        <v>10000</v>
      </c>
      <c r="F19" s="125">
        <f>VLOOKUP($B$3,'Data for Bill Impacts'!$A$3:$Y$15,23,0)</f>
        <v>-0.13666999999999996</v>
      </c>
      <c r="G19" s="22">
        <f>E19*F19</f>
        <v>-1366.6999999999996</v>
      </c>
      <c r="H19" s="22">
        <f>G19-D19</f>
        <v>0</v>
      </c>
      <c r="I19" s="23">
        <f>IF(ISERROR(H19/ABS(D19)),"N/A",(H19/ABS(D19)))</f>
        <v>0</v>
      </c>
      <c r="J19" s="124">
        <f t="shared" si="1"/>
        <v>-2.4051364554682104E-3</v>
      </c>
    </row>
    <row r="20" spans="1:10" s="1" customFormat="1" x14ac:dyDescent="0.2">
      <c r="A20" s="107" t="s">
        <v>108</v>
      </c>
      <c r="B20" s="73">
        <f>B9</f>
        <v>4136000</v>
      </c>
      <c r="C20" s="125">
        <f>VLOOKUP($B$3,'Data for Bill Impacts'!$A$3:$Y$15,20,0)</f>
        <v>0</v>
      </c>
      <c r="D20" s="22">
        <f>B20*C20</f>
        <v>0</v>
      </c>
      <c r="E20" s="73">
        <f t="shared" si="3"/>
        <v>4136000</v>
      </c>
      <c r="F20" s="125">
        <f>VLOOKUP($B$3,'Data for Bill Impacts'!$A$3:$Y$15,21,0)</f>
        <v>0</v>
      </c>
      <c r="G20" s="22">
        <f>E20*F20</f>
        <v>0</v>
      </c>
      <c r="H20" s="22">
        <f t="shared" si="2"/>
        <v>0</v>
      </c>
      <c r="I20" s="23">
        <f>IF(ISERROR(H20/D20),0,(H20/D20))</f>
        <v>0</v>
      </c>
      <c r="J20" s="124">
        <f t="shared" si="1"/>
        <v>0</v>
      </c>
    </row>
    <row r="21" spans="1:10" x14ac:dyDescent="0.2">
      <c r="A21" s="110" t="s">
        <v>93</v>
      </c>
      <c r="B21" s="74"/>
      <c r="C21" s="35"/>
      <c r="D21" s="35">
        <f>SUM(D16:D20)</f>
        <v>13519.573725592072</v>
      </c>
      <c r="E21" s="73"/>
      <c r="F21" s="35"/>
      <c r="G21" s="35">
        <f>SUM(G16:G20)</f>
        <v>14029.618223533729</v>
      </c>
      <c r="H21" s="35">
        <f t="shared" si="2"/>
        <v>510.04449794165703</v>
      </c>
      <c r="I21" s="36">
        <f>IF(ISERROR(H21/D21),0,(H21/D21))</f>
        <v>3.7726374240347603E-2</v>
      </c>
      <c r="J21" s="111">
        <f t="shared" si="1"/>
        <v>2.4689504826020441E-2</v>
      </c>
    </row>
    <row r="22" spans="1:10" x14ac:dyDescent="0.2">
      <c r="A22" s="107" t="s">
        <v>40</v>
      </c>
      <c r="B22" s="73">
        <f>B5</f>
        <v>10000</v>
      </c>
      <c r="C22" s="125">
        <f>VLOOKUP($B$3,'Data for Bill Impacts'!$A$3:$Y$15,15,0)</f>
        <v>3.4866480000000002</v>
      </c>
      <c r="D22" s="22">
        <f>B22*C22</f>
        <v>34866.480000000003</v>
      </c>
      <c r="E22" s="73">
        <f t="shared" si="3"/>
        <v>10000</v>
      </c>
      <c r="F22" s="125">
        <f>VLOOKUP($B$3,'Data for Bill Impacts'!$A$3:$Y$15,24,0)</f>
        <v>3.4866480000000002</v>
      </c>
      <c r="G22" s="22">
        <f>E22*F22</f>
        <v>34866.480000000003</v>
      </c>
      <c r="H22" s="22">
        <f t="shared" si="2"/>
        <v>0</v>
      </c>
      <c r="I22" s="23">
        <f t="shared" ref="I22:I36" si="4">IF(ISERROR(H22/ABS(D22)),"N/A",(H22/ABS(D22)))</f>
        <v>0</v>
      </c>
      <c r="J22" s="124">
        <f t="shared" si="1"/>
        <v>6.1358485491953822E-2</v>
      </c>
    </row>
    <row r="23" spans="1:10" s="1" customFormat="1" x14ac:dyDescent="0.2">
      <c r="A23" s="107" t="s">
        <v>41</v>
      </c>
      <c r="B23" s="73">
        <f>B5</f>
        <v>10000</v>
      </c>
      <c r="C23" s="125">
        <f>VLOOKUP($B$3,'Data for Bill Impacts'!$A$3:$Y$15,16,0)</f>
        <v>2.6021643999999999</v>
      </c>
      <c r="D23" s="22">
        <f>B23*C23</f>
        <v>26021.644</v>
      </c>
      <c r="E23" s="73">
        <f t="shared" si="3"/>
        <v>10000</v>
      </c>
      <c r="F23" s="125">
        <f>VLOOKUP($B$3,'Data for Bill Impacts'!$A$3:$Y$15,25,0)</f>
        <v>2.6021643999999999</v>
      </c>
      <c r="G23" s="22">
        <f>E23*F23</f>
        <v>26021.644</v>
      </c>
      <c r="H23" s="22">
        <f t="shared" si="2"/>
        <v>0</v>
      </c>
      <c r="I23" s="23">
        <f t="shared" si="4"/>
        <v>0</v>
      </c>
      <c r="J23" s="124">
        <f t="shared" si="1"/>
        <v>4.5793227932696016E-2</v>
      </c>
    </row>
    <row r="24" spans="1:10" x14ac:dyDescent="0.2">
      <c r="A24" s="110" t="s">
        <v>76</v>
      </c>
      <c r="B24" s="74"/>
      <c r="C24" s="35"/>
      <c r="D24" s="35">
        <f>SUM(D22:D23)</f>
        <v>60888.124000000003</v>
      </c>
      <c r="E24" s="73"/>
      <c r="F24" s="35"/>
      <c r="G24" s="35">
        <f>SUM(G22:G23)</f>
        <v>60888.124000000003</v>
      </c>
      <c r="H24" s="35">
        <f t="shared" si="2"/>
        <v>0</v>
      </c>
      <c r="I24" s="36">
        <f t="shared" si="4"/>
        <v>0</v>
      </c>
      <c r="J24" s="111">
        <f t="shared" si="1"/>
        <v>0.10715171342464984</v>
      </c>
    </row>
    <row r="25" spans="1:10" s="1" customFormat="1" x14ac:dyDescent="0.2">
      <c r="A25" s="110" t="s">
        <v>80</v>
      </c>
      <c r="B25" s="74"/>
      <c r="C25" s="35"/>
      <c r="D25" s="35">
        <f>D21+D24</f>
        <v>74407.697725592079</v>
      </c>
      <c r="E25" s="73"/>
      <c r="F25" s="35"/>
      <c r="G25" s="35">
        <f>G21+G24</f>
        <v>74917.742223533729</v>
      </c>
      <c r="H25" s="35">
        <f t="shared" si="2"/>
        <v>510.04449794164975</v>
      </c>
      <c r="I25" s="36">
        <f t="shared" si="4"/>
        <v>6.8547275823886032E-3</v>
      </c>
      <c r="J25" s="111">
        <f t="shared" si="1"/>
        <v>0.13184121825067027</v>
      </c>
    </row>
    <row r="26" spans="1:10" x14ac:dyDescent="0.2">
      <c r="A26" s="107" t="s">
        <v>42</v>
      </c>
      <c r="B26" s="73">
        <f>B9</f>
        <v>4136000</v>
      </c>
      <c r="C26" s="34">
        <v>3.5999999999999999E-3</v>
      </c>
      <c r="D26" s="22">
        <f>B26*C26</f>
        <v>14889.6</v>
      </c>
      <c r="E26" s="73">
        <f t="shared" si="3"/>
        <v>4136000</v>
      </c>
      <c r="F26" s="34">
        <v>3.5999999999999999E-3</v>
      </c>
      <c r="G26" s="22">
        <f>E26*F26</f>
        <v>14889.6</v>
      </c>
      <c r="H26" s="22">
        <f t="shared" si="2"/>
        <v>0</v>
      </c>
      <c r="I26" s="23">
        <f t="shared" si="4"/>
        <v>0</v>
      </c>
      <c r="J26" s="124">
        <f t="shared" si="1"/>
        <v>2.6202911953859282E-2</v>
      </c>
    </row>
    <row r="27" spans="1:10" x14ac:dyDescent="0.2">
      <c r="A27" s="107" t="s">
        <v>43</v>
      </c>
      <c r="B27" s="73">
        <f>B9</f>
        <v>4136000</v>
      </c>
      <c r="C27" s="34">
        <v>2.0999999999999999E-3</v>
      </c>
      <c r="D27" s="22">
        <f>B27*C27</f>
        <v>8685.6</v>
      </c>
      <c r="E27" s="73">
        <f t="shared" si="3"/>
        <v>4136000</v>
      </c>
      <c r="F27" s="34">
        <v>2.0999999999999999E-3</v>
      </c>
      <c r="G27" s="22">
        <f>E27*F27</f>
        <v>8685.6</v>
      </c>
      <c r="H27" s="22">
        <f>G27-D27</f>
        <v>0</v>
      </c>
      <c r="I27" s="23">
        <f t="shared" si="4"/>
        <v>0</v>
      </c>
      <c r="J27" s="124">
        <f t="shared" si="1"/>
        <v>1.5285031973084581E-2</v>
      </c>
    </row>
    <row r="28" spans="1:10" x14ac:dyDescent="0.2">
      <c r="A28" s="107" t="s">
        <v>96</v>
      </c>
      <c r="B28" s="73">
        <f>B9</f>
        <v>4136000</v>
      </c>
      <c r="C28" s="34">
        <v>0</v>
      </c>
      <c r="D28" s="22">
        <f>B28*C28</f>
        <v>0</v>
      </c>
      <c r="E28" s="73">
        <f t="shared" si="3"/>
        <v>4136000</v>
      </c>
      <c r="F28" s="34">
        <v>0</v>
      </c>
      <c r="G28" s="22">
        <f>E28*F28</f>
        <v>0</v>
      </c>
      <c r="H28" s="22">
        <f>G28-D28</f>
        <v>0</v>
      </c>
      <c r="I28" s="23" t="str">
        <f t="shared" si="4"/>
        <v>N/A</v>
      </c>
      <c r="J28" s="124">
        <f>G28/$G$36</f>
        <v>0</v>
      </c>
    </row>
    <row r="29" spans="1:10" x14ac:dyDescent="0.2">
      <c r="A29" s="107" t="s">
        <v>44</v>
      </c>
      <c r="B29" s="73">
        <v>1</v>
      </c>
      <c r="C29" s="22">
        <v>0.25</v>
      </c>
      <c r="D29" s="22">
        <f>B29*C29</f>
        <v>0.25</v>
      </c>
      <c r="E29" s="73">
        <f t="shared" si="3"/>
        <v>1</v>
      </c>
      <c r="F29" s="22">
        <f>C29</f>
        <v>0.25</v>
      </c>
      <c r="G29" s="22">
        <f>E29*F29</f>
        <v>0.25</v>
      </c>
      <c r="H29" s="22">
        <f t="shared" si="2"/>
        <v>0</v>
      </c>
      <c r="I29" s="23">
        <f t="shared" si="4"/>
        <v>0</v>
      </c>
      <c r="J29" s="124">
        <f t="shared" ref="J29:J36" si="5">G29/$G$36</f>
        <v>4.3995325518918038E-7</v>
      </c>
    </row>
    <row r="30" spans="1:10" x14ac:dyDescent="0.2">
      <c r="A30" s="110" t="s">
        <v>45</v>
      </c>
      <c r="B30" s="74"/>
      <c r="C30" s="35"/>
      <c r="D30" s="35">
        <f>SUM(D26:D29)</f>
        <v>23575.45</v>
      </c>
      <c r="E30" s="73"/>
      <c r="F30" s="35"/>
      <c r="G30" s="35">
        <f>SUM(G26:G29)</f>
        <v>23575.45</v>
      </c>
      <c r="H30" s="35">
        <f t="shared" si="2"/>
        <v>0</v>
      </c>
      <c r="I30" s="36">
        <f t="shared" si="4"/>
        <v>0</v>
      </c>
      <c r="J30" s="111">
        <f t="shared" si="5"/>
        <v>4.1488383880199049E-2</v>
      </c>
    </row>
    <row r="31" spans="1:10" ht="13.5" thickBot="1" x14ac:dyDescent="0.25">
      <c r="A31" s="112" t="s">
        <v>46</v>
      </c>
      <c r="B31" s="113">
        <f>B4</f>
        <v>4000000</v>
      </c>
      <c r="C31" s="114">
        <v>7.0000000000000001E-3</v>
      </c>
      <c r="D31" s="115">
        <f>B31*C31</f>
        <v>28000</v>
      </c>
      <c r="E31" s="116">
        <f t="shared" si="3"/>
        <v>4000000</v>
      </c>
      <c r="F31" s="114">
        <f>C31</f>
        <v>7.0000000000000001E-3</v>
      </c>
      <c r="G31" s="115">
        <f>E31*F31</f>
        <v>28000</v>
      </c>
      <c r="H31" s="115">
        <f t="shared" si="2"/>
        <v>0</v>
      </c>
      <c r="I31" s="117">
        <f t="shared" si="4"/>
        <v>0</v>
      </c>
      <c r="J31" s="118">
        <f t="shared" si="5"/>
        <v>4.92747645811882E-2</v>
      </c>
    </row>
    <row r="32" spans="1:10" x14ac:dyDescent="0.2">
      <c r="A32" s="37" t="s">
        <v>111</v>
      </c>
      <c r="B32" s="38"/>
      <c r="C32" s="39"/>
      <c r="D32" s="39">
        <f>SUM(D15,D21,D24,D30,D31)</f>
        <v>502359.14772559208</v>
      </c>
      <c r="E32" s="38"/>
      <c r="F32" s="39"/>
      <c r="G32" s="39">
        <f>SUM(G15,G21,G24,G30,G31)</f>
        <v>502869.19222353376</v>
      </c>
      <c r="H32" s="39">
        <f t="shared" si="2"/>
        <v>510.04449794167886</v>
      </c>
      <c r="I32" s="40">
        <f t="shared" si="4"/>
        <v>1.0152985175066122E-3</v>
      </c>
      <c r="J32" s="41">
        <f t="shared" si="5"/>
        <v>0.88495575221238931</v>
      </c>
    </row>
    <row r="33" spans="1:10" x14ac:dyDescent="0.2">
      <c r="A33" s="46" t="s">
        <v>102</v>
      </c>
      <c r="B33" s="43"/>
      <c r="C33" s="26">
        <v>0.13</v>
      </c>
      <c r="D33" s="26">
        <f>D32*C33</f>
        <v>65306.689204326969</v>
      </c>
      <c r="E33" s="26"/>
      <c r="F33" s="26">
        <f>C33</f>
        <v>0.13</v>
      </c>
      <c r="G33" s="26">
        <f>G32*F33</f>
        <v>65372.994989059393</v>
      </c>
      <c r="H33" s="26">
        <f t="shared" si="2"/>
        <v>66.30578473242349</v>
      </c>
      <c r="I33" s="44">
        <f t="shared" si="4"/>
        <v>1.0152985175066924E-3</v>
      </c>
      <c r="J33" s="45">
        <f t="shared" si="5"/>
        <v>0.11504424778761062</v>
      </c>
    </row>
    <row r="34" spans="1:10" x14ac:dyDescent="0.2">
      <c r="A34" s="46" t="s">
        <v>103</v>
      </c>
      <c r="B34" s="24"/>
      <c r="C34" s="25"/>
      <c r="D34" s="25">
        <f>SUM(D32:D33)</f>
        <v>567665.83692991908</v>
      </c>
      <c r="E34" s="25"/>
      <c r="F34" s="25"/>
      <c r="G34" s="25">
        <f>SUM(G32:G33)</f>
        <v>568242.18721259315</v>
      </c>
      <c r="H34" s="25">
        <f t="shared" si="2"/>
        <v>576.35028267407324</v>
      </c>
      <c r="I34" s="27">
        <f t="shared" si="4"/>
        <v>1.0152985175065701E-3</v>
      </c>
      <c r="J34" s="47">
        <f t="shared" si="5"/>
        <v>1</v>
      </c>
    </row>
    <row r="35" spans="1:10" x14ac:dyDescent="0.2">
      <c r="A35" s="46" t="s">
        <v>104</v>
      </c>
      <c r="B35" s="43"/>
      <c r="C35" s="26">
        <v>0</v>
      </c>
      <c r="D35" s="26">
        <f>D32*C35</f>
        <v>0</v>
      </c>
      <c r="E35" s="26"/>
      <c r="F35" s="26">
        <v>0</v>
      </c>
      <c r="G35" s="26">
        <f>G32*F35</f>
        <v>0</v>
      </c>
      <c r="H35" s="26">
        <f t="shared" si="2"/>
        <v>0</v>
      </c>
      <c r="I35" s="44" t="str">
        <f t="shared" si="4"/>
        <v>N/A</v>
      </c>
      <c r="J35" s="45">
        <f t="shared" si="5"/>
        <v>0</v>
      </c>
    </row>
    <row r="36" spans="1:10" ht="13.5" thickBot="1" x14ac:dyDescent="0.25">
      <c r="A36" s="46" t="s">
        <v>105</v>
      </c>
      <c r="B36" s="49"/>
      <c r="C36" s="50"/>
      <c r="D36" s="50">
        <f>SUM(D34:D35)</f>
        <v>567665.83692991908</v>
      </c>
      <c r="E36" s="50"/>
      <c r="F36" s="50"/>
      <c r="G36" s="50">
        <f>SUM(G34:G35)</f>
        <v>568242.18721259315</v>
      </c>
      <c r="H36" s="50">
        <f t="shared" si="2"/>
        <v>576.35028267407324</v>
      </c>
      <c r="I36" s="51">
        <f t="shared" si="4"/>
        <v>1.0152985175065701E-3</v>
      </c>
      <c r="J36" s="52">
        <f t="shared" si="5"/>
        <v>1</v>
      </c>
    </row>
    <row r="37" spans="1:10" x14ac:dyDescent="0.2">
      <c r="A37" s="169"/>
      <c r="F37" s="69"/>
    </row>
    <row r="38" spans="1:10" x14ac:dyDescent="0.2">
      <c r="A38" s="170"/>
      <c r="F38" s="69"/>
    </row>
    <row r="39" spans="1:10" x14ac:dyDescent="0.2">
      <c r="A39" s="170"/>
    </row>
    <row r="40" spans="1:10" x14ac:dyDescent="0.2">
      <c r="A40" s="170"/>
    </row>
    <row r="41" spans="1:10" x14ac:dyDescent="0.2">
      <c r="A41" s="170"/>
    </row>
    <row r="42" spans="1:10" x14ac:dyDescent="0.2">
      <c r="A42" s="170"/>
    </row>
    <row r="43" spans="1:10" x14ac:dyDescent="0.2">
      <c r="A43" s="170"/>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1" tint="0.499984740745262"/>
    <pageSetUpPr fitToPage="1"/>
  </sheetPr>
  <dimension ref="A1:J48"/>
  <sheetViews>
    <sheetView tabSelected="1" view="pageLayout" topLeftCell="A10"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117</v>
      </c>
      <c r="B1" s="189"/>
      <c r="C1" s="189"/>
      <c r="D1" s="189"/>
      <c r="E1" s="189"/>
      <c r="F1" s="189"/>
      <c r="G1" s="189"/>
      <c r="H1" s="189"/>
      <c r="I1" s="189"/>
      <c r="J1" s="190"/>
    </row>
    <row r="3" spans="1:10" x14ac:dyDescent="0.2">
      <c r="A3" s="13" t="s">
        <v>13</v>
      </c>
      <c r="B3" s="13" t="s">
        <v>12</v>
      </c>
    </row>
    <row r="4" spans="1:10" x14ac:dyDescent="0.2">
      <c r="A4" s="15" t="s">
        <v>62</v>
      </c>
      <c r="B4" s="15">
        <v>100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7">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100</v>
      </c>
      <c r="C12" s="103">
        <v>9.0999999999999998E-2</v>
      </c>
      <c r="D12" s="104">
        <f>B12*C12</f>
        <v>9.1</v>
      </c>
      <c r="E12" s="102">
        <f>B12</f>
        <v>100</v>
      </c>
      <c r="F12" s="103">
        <f>C12</f>
        <v>9.0999999999999998E-2</v>
      </c>
      <c r="G12" s="104">
        <f>E12*F12</f>
        <v>9.1</v>
      </c>
      <c r="H12" s="104">
        <f>G12-D12</f>
        <v>0</v>
      </c>
      <c r="I12" s="105">
        <f t="shared" ref="I12:I18" si="0">IF(ISERROR(H12/ABS(D12)),"N/A",(H12/ABS(D12)))</f>
        <v>0</v>
      </c>
      <c r="J12" s="123">
        <f t="shared" ref="J12:J28" si="1">G12/$G$37</f>
        <v>0.1663820956892357</v>
      </c>
    </row>
    <row r="13" spans="1:10" x14ac:dyDescent="0.2">
      <c r="A13" s="107" t="s">
        <v>32</v>
      </c>
      <c r="B13" s="73">
        <f>IF(B4&gt;B7,(B4)-B7,0)</f>
        <v>0</v>
      </c>
      <c r="C13" s="21">
        <v>0.106</v>
      </c>
      <c r="D13" s="22">
        <f>B13*C13</f>
        <v>0</v>
      </c>
      <c r="E13" s="73">
        <f>B13</f>
        <v>0</v>
      </c>
      <c r="F13" s="21">
        <f>C13</f>
        <v>0.106</v>
      </c>
      <c r="G13" s="22">
        <f>E13*F13</f>
        <v>0</v>
      </c>
      <c r="H13" s="22">
        <f t="shared" ref="H13:H37" si="2">G13-D13</f>
        <v>0</v>
      </c>
      <c r="I13" s="23" t="str">
        <f t="shared" si="0"/>
        <v>N/A</v>
      </c>
      <c r="J13" s="124">
        <f t="shared" si="1"/>
        <v>0</v>
      </c>
    </row>
    <row r="14" spans="1:10" s="1" customFormat="1" x14ac:dyDescent="0.2">
      <c r="A14" s="46" t="s">
        <v>33</v>
      </c>
      <c r="B14" s="24"/>
      <c r="C14" s="25"/>
      <c r="D14" s="25">
        <f>SUM(D12:D13)</f>
        <v>9.1</v>
      </c>
      <c r="E14" s="76"/>
      <c r="F14" s="25"/>
      <c r="G14" s="25">
        <f>SUM(G12:G13)</f>
        <v>9.1</v>
      </c>
      <c r="H14" s="25">
        <f t="shared" si="2"/>
        <v>0</v>
      </c>
      <c r="I14" s="27">
        <f t="shared" si="0"/>
        <v>0</v>
      </c>
      <c r="J14" s="47">
        <f t="shared" si="1"/>
        <v>0.1663820956892357</v>
      </c>
    </row>
    <row r="15" spans="1:10" x14ac:dyDescent="0.2">
      <c r="A15" s="107" t="s">
        <v>38</v>
      </c>
      <c r="B15" s="73">
        <v>1</v>
      </c>
      <c r="C15" s="78">
        <f>VLOOKUP($B$3,'Data for Bill Impacts'!$A$3:$Y$15,7,0)</f>
        <v>35.49</v>
      </c>
      <c r="D15" s="22">
        <f>B15*C15</f>
        <v>35.49</v>
      </c>
      <c r="E15" s="73">
        <f t="shared" ref="E15:E32" si="3">B15</f>
        <v>1</v>
      </c>
      <c r="F15" s="78">
        <f>VLOOKUP($B$3,'Data for Bill Impacts'!$A$3:$Y$15,17,0)</f>
        <v>36.659999999999997</v>
      </c>
      <c r="G15" s="22">
        <f>E15*F15</f>
        <v>36.659999999999997</v>
      </c>
      <c r="H15" s="22">
        <f t="shared" si="2"/>
        <v>1.1699999999999946</v>
      </c>
      <c r="I15" s="23">
        <f t="shared" si="0"/>
        <v>3.2967032967032815E-2</v>
      </c>
      <c r="J15" s="124">
        <f t="shared" si="1"/>
        <v>0.67028215691949233</v>
      </c>
    </row>
    <row r="16" spans="1:10" x14ac:dyDescent="0.2">
      <c r="A16" s="107" t="s">
        <v>85</v>
      </c>
      <c r="B16" s="73">
        <v>1</v>
      </c>
      <c r="C16" s="121">
        <f>VLOOKUP($B$3,'Data for Bill Impacts'!$A$3:$Y$15,13,0)</f>
        <v>2E-3</v>
      </c>
      <c r="D16" s="22">
        <f>B16*C16</f>
        <v>2E-3</v>
      </c>
      <c r="E16" s="73">
        <f t="shared" si="3"/>
        <v>1</v>
      </c>
      <c r="F16" s="121">
        <f>VLOOKUP($B$3,'Data for Bill Impacts'!$A$3:$Y$15,22,0)</f>
        <v>2E-3</v>
      </c>
      <c r="G16" s="22">
        <f>E16*F16</f>
        <v>2E-3</v>
      </c>
      <c r="H16" s="22">
        <f t="shared" si="2"/>
        <v>0</v>
      </c>
      <c r="I16" s="23">
        <f t="shared" si="0"/>
        <v>0</v>
      </c>
      <c r="J16" s="124">
        <f t="shared" si="1"/>
        <v>3.6567493558073782E-5</v>
      </c>
    </row>
    <row r="17" spans="1:10" x14ac:dyDescent="0.2">
      <c r="A17" s="107" t="s">
        <v>39</v>
      </c>
      <c r="B17" s="73">
        <f>IF($B$9="kWh",$B$4,$B$5)</f>
        <v>100</v>
      </c>
      <c r="C17" s="78">
        <f>VLOOKUP($B$3,'Data for Bill Impacts'!$A$3:$Y$15,10,0)</f>
        <v>2.9100000000000001E-2</v>
      </c>
      <c r="D17" s="22">
        <f>B17*C17</f>
        <v>2.91</v>
      </c>
      <c r="E17" s="73">
        <f t="shared" si="3"/>
        <v>100</v>
      </c>
      <c r="F17" s="78">
        <f>VLOOKUP($B$3,'Data for Bill Impacts'!$A$3:$Y$15,19,0)</f>
        <v>2.98E-2</v>
      </c>
      <c r="G17" s="22">
        <f>E17*F17</f>
        <v>2.98</v>
      </c>
      <c r="H17" s="22">
        <f t="shared" si="2"/>
        <v>6.999999999999984E-2</v>
      </c>
      <c r="I17" s="23">
        <f t="shared" si="0"/>
        <v>2.4054982817869358E-2</v>
      </c>
      <c r="J17" s="124">
        <f t="shared" si="1"/>
        <v>5.4485565401529934E-2</v>
      </c>
    </row>
    <row r="18" spans="1:10" s="1" customFormat="1" x14ac:dyDescent="0.2">
      <c r="A18" s="107" t="s">
        <v>121</v>
      </c>
      <c r="B18" s="73">
        <f>IF($B$9="kWh",$B$4,$B$5)</f>
        <v>100</v>
      </c>
      <c r="C18" s="125">
        <f>VLOOKUP($B$3,'Data for Bill Impacts'!$A$3:$Y$15,14,0)</f>
        <v>2.0000000000000002E-5</v>
      </c>
      <c r="D18" s="22">
        <f>B18*C18</f>
        <v>2E-3</v>
      </c>
      <c r="E18" s="73">
        <f>B18</f>
        <v>100</v>
      </c>
      <c r="F18" s="125">
        <f>VLOOKUP($B$3,'Data for Bill Impacts'!$A$3:$Y$15,23,0)</f>
        <v>2.0000000000000002E-5</v>
      </c>
      <c r="G18" s="22">
        <f>E18*F18</f>
        <v>2E-3</v>
      </c>
      <c r="H18" s="22">
        <f>G18-D18</f>
        <v>0</v>
      </c>
      <c r="I18" s="23">
        <f t="shared" si="0"/>
        <v>0</v>
      </c>
      <c r="J18" s="124">
        <f t="shared" si="1"/>
        <v>3.6567493558073782E-5</v>
      </c>
    </row>
    <row r="19" spans="1:10" x14ac:dyDescent="0.2">
      <c r="A19" s="107" t="s">
        <v>108</v>
      </c>
      <c r="B19" s="73">
        <f>B8</f>
        <v>109.2</v>
      </c>
      <c r="C19" s="125">
        <f>VLOOKUP($B$3,'Data for Bill Impacts'!$A$3:$Y$15,20,0)</f>
        <v>0</v>
      </c>
      <c r="D19" s="22">
        <f>B19*C19</f>
        <v>0</v>
      </c>
      <c r="E19" s="73">
        <f t="shared" si="3"/>
        <v>109.2</v>
      </c>
      <c r="F19" s="125">
        <f>VLOOKUP($B$3,'Data for Bill Impacts'!$A$3:$Y$15,21,0)</f>
        <v>0</v>
      </c>
      <c r="G19" s="22">
        <f>E19*F19</f>
        <v>0</v>
      </c>
      <c r="H19" s="22">
        <f t="shared" si="2"/>
        <v>0</v>
      </c>
      <c r="I19" s="23" t="str">
        <f>IF(ISERROR(H19/ABS(D19)),"N/A",(H19/ABS(D19)))</f>
        <v>N/A</v>
      </c>
      <c r="J19" s="124">
        <f t="shared" si="1"/>
        <v>0</v>
      </c>
    </row>
    <row r="20" spans="1:10" x14ac:dyDescent="0.2">
      <c r="A20" s="110" t="s">
        <v>72</v>
      </c>
      <c r="B20" s="74"/>
      <c r="C20" s="35"/>
      <c r="D20" s="35">
        <f>SUM(D15:D19)</f>
        <v>38.404000000000003</v>
      </c>
      <c r="E20" s="73"/>
      <c r="F20" s="35"/>
      <c r="G20" s="35">
        <f>SUM(G15:G19)</f>
        <v>39.643999999999998</v>
      </c>
      <c r="H20" s="35">
        <f t="shared" si="2"/>
        <v>1.2399999999999949</v>
      </c>
      <c r="I20" s="36">
        <f>IF(ISERROR(H20/D20),0,(H20/D20))</f>
        <v>3.2288303301739263E-2</v>
      </c>
      <c r="J20" s="111">
        <f t="shared" si="1"/>
        <v>0.72484085730813841</v>
      </c>
    </row>
    <row r="21" spans="1:10" s="1" customFormat="1" x14ac:dyDescent="0.2">
      <c r="A21" s="119" t="s">
        <v>81</v>
      </c>
      <c r="B21" s="120">
        <f>B8-B4</f>
        <v>9.2000000000000028</v>
      </c>
      <c r="C21" s="172">
        <f>IF(B4&gt;B7,C13,C12)</f>
        <v>9.0999999999999998E-2</v>
      </c>
      <c r="D21" s="22">
        <f>B21*C21</f>
        <v>0.83720000000000028</v>
      </c>
      <c r="E21" s="73">
        <f>B21</f>
        <v>9.2000000000000028</v>
      </c>
      <c r="F21" s="172">
        <f>C21</f>
        <v>9.0999999999999998E-2</v>
      </c>
      <c r="G21" s="22">
        <f>E21*F21</f>
        <v>0.83720000000000028</v>
      </c>
      <c r="H21" s="22">
        <f t="shared" si="2"/>
        <v>0</v>
      </c>
      <c r="I21" s="23">
        <f>IF(ISERROR(H21/D21),0,(H21/D21))</f>
        <v>0</v>
      </c>
      <c r="J21" s="124">
        <f t="shared" si="1"/>
        <v>1.530715280340969E-2</v>
      </c>
    </row>
    <row r="22" spans="1:10" x14ac:dyDescent="0.2">
      <c r="A22" s="110" t="s">
        <v>79</v>
      </c>
      <c r="B22" s="74"/>
      <c r="C22" s="35"/>
      <c r="D22" s="35">
        <f>SUM(D20,D21:D21)</f>
        <v>39.241200000000006</v>
      </c>
      <c r="E22" s="73"/>
      <c r="F22" s="35"/>
      <c r="G22" s="35">
        <f>SUM(G20,G21:G21)</f>
        <v>40.481200000000001</v>
      </c>
      <c r="H22" s="35">
        <f t="shared" si="2"/>
        <v>1.2399999999999949</v>
      </c>
      <c r="I22" s="36">
        <f t="shared" ref="I22:I37" si="4">IF(ISERROR(H22/ABS(D22)),"N/A",(H22/ABS(D22)))</f>
        <v>3.1599441403422801E-2</v>
      </c>
      <c r="J22" s="111">
        <f t="shared" si="1"/>
        <v>0.74014801011154818</v>
      </c>
    </row>
    <row r="23" spans="1:10" x14ac:dyDescent="0.2">
      <c r="A23" s="107" t="s">
        <v>40</v>
      </c>
      <c r="B23" s="73">
        <f>B8</f>
        <v>109.2</v>
      </c>
      <c r="C23" s="125">
        <f>VLOOKUP($B$3,'Data for Bill Impacts'!$A$3:$Y$15,15,0)</f>
        <v>4.7699999999999999E-3</v>
      </c>
      <c r="D23" s="22">
        <f>B23*C23</f>
        <v>0.52088400000000001</v>
      </c>
      <c r="E23" s="73">
        <f t="shared" si="3"/>
        <v>109.2</v>
      </c>
      <c r="F23" s="125">
        <f>VLOOKUP($B$3,'Data for Bill Impacts'!$A$3:$Y$15,24,0)</f>
        <v>4.7699999999999999E-3</v>
      </c>
      <c r="G23" s="22">
        <f>E23*F23</f>
        <v>0.52088400000000001</v>
      </c>
      <c r="H23" s="22">
        <f t="shared" si="2"/>
        <v>0</v>
      </c>
      <c r="I23" s="23">
        <f t="shared" si="4"/>
        <v>0</v>
      </c>
      <c r="J23" s="124">
        <f t="shared" si="1"/>
        <v>9.5237111572518511E-3</v>
      </c>
    </row>
    <row r="24" spans="1:10" s="1" customFormat="1" x14ac:dyDescent="0.2">
      <c r="A24" s="107" t="s">
        <v>41</v>
      </c>
      <c r="B24" s="73">
        <f>B8</f>
        <v>109.2</v>
      </c>
      <c r="C24" s="125">
        <f>VLOOKUP($B$3,'Data for Bill Impacts'!$A$3:$Y$15,16,0)</f>
        <v>3.7950000000000002E-3</v>
      </c>
      <c r="D24" s="22">
        <f>B24*C24</f>
        <v>0.414414</v>
      </c>
      <c r="E24" s="73">
        <f t="shared" si="3"/>
        <v>109.2</v>
      </c>
      <c r="F24" s="125">
        <f>VLOOKUP($B$3,'Data for Bill Impacts'!$A$3:$Y$15,25,0)</f>
        <v>3.7950000000000002E-3</v>
      </c>
      <c r="G24" s="22">
        <f>E24*F24</f>
        <v>0.414414</v>
      </c>
      <c r="H24" s="22">
        <f t="shared" si="2"/>
        <v>0</v>
      </c>
      <c r="I24" s="23">
        <f t="shared" si="4"/>
        <v>0</v>
      </c>
      <c r="J24" s="124">
        <f t="shared" si="1"/>
        <v>7.5770406376877942E-3</v>
      </c>
    </row>
    <row r="25" spans="1:10" s="1" customFormat="1" x14ac:dyDescent="0.2">
      <c r="A25" s="110" t="s">
        <v>76</v>
      </c>
      <c r="B25" s="74"/>
      <c r="C25" s="35"/>
      <c r="D25" s="35">
        <f>SUM(D23:D24)</f>
        <v>0.93529799999999996</v>
      </c>
      <c r="E25" s="73"/>
      <c r="F25" s="35"/>
      <c r="G25" s="35">
        <f>SUM(G23:G24)</f>
        <v>0.93529799999999996</v>
      </c>
      <c r="H25" s="35">
        <f t="shared" si="2"/>
        <v>0</v>
      </c>
      <c r="I25" s="36">
        <f t="shared" si="4"/>
        <v>0</v>
      </c>
      <c r="J25" s="111">
        <f t="shared" si="1"/>
        <v>1.7100751794939646E-2</v>
      </c>
    </row>
    <row r="26" spans="1:10" s="1" customFormat="1" x14ac:dyDescent="0.2">
      <c r="A26" s="110" t="s">
        <v>80</v>
      </c>
      <c r="B26" s="74"/>
      <c r="C26" s="35"/>
      <c r="D26" s="35">
        <f>D22+D25</f>
        <v>40.176498000000009</v>
      </c>
      <c r="E26" s="73"/>
      <c r="F26" s="35"/>
      <c r="G26" s="35">
        <f>G22+G25</f>
        <v>41.416498000000004</v>
      </c>
      <c r="H26" s="35">
        <f t="shared" si="2"/>
        <v>1.2399999999999949</v>
      </c>
      <c r="I26" s="36">
        <f t="shared" si="4"/>
        <v>3.0863814959681022E-2</v>
      </c>
      <c r="J26" s="111">
        <f t="shared" si="1"/>
        <v>0.75724876190648793</v>
      </c>
    </row>
    <row r="27" spans="1:10" x14ac:dyDescent="0.2">
      <c r="A27" s="107" t="s">
        <v>42</v>
      </c>
      <c r="B27" s="73">
        <f>B8</f>
        <v>109.2</v>
      </c>
      <c r="C27" s="34">
        <v>3.5999999999999999E-3</v>
      </c>
      <c r="D27" s="22">
        <f>B27*C27</f>
        <v>0.39312000000000002</v>
      </c>
      <c r="E27" s="73">
        <f t="shared" si="3"/>
        <v>109.2</v>
      </c>
      <c r="F27" s="34">
        <v>3.5999999999999999E-3</v>
      </c>
      <c r="G27" s="22">
        <f>E27*F27</f>
        <v>0.39312000000000002</v>
      </c>
      <c r="H27" s="22">
        <f t="shared" si="2"/>
        <v>0</v>
      </c>
      <c r="I27" s="23">
        <f t="shared" si="4"/>
        <v>0</v>
      </c>
      <c r="J27" s="124">
        <f t="shared" si="1"/>
        <v>7.1877065337749829E-3</v>
      </c>
    </row>
    <row r="28" spans="1:10" s="1" customFormat="1" x14ac:dyDescent="0.2">
      <c r="A28" s="107" t="s">
        <v>43</v>
      </c>
      <c r="B28" s="73">
        <f>B8</f>
        <v>109.2</v>
      </c>
      <c r="C28" s="34">
        <v>2.0999999999999999E-3</v>
      </c>
      <c r="D28" s="22">
        <f>B28*C28</f>
        <v>0.22932</v>
      </c>
      <c r="E28" s="73">
        <f t="shared" si="3"/>
        <v>109.2</v>
      </c>
      <c r="F28" s="34">
        <v>2.0999999999999999E-3</v>
      </c>
      <c r="G28" s="22">
        <f>E28*F28</f>
        <v>0.22932</v>
      </c>
      <c r="H28" s="22">
        <f>G28-D28</f>
        <v>0</v>
      </c>
      <c r="I28" s="23">
        <f t="shared" si="4"/>
        <v>0</v>
      </c>
      <c r="J28" s="124">
        <f t="shared" si="1"/>
        <v>4.1928288113687396E-3</v>
      </c>
    </row>
    <row r="29" spans="1:10" s="1" customFormat="1" x14ac:dyDescent="0.2">
      <c r="A29" s="107" t="s">
        <v>96</v>
      </c>
      <c r="B29" s="73">
        <f>B8</f>
        <v>109.2</v>
      </c>
      <c r="C29" s="34">
        <v>0</v>
      </c>
      <c r="D29" s="22">
        <f>B29*C29</f>
        <v>0</v>
      </c>
      <c r="E29" s="73">
        <f t="shared" si="3"/>
        <v>109.2</v>
      </c>
      <c r="F29" s="34">
        <v>0</v>
      </c>
      <c r="G29" s="22">
        <f>E29*F29</f>
        <v>0</v>
      </c>
      <c r="H29" s="22">
        <f>G29-D29</f>
        <v>0</v>
      </c>
      <c r="I29" s="23" t="str">
        <f t="shared" si="4"/>
        <v>N/A</v>
      </c>
      <c r="J29" s="124">
        <f>G29/$G$37</f>
        <v>0</v>
      </c>
    </row>
    <row r="30" spans="1:10" x14ac:dyDescent="0.2">
      <c r="A30" s="107" t="s">
        <v>44</v>
      </c>
      <c r="B30" s="73">
        <v>1</v>
      </c>
      <c r="C30" s="22">
        <v>0.25</v>
      </c>
      <c r="D30" s="22">
        <f>B30*C30</f>
        <v>0.25</v>
      </c>
      <c r="E30" s="73">
        <f t="shared" si="3"/>
        <v>1</v>
      </c>
      <c r="F30" s="22">
        <f>C30</f>
        <v>0.25</v>
      </c>
      <c r="G30" s="22">
        <f>E30*F30</f>
        <v>0.25</v>
      </c>
      <c r="H30" s="22">
        <f t="shared" si="2"/>
        <v>0</v>
      </c>
      <c r="I30" s="23">
        <f t="shared" si="4"/>
        <v>0</v>
      </c>
      <c r="J30" s="124">
        <f t="shared" ref="J30:J37" si="5">G30/$G$37</f>
        <v>4.5709366947592226E-3</v>
      </c>
    </row>
    <row r="31" spans="1:10" s="1" customFormat="1" x14ac:dyDescent="0.2">
      <c r="A31" s="110" t="s">
        <v>45</v>
      </c>
      <c r="B31" s="74"/>
      <c r="C31" s="35"/>
      <c r="D31" s="35">
        <f>SUM(D27:D30)</f>
        <v>0.87243999999999999</v>
      </c>
      <c r="E31" s="73"/>
      <c r="F31" s="35"/>
      <c r="G31" s="35">
        <f>SUM(G27:G30)</f>
        <v>0.87243999999999999</v>
      </c>
      <c r="H31" s="35">
        <f t="shared" si="2"/>
        <v>0</v>
      </c>
      <c r="I31" s="36">
        <f t="shared" si="4"/>
        <v>0</v>
      </c>
      <c r="J31" s="111">
        <f t="shared" si="5"/>
        <v>1.5951472039902943E-2</v>
      </c>
    </row>
    <row r="32" spans="1:10" ht="13.5" thickBot="1" x14ac:dyDescent="0.25">
      <c r="A32" s="112" t="s">
        <v>46</v>
      </c>
      <c r="B32" s="113">
        <f>B4</f>
        <v>100</v>
      </c>
      <c r="C32" s="114">
        <v>7.0000000000000001E-3</v>
      </c>
      <c r="D32" s="115">
        <f>B32*C32</f>
        <v>0.70000000000000007</v>
      </c>
      <c r="E32" s="116">
        <f t="shared" si="3"/>
        <v>100</v>
      </c>
      <c r="F32" s="114">
        <f>C32</f>
        <v>7.0000000000000001E-3</v>
      </c>
      <c r="G32" s="115">
        <f>E32*F32</f>
        <v>0.70000000000000007</v>
      </c>
      <c r="H32" s="115">
        <f t="shared" si="2"/>
        <v>0</v>
      </c>
      <c r="I32" s="117">
        <f t="shared" si="4"/>
        <v>0</v>
      </c>
      <c r="J32" s="118">
        <f t="shared" si="5"/>
        <v>1.2798622745325824E-2</v>
      </c>
    </row>
    <row r="33" spans="1:10" x14ac:dyDescent="0.2">
      <c r="A33" s="37" t="s">
        <v>111</v>
      </c>
      <c r="B33" s="38"/>
      <c r="C33" s="39"/>
      <c r="D33" s="39">
        <f>SUM(D14,D22,D25,D31,D32)</f>
        <v>50.848938000000011</v>
      </c>
      <c r="E33" s="38"/>
      <c r="F33" s="39"/>
      <c r="G33" s="39">
        <f>SUM(G14,G22,G25,G31,G32)</f>
        <v>52.088938000000006</v>
      </c>
      <c r="H33" s="39">
        <f t="shared" si="2"/>
        <v>1.2399999999999949</v>
      </c>
      <c r="I33" s="40">
        <f t="shared" si="4"/>
        <v>2.4385956693923374E-2</v>
      </c>
      <c r="J33" s="41">
        <f t="shared" si="5"/>
        <v>0.95238095238095244</v>
      </c>
    </row>
    <row r="34" spans="1:10" x14ac:dyDescent="0.2">
      <c r="A34" s="46" t="s">
        <v>102</v>
      </c>
      <c r="B34" s="43"/>
      <c r="C34" s="26">
        <v>0.13</v>
      </c>
      <c r="D34" s="26">
        <f>D33*C34</f>
        <v>6.6103619400000015</v>
      </c>
      <c r="E34" s="26"/>
      <c r="F34" s="26">
        <f>C34</f>
        <v>0.13</v>
      </c>
      <c r="G34" s="26">
        <f>G33*F34</f>
        <v>6.7715619400000007</v>
      </c>
      <c r="H34" s="26">
        <f t="shared" si="2"/>
        <v>0.16119999999999912</v>
      </c>
      <c r="I34" s="44">
        <f t="shared" si="4"/>
        <v>2.4385956693923343E-2</v>
      </c>
      <c r="J34" s="45">
        <f t="shared" si="5"/>
        <v>0.12380952380952381</v>
      </c>
    </row>
    <row r="35" spans="1:10" x14ac:dyDescent="0.2">
      <c r="A35" s="46" t="s">
        <v>103</v>
      </c>
      <c r="B35" s="24"/>
      <c r="C35" s="25"/>
      <c r="D35" s="25">
        <f>SUM(D33:D34)</f>
        <v>57.459299940000015</v>
      </c>
      <c r="E35" s="25"/>
      <c r="F35" s="25"/>
      <c r="G35" s="25">
        <f>SUM(G33:G34)</f>
        <v>58.860499940000004</v>
      </c>
      <c r="H35" s="25">
        <f t="shared" si="2"/>
        <v>1.4011999999999887</v>
      </c>
      <c r="I35" s="27">
        <f t="shared" si="4"/>
        <v>2.4385956693923277E-2</v>
      </c>
      <c r="J35" s="47">
        <f t="shared" si="5"/>
        <v>1.0761904761904761</v>
      </c>
    </row>
    <row r="36" spans="1:10" x14ac:dyDescent="0.2">
      <c r="A36" s="46" t="s">
        <v>104</v>
      </c>
      <c r="B36" s="43"/>
      <c r="C36" s="26">
        <v>-0.08</v>
      </c>
      <c r="D36" s="26">
        <f>D33*C36</f>
        <v>-4.0679150400000008</v>
      </c>
      <c r="E36" s="26"/>
      <c r="F36" s="26">
        <f>C36</f>
        <v>-0.08</v>
      </c>
      <c r="G36" s="26">
        <f>G33*F36</f>
        <v>-4.1671150400000005</v>
      </c>
      <c r="H36" s="26">
        <f t="shared" si="2"/>
        <v>-9.9199999999999733E-2</v>
      </c>
      <c r="I36" s="44">
        <f t="shared" si="4"/>
        <v>-2.4385956693923409E-2</v>
      </c>
      <c r="J36" s="45">
        <f t="shared" si="5"/>
        <v>-7.6190476190476197E-2</v>
      </c>
    </row>
    <row r="37" spans="1:10" ht="13.5" thickBot="1" x14ac:dyDescent="0.25">
      <c r="A37" s="48" t="s">
        <v>105</v>
      </c>
      <c r="B37" s="49"/>
      <c r="C37" s="50"/>
      <c r="D37" s="50">
        <f>SUM(D35:D36)</f>
        <v>53.391384900000013</v>
      </c>
      <c r="E37" s="50"/>
      <c r="F37" s="50"/>
      <c r="G37" s="50">
        <f>SUM(G35:G36)</f>
        <v>54.693384900000005</v>
      </c>
      <c r="H37" s="50">
        <f t="shared" si="2"/>
        <v>1.3019999999999925</v>
      </c>
      <c r="I37" s="51">
        <f t="shared" si="4"/>
        <v>2.4385956693923332E-2</v>
      </c>
      <c r="J37" s="52">
        <f t="shared" si="5"/>
        <v>1</v>
      </c>
    </row>
    <row r="38" spans="1:10" x14ac:dyDescent="0.2">
      <c r="A38" s="170"/>
      <c r="D38" s="72"/>
      <c r="F38" s="69"/>
    </row>
    <row r="39" spans="1:10" x14ac:dyDescent="0.2">
      <c r="A39" s="170"/>
      <c r="F39" s="69"/>
    </row>
    <row r="40" spans="1:10" x14ac:dyDescent="0.2">
      <c r="A40" s="171"/>
      <c r="B40" s="71"/>
      <c r="F40" s="69"/>
    </row>
    <row r="41" spans="1:10" x14ac:dyDescent="0.2">
      <c r="A41" s="170"/>
      <c r="B41" s="72"/>
      <c r="D41" s="72"/>
      <c r="F41" s="69"/>
    </row>
    <row r="42" spans="1:10" x14ac:dyDescent="0.2">
      <c r="A42" s="170"/>
      <c r="F42" s="69"/>
    </row>
    <row r="43" spans="1:10" x14ac:dyDescent="0.2">
      <c r="A43" s="170"/>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scale="79"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1" tint="0.499984740745262"/>
    <pageSetUpPr fitToPage="1"/>
  </sheetPr>
  <dimension ref="A1:J48"/>
  <sheetViews>
    <sheetView tabSelected="1" view="pageLayout" topLeftCell="A4"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119</v>
      </c>
      <c r="B1" s="189"/>
      <c r="C1" s="189"/>
      <c r="D1" s="189"/>
      <c r="E1" s="189"/>
      <c r="F1" s="189"/>
      <c r="G1" s="189"/>
      <c r="H1" s="189"/>
      <c r="I1" s="189"/>
      <c r="J1" s="190"/>
    </row>
    <row r="3" spans="1:10" x14ac:dyDescent="0.2">
      <c r="A3" s="13" t="s">
        <v>13</v>
      </c>
      <c r="B3" s="13" t="s">
        <v>12</v>
      </c>
    </row>
    <row r="4" spans="1:10" x14ac:dyDescent="0.2">
      <c r="A4" s="15" t="s">
        <v>62</v>
      </c>
      <c r="B4" s="167">
        <f>VLOOKUP(B3,'Data for Bill Impacts'!A18:D31,3,FALSE)</f>
        <v>364</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7">
        <f>B4*B6</f>
        <v>397.48800000000006</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364</v>
      </c>
      <c r="C12" s="103">
        <v>9.0999999999999998E-2</v>
      </c>
      <c r="D12" s="104">
        <f>B12*C12</f>
        <v>33.124000000000002</v>
      </c>
      <c r="E12" s="102">
        <f>B12</f>
        <v>364</v>
      </c>
      <c r="F12" s="103">
        <f>C12</f>
        <v>9.0999999999999998E-2</v>
      </c>
      <c r="G12" s="104">
        <f>E12*F12</f>
        <v>33.124000000000002</v>
      </c>
      <c r="H12" s="104">
        <f>G12-D12</f>
        <v>0</v>
      </c>
      <c r="I12" s="105">
        <f t="shared" ref="I12:I18" si="0">IF(ISERROR(H12/ABS(D12)),"N/A",(H12/ABS(D12)))</f>
        <v>0</v>
      </c>
      <c r="J12" s="123">
        <f t="shared" ref="J12:J28" si="1">G12/$G$37</f>
        <v>0.34231789652283656</v>
      </c>
    </row>
    <row r="13" spans="1:10" x14ac:dyDescent="0.2">
      <c r="A13" s="107" t="s">
        <v>32</v>
      </c>
      <c r="B13" s="73">
        <f>IF(B4&gt;B7,(B4)-B7,0)</f>
        <v>0</v>
      </c>
      <c r="C13" s="21">
        <v>0.106</v>
      </c>
      <c r="D13" s="22">
        <f>B13*C13</f>
        <v>0</v>
      </c>
      <c r="E13" s="73">
        <f>B13</f>
        <v>0</v>
      </c>
      <c r="F13" s="21">
        <f>C13</f>
        <v>0.106</v>
      </c>
      <c r="G13" s="22">
        <f>E13*F13</f>
        <v>0</v>
      </c>
      <c r="H13" s="22">
        <f t="shared" ref="H13:H37" si="2">G13-D13</f>
        <v>0</v>
      </c>
      <c r="I13" s="23" t="str">
        <f t="shared" si="0"/>
        <v>N/A</v>
      </c>
      <c r="J13" s="124">
        <f t="shared" si="1"/>
        <v>0</v>
      </c>
    </row>
    <row r="14" spans="1:10" s="1" customFormat="1" x14ac:dyDescent="0.2">
      <c r="A14" s="46" t="s">
        <v>33</v>
      </c>
      <c r="B14" s="24"/>
      <c r="C14" s="25"/>
      <c r="D14" s="25">
        <f>SUM(D12:D13)</f>
        <v>33.124000000000002</v>
      </c>
      <c r="E14" s="76"/>
      <c r="F14" s="25"/>
      <c r="G14" s="25">
        <f>SUM(G12:G13)</f>
        <v>33.124000000000002</v>
      </c>
      <c r="H14" s="25">
        <f t="shared" si="2"/>
        <v>0</v>
      </c>
      <c r="I14" s="27">
        <f t="shared" si="0"/>
        <v>0</v>
      </c>
      <c r="J14" s="47">
        <f t="shared" si="1"/>
        <v>0.34231789652283656</v>
      </c>
    </row>
    <row r="15" spans="1:10" x14ac:dyDescent="0.2">
      <c r="A15" s="107" t="s">
        <v>38</v>
      </c>
      <c r="B15" s="73">
        <v>1</v>
      </c>
      <c r="C15" s="78">
        <f>VLOOKUP($B$3,'Data for Bill Impacts'!$A$3:$Y$15,7,0)</f>
        <v>35.49</v>
      </c>
      <c r="D15" s="22">
        <f>B15*C15</f>
        <v>35.49</v>
      </c>
      <c r="E15" s="73">
        <f t="shared" ref="E15:E32" si="3">B15</f>
        <v>1</v>
      </c>
      <c r="F15" s="78">
        <f>VLOOKUP($B$3,'Data for Bill Impacts'!$A$3:$Y$15,17,0)</f>
        <v>36.659999999999997</v>
      </c>
      <c r="G15" s="22">
        <f>E15*F15</f>
        <v>36.659999999999997</v>
      </c>
      <c r="H15" s="22">
        <f t="shared" si="2"/>
        <v>1.1699999999999946</v>
      </c>
      <c r="I15" s="23">
        <f t="shared" si="0"/>
        <v>3.2967032967032815E-2</v>
      </c>
      <c r="J15" s="124">
        <f t="shared" si="1"/>
        <v>0.3788604663243324</v>
      </c>
    </row>
    <row r="16" spans="1:10" x14ac:dyDescent="0.2">
      <c r="A16" s="107" t="s">
        <v>85</v>
      </c>
      <c r="B16" s="73">
        <v>1</v>
      </c>
      <c r="C16" s="121">
        <f>VLOOKUP($B$3,'Data for Bill Impacts'!$A$3:$Y$15,13,0)</f>
        <v>2E-3</v>
      </c>
      <c r="D16" s="22">
        <f>B16*C16</f>
        <v>2E-3</v>
      </c>
      <c r="E16" s="73">
        <f t="shared" si="3"/>
        <v>1</v>
      </c>
      <c r="F16" s="121">
        <f>VLOOKUP($B$3,'Data for Bill Impacts'!$A$3:$Y$15,22,0)</f>
        <v>2E-3</v>
      </c>
      <c r="G16" s="22">
        <f>E16*F16</f>
        <v>2E-3</v>
      </c>
      <c r="H16" s="22">
        <f t="shared" si="2"/>
        <v>0</v>
      </c>
      <c r="I16" s="23">
        <f t="shared" si="0"/>
        <v>0</v>
      </c>
      <c r="J16" s="124">
        <f t="shared" si="1"/>
        <v>2.0668874322113064E-5</v>
      </c>
    </row>
    <row r="17" spans="1:10" x14ac:dyDescent="0.2">
      <c r="A17" s="107" t="s">
        <v>39</v>
      </c>
      <c r="B17" s="73">
        <f>IF($B$9="kWh",$B$4,$B$5)</f>
        <v>364</v>
      </c>
      <c r="C17" s="78">
        <f>VLOOKUP($B$3,'Data for Bill Impacts'!$A$3:$Y$15,10,0)</f>
        <v>2.9100000000000001E-2</v>
      </c>
      <c r="D17" s="22">
        <f>B17*C17</f>
        <v>10.5924</v>
      </c>
      <c r="E17" s="73">
        <f t="shared" si="3"/>
        <v>364</v>
      </c>
      <c r="F17" s="78">
        <f>VLOOKUP($B$3,'Data for Bill Impacts'!$A$3:$Y$15,19,0)</f>
        <v>2.98E-2</v>
      </c>
      <c r="G17" s="22">
        <f>E17*F17</f>
        <v>10.847200000000001</v>
      </c>
      <c r="H17" s="22">
        <f t="shared" si="2"/>
        <v>0.25480000000000125</v>
      </c>
      <c r="I17" s="23">
        <f t="shared" si="0"/>
        <v>2.4054982817869535E-2</v>
      </c>
      <c r="J17" s="124">
        <f t="shared" si="1"/>
        <v>0.11209970677341242</v>
      </c>
    </row>
    <row r="18" spans="1:10" s="1" customFormat="1" x14ac:dyDescent="0.2">
      <c r="A18" s="107" t="s">
        <v>121</v>
      </c>
      <c r="B18" s="73">
        <f>IF($B$9="kWh",$B$4,$B$5)</f>
        <v>364</v>
      </c>
      <c r="C18" s="125">
        <f>VLOOKUP($B$3,'Data for Bill Impacts'!$A$3:$Y$15,14,0)</f>
        <v>2.0000000000000002E-5</v>
      </c>
      <c r="D18" s="22">
        <f>B18*C18</f>
        <v>7.2800000000000009E-3</v>
      </c>
      <c r="E18" s="73">
        <f>B18</f>
        <v>364</v>
      </c>
      <c r="F18" s="125">
        <f>VLOOKUP($B$3,'Data for Bill Impacts'!$A$3:$Y$15,23,0)</f>
        <v>2.0000000000000002E-5</v>
      </c>
      <c r="G18" s="22">
        <f>E18*F18</f>
        <v>7.2800000000000009E-3</v>
      </c>
      <c r="H18" s="22">
        <f>G18-D18</f>
        <v>0</v>
      </c>
      <c r="I18" s="23">
        <f t="shared" si="0"/>
        <v>0</v>
      </c>
      <c r="J18" s="124">
        <f t="shared" si="1"/>
        <v>7.5234702532491564E-5</v>
      </c>
    </row>
    <row r="19" spans="1:10" x14ac:dyDescent="0.2">
      <c r="A19" s="107" t="s">
        <v>108</v>
      </c>
      <c r="B19" s="73">
        <f>B8</f>
        <v>397.48800000000006</v>
      </c>
      <c r="C19" s="125">
        <f>VLOOKUP($B$3,'Data for Bill Impacts'!$A$3:$Y$15,20,0)</f>
        <v>0</v>
      </c>
      <c r="D19" s="22">
        <f>B19*C19</f>
        <v>0</v>
      </c>
      <c r="E19" s="73">
        <f t="shared" si="3"/>
        <v>397.48800000000006</v>
      </c>
      <c r="F19" s="125">
        <f>VLOOKUP($B$3,'Data for Bill Impacts'!$A$3:$Y$15,21,0)</f>
        <v>0</v>
      </c>
      <c r="G19" s="22">
        <f>E19*F19</f>
        <v>0</v>
      </c>
      <c r="H19" s="22">
        <f t="shared" si="2"/>
        <v>0</v>
      </c>
      <c r="I19" s="23" t="str">
        <f>IF(ISERROR(H19/ABS(D19)),"N/A",(H19/ABS(D19)))</f>
        <v>N/A</v>
      </c>
      <c r="J19" s="124">
        <f t="shared" si="1"/>
        <v>0</v>
      </c>
    </row>
    <row r="20" spans="1:10" x14ac:dyDescent="0.2">
      <c r="A20" s="110" t="s">
        <v>72</v>
      </c>
      <c r="B20" s="74"/>
      <c r="C20" s="35"/>
      <c r="D20" s="35">
        <f>SUM(D15:D19)</f>
        <v>46.091680000000004</v>
      </c>
      <c r="E20" s="73"/>
      <c r="F20" s="35"/>
      <c r="G20" s="35">
        <f>SUM(G15:G19)</f>
        <v>47.516480000000001</v>
      </c>
      <c r="H20" s="35">
        <f t="shared" si="2"/>
        <v>1.4247999999999976</v>
      </c>
      <c r="I20" s="36">
        <f>IF(ISERROR(H20/D20),0,(H20/D20))</f>
        <v>3.0912303478632098E-2</v>
      </c>
      <c r="J20" s="111">
        <f t="shared" si="1"/>
        <v>0.4910560766745995</v>
      </c>
    </row>
    <row r="21" spans="1:10" s="1" customFormat="1" x14ac:dyDescent="0.2">
      <c r="A21" s="119" t="s">
        <v>81</v>
      </c>
      <c r="B21" s="120">
        <f>B8-B4</f>
        <v>33.488000000000056</v>
      </c>
      <c r="C21" s="172">
        <f>IF(B4&gt;B7,C13,C12)</f>
        <v>9.0999999999999998E-2</v>
      </c>
      <c r="D21" s="22">
        <f>B21*C21</f>
        <v>3.0474080000000052</v>
      </c>
      <c r="E21" s="73">
        <f>B21</f>
        <v>33.488000000000056</v>
      </c>
      <c r="F21" s="172">
        <f>C21</f>
        <v>9.0999999999999998E-2</v>
      </c>
      <c r="G21" s="22">
        <f>E21*F21</f>
        <v>3.0474080000000052</v>
      </c>
      <c r="H21" s="22">
        <f t="shared" si="2"/>
        <v>0</v>
      </c>
      <c r="I21" s="23">
        <f>IF(ISERROR(H21/D21),0,(H21/D21))</f>
        <v>0</v>
      </c>
      <c r="J21" s="124">
        <f t="shared" si="1"/>
        <v>3.1493246480101017E-2</v>
      </c>
    </row>
    <row r="22" spans="1:10" x14ac:dyDescent="0.2">
      <c r="A22" s="110" t="s">
        <v>79</v>
      </c>
      <c r="B22" s="74"/>
      <c r="C22" s="35"/>
      <c r="D22" s="35">
        <f>SUM(D20,D21:D21)</f>
        <v>49.139088000000008</v>
      </c>
      <c r="E22" s="73"/>
      <c r="F22" s="35"/>
      <c r="G22" s="35">
        <f>SUM(G20,G21:G21)</f>
        <v>50.563888000000006</v>
      </c>
      <c r="H22" s="35">
        <f t="shared" si="2"/>
        <v>1.4247999999999976</v>
      </c>
      <c r="I22" s="36">
        <f t="shared" ref="I22:I37" si="4">IF(ISERROR(H22/ABS(D22)),"N/A",(H22/ABS(D22)))</f>
        <v>2.8995247123837491E-2</v>
      </c>
      <c r="J22" s="111">
        <f t="shared" si="1"/>
        <v>0.52254932315470048</v>
      </c>
    </row>
    <row r="23" spans="1:10" x14ac:dyDescent="0.2">
      <c r="A23" s="107" t="s">
        <v>40</v>
      </c>
      <c r="B23" s="73">
        <f>B8</f>
        <v>397.48800000000006</v>
      </c>
      <c r="C23" s="125">
        <f>VLOOKUP($B$3,'Data for Bill Impacts'!$A$3:$Y$15,15,0)</f>
        <v>4.7699999999999999E-3</v>
      </c>
      <c r="D23" s="22">
        <f>B23*C23</f>
        <v>1.8960177600000003</v>
      </c>
      <c r="E23" s="73">
        <f t="shared" si="3"/>
        <v>397.48800000000006</v>
      </c>
      <c r="F23" s="125">
        <f>VLOOKUP($B$3,'Data for Bill Impacts'!$A$3:$Y$15,24,0)</f>
        <v>4.7699999999999999E-3</v>
      </c>
      <c r="G23" s="22">
        <f>E23*F23</f>
        <v>1.8960177600000003</v>
      </c>
      <c r="H23" s="22">
        <f t="shared" si="2"/>
        <v>0</v>
      </c>
      <c r="I23" s="23">
        <f t="shared" si="4"/>
        <v>0</v>
      </c>
      <c r="J23" s="124">
        <f t="shared" si="1"/>
        <v>1.9594276396967168E-2</v>
      </c>
    </row>
    <row r="24" spans="1:10" s="1" customFormat="1" x14ac:dyDescent="0.2">
      <c r="A24" s="107" t="s">
        <v>41</v>
      </c>
      <c r="B24" s="73">
        <f>B8</f>
        <v>397.48800000000006</v>
      </c>
      <c r="C24" s="125">
        <f>VLOOKUP($B$3,'Data for Bill Impacts'!$A$3:$Y$15,16,0)</f>
        <v>3.7950000000000002E-3</v>
      </c>
      <c r="D24" s="22">
        <f>B24*C24</f>
        <v>1.5084669600000002</v>
      </c>
      <c r="E24" s="73">
        <f t="shared" si="3"/>
        <v>397.48800000000006</v>
      </c>
      <c r="F24" s="125">
        <f>VLOOKUP($B$3,'Data for Bill Impacts'!$A$3:$Y$15,25,0)</f>
        <v>3.7950000000000002E-3</v>
      </c>
      <c r="G24" s="22">
        <f>E24*F24</f>
        <v>1.5084669600000002</v>
      </c>
      <c r="H24" s="22">
        <f t="shared" si="2"/>
        <v>0</v>
      </c>
      <c r="I24" s="23">
        <f t="shared" si="4"/>
        <v>0</v>
      </c>
      <c r="J24" s="124">
        <f t="shared" si="1"/>
        <v>1.5589157007649979E-2</v>
      </c>
    </row>
    <row r="25" spans="1:10" s="1" customFormat="1" x14ac:dyDescent="0.2">
      <c r="A25" s="110" t="s">
        <v>76</v>
      </c>
      <c r="B25" s="74"/>
      <c r="C25" s="35"/>
      <c r="D25" s="35">
        <f>SUM(D23:D24)</f>
        <v>3.4044847200000006</v>
      </c>
      <c r="E25" s="73"/>
      <c r="F25" s="35"/>
      <c r="G25" s="35">
        <f>SUM(G23:G24)</f>
        <v>3.4044847200000006</v>
      </c>
      <c r="H25" s="35">
        <f t="shared" si="2"/>
        <v>0</v>
      </c>
      <c r="I25" s="36">
        <f t="shared" si="4"/>
        <v>0</v>
      </c>
      <c r="J25" s="111">
        <f t="shared" si="1"/>
        <v>3.5183433404617145E-2</v>
      </c>
    </row>
    <row r="26" spans="1:10" s="1" customFormat="1" x14ac:dyDescent="0.2">
      <c r="A26" s="110" t="s">
        <v>80</v>
      </c>
      <c r="B26" s="74"/>
      <c r="C26" s="35"/>
      <c r="D26" s="35">
        <f>D22+D25</f>
        <v>52.543572720000007</v>
      </c>
      <c r="E26" s="73"/>
      <c r="F26" s="35"/>
      <c r="G26" s="35">
        <f>G22+G25</f>
        <v>53.968372720000005</v>
      </c>
      <c r="H26" s="35">
        <f t="shared" si="2"/>
        <v>1.4247999999999976</v>
      </c>
      <c r="I26" s="36">
        <f t="shared" si="4"/>
        <v>2.7116542066764841E-2</v>
      </c>
      <c r="J26" s="111">
        <f t="shared" si="1"/>
        <v>0.55773275655931764</v>
      </c>
    </row>
    <row r="27" spans="1:10" x14ac:dyDescent="0.2">
      <c r="A27" s="107" t="s">
        <v>42</v>
      </c>
      <c r="B27" s="73">
        <f>B8</f>
        <v>397.48800000000006</v>
      </c>
      <c r="C27" s="34">
        <v>3.5999999999999999E-3</v>
      </c>
      <c r="D27" s="22">
        <f>B27*C27</f>
        <v>1.4309568000000001</v>
      </c>
      <c r="E27" s="73">
        <f t="shared" si="3"/>
        <v>397.48800000000006</v>
      </c>
      <c r="F27" s="34">
        <v>3.5999999999999999E-3</v>
      </c>
      <c r="G27" s="22">
        <f>E27*F27</f>
        <v>1.4309568000000001</v>
      </c>
      <c r="H27" s="22">
        <f t="shared" si="2"/>
        <v>0</v>
      </c>
      <c r="I27" s="23">
        <f t="shared" si="4"/>
        <v>0</v>
      </c>
      <c r="J27" s="124">
        <f t="shared" si="1"/>
        <v>1.4788133129786541E-2</v>
      </c>
    </row>
    <row r="28" spans="1:10" s="1" customFormat="1" x14ac:dyDescent="0.2">
      <c r="A28" s="107" t="s">
        <v>43</v>
      </c>
      <c r="B28" s="73">
        <f>B8</f>
        <v>397.48800000000006</v>
      </c>
      <c r="C28" s="34">
        <v>2.0999999999999999E-3</v>
      </c>
      <c r="D28" s="22">
        <f>B28*C28</f>
        <v>0.83472480000000004</v>
      </c>
      <c r="E28" s="73">
        <f t="shared" si="3"/>
        <v>397.48800000000006</v>
      </c>
      <c r="F28" s="34">
        <v>2.0999999999999999E-3</v>
      </c>
      <c r="G28" s="22">
        <f>E28*F28</f>
        <v>0.83472480000000004</v>
      </c>
      <c r="H28" s="22">
        <f>G28-D28</f>
        <v>0</v>
      </c>
      <c r="I28" s="23">
        <f t="shared" si="4"/>
        <v>0</v>
      </c>
      <c r="J28" s="124">
        <f t="shared" si="1"/>
        <v>8.6264109923754814E-3</v>
      </c>
    </row>
    <row r="29" spans="1:10" s="1" customFormat="1" x14ac:dyDescent="0.2">
      <c r="A29" s="107" t="s">
        <v>96</v>
      </c>
      <c r="B29" s="73">
        <f>B8</f>
        <v>397.48800000000006</v>
      </c>
      <c r="C29" s="34">
        <v>0</v>
      </c>
      <c r="D29" s="22">
        <f>B29*C29</f>
        <v>0</v>
      </c>
      <c r="E29" s="73">
        <f t="shared" si="3"/>
        <v>397.48800000000006</v>
      </c>
      <c r="F29" s="34">
        <v>0</v>
      </c>
      <c r="G29" s="22">
        <f>E29*F29</f>
        <v>0</v>
      </c>
      <c r="H29" s="22">
        <f>G29-D29</f>
        <v>0</v>
      </c>
      <c r="I29" s="23" t="str">
        <f t="shared" si="4"/>
        <v>N/A</v>
      </c>
      <c r="J29" s="124">
        <f>G29/$G$37</f>
        <v>0</v>
      </c>
    </row>
    <row r="30" spans="1:10" x14ac:dyDescent="0.2">
      <c r="A30" s="107" t="s">
        <v>44</v>
      </c>
      <c r="B30" s="73">
        <v>1</v>
      </c>
      <c r="C30" s="22">
        <v>0.25</v>
      </c>
      <c r="D30" s="22">
        <f>B30*C30</f>
        <v>0.25</v>
      </c>
      <c r="E30" s="73">
        <f t="shared" si="3"/>
        <v>1</v>
      </c>
      <c r="F30" s="22">
        <f>C30</f>
        <v>0.25</v>
      </c>
      <c r="G30" s="22">
        <f>E30*F30</f>
        <v>0.25</v>
      </c>
      <c r="H30" s="22">
        <f t="shared" si="2"/>
        <v>0</v>
      </c>
      <c r="I30" s="23">
        <f t="shared" si="4"/>
        <v>0</v>
      </c>
      <c r="J30" s="124">
        <f t="shared" ref="J30:J37" si="5">G30/$G$37</f>
        <v>2.5836092902641328E-3</v>
      </c>
    </row>
    <row r="31" spans="1:10" s="1" customFormat="1" x14ac:dyDescent="0.2">
      <c r="A31" s="110" t="s">
        <v>45</v>
      </c>
      <c r="B31" s="74"/>
      <c r="C31" s="35"/>
      <c r="D31" s="35">
        <f>SUM(D27:D30)</f>
        <v>2.5156816000000002</v>
      </c>
      <c r="E31" s="73"/>
      <c r="F31" s="35"/>
      <c r="G31" s="35">
        <f>SUM(G27:G30)</f>
        <v>2.5156816000000002</v>
      </c>
      <c r="H31" s="35">
        <f t="shared" si="2"/>
        <v>0</v>
      </c>
      <c r="I31" s="36">
        <f t="shared" si="4"/>
        <v>0</v>
      </c>
      <c r="J31" s="111">
        <f t="shared" si="5"/>
        <v>2.5998153412426155E-2</v>
      </c>
    </row>
    <row r="32" spans="1:10" ht="13.5" thickBot="1" x14ac:dyDescent="0.25">
      <c r="A32" s="112" t="s">
        <v>46</v>
      </c>
      <c r="B32" s="113">
        <f>B4</f>
        <v>364</v>
      </c>
      <c r="C32" s="114">
        <v>7.0000000000000001E-3</v>
      </c>
      <c r="D32" s="115">
        <f>B32*C32</f>
        <v>2.548</v>
      </c>
      <c r="E32" s="116">
        <f t="shared" si="3"/>
        <v>364</v>
      </c>
      <c r="F32" s="114">
        <f>C32</f>
        <v>7.0000000000000001E-3</v>
      </c>
      <c r="G32" s="115">
        <f>E32*F32</f>
        <v>2.548</v>
      </c>
      <c r="H32" s="115">
        <f t="shared" si="2"/>
        <v>0</v>
      </c>
      <c r="I32" s="117">
        <f t="shared" si="4"/>
        <v>0</v>
      </c>
      <c r="J32" s="118">
        <f t="shared" si="5"/>
        <v>2.6332145886372043E-2</v>
      </c>
    </row>
    <row r="33" spans="1:10" x14ac:dyDescent="0.2">
      <c r="A33" s="37" t="s">
        <v>111</v>
      </c>
      <c r="B33" s="38"/>
      <c r="C33" s="39"/>
      <c r="D33" s="39">
        <f>SUM(D14,D22,D25,D31,D32)</f>
        <v>90.731254320000005</v>
      </c>
      <c r="E33" s="38"/>
      <c r="F33" s="39"/>
      <c r="G33" s="39">
        <f>SUM(G14,G22,G25,G31,G32)</f>
        <v>92.15605432000001</v>
      </c>
      <c r="H33" s="39">
        <f t="shared" si="2"/>
        <v>1.4248000000000047</v>
      </c>
      <c r="I33" s="40">
        <f t="shared" si="4"/>
        <v>1.5703519263327699E-2</v>
      </c>
      <c r="J33" s="41">
        <f t="shared" si="5"/>
        <v>0.95238095238095244</v>
      </c>
    </row>
    <row r="34" spans="1:10" x14ac:dyDescent="0.2">
      <c r="A34" s="46" t="s">
        <v>102</v>
      </c>
      <c r="B34" s="43"/>
      <c r="C34" s="26">
        <v>0.13</v>
      </c>
      <c r="D34" s="26">
        <f>D33*C34</f>
        <v>11.795063061600001</v>
      </c>
      <c r="E34" s="26"/>
      <c r="F34" s="26">
        <f>C34</f>
        <v>0.13</v>
      </c>
      <c r="G34" s="26">
        <f>G33*F34</f>
        <v>11.980287061600002</v>
      </c>
      <c r="H34" s="26">
        <f t="shared" si="2"/>
        <v>0.18522400000000161</v>
      </c>
      <c r="I34" s="44">
        <f t="shared" si="4"/>
        <v>1.5703519263327786E-2</v>
      </c>
      <c r="J34" s="45">
        <f t="shared" si="5"/>
        <v>0.12380952380952383</v>
      </c>
    </row>
    <row r="35" spans="1:10" x14ac:dyDescent="0.2">
      <c r="A35" s="46" t="s">
        <v>103</v>
      </c>
      <c r="B35" s="24"/>
      <c r="C35" s="25"/>
      <c r="D35" s="25">
        <f>SUM(D33:D34)</f>
        <v>102.52631738160001</v>
      </c>
      <c r="E35" s="25"/>
      <c r="F35" s="25"/>
      <c r="G35" s="25">
        <f>SUM(G33:G34)</f>
        <v>104.1363413816</v>
      </c>
      <c r="H35" s="25">
        <f t="shared" si="2"/>
        <v>1.6100239999999957</v>
      </c>
      <c r="I35" s="27">
        <f t="shared" si="4"/>
        <v>1.5703519263327605E-2</v>
      </c>
      <c r="J35" s="47">
        <f t="shared" si="5"/>
        <v>1.0761904761904761</v>
      </c>
    </row>
    <row r="36" spans="1:10" x14ac:dyDescent="0.2">
      <c r="A36" s="46" t="s">
        <v>104</v>
      </c>
      <c r="B36" s="43"/>
      <c r="C36" s="26">
        <v>-0.08</v>
      </c>
      <c r="D36" s="26">
        <f>D33*C36</f>
        <v>-7.2585003456000008</v>
      </c>
      <c r="E36" s="26"/>
      <c r="F36" s="26">
        <f>C36</f>
        <v>-0.08</v>
      </c>
      <c r="G36" s="26">
        <f>G33*F36</f>
        <v>-7.3724843456000011</v>
      </c>
      <c r="H36" s="26">
        <f t="shared" si="2"/>
        <v>-0.11398400000000031</v>
      </c>
      <c r="I36" s="44">
        <f t="shared" si="4"/>
        <v>-1.5703519263327689E-2</v>
      </c>
      <c r="J36" s="45">
        <f t="shared" si="5"/>
        <v>-7.6190476190476197E-2</v>
      </c>
    </row>
    <row r="37" spans="1:10" ht="13.5" thickBot="1" x14ac:dyDescent="0.25">
      <c r="A37" s="48" t="s">
        <v>105</v>
      </c>
      <c r="B37" s="49"/>
      <c r="C37" s="50"/>
      <c r="D37" s="50">
        <f>SUM(D35:D36)</f>
        <v>95.267817036000011</v>
      </c>
      <c r="E37" s="50"/>
      <c r="F37" s="50"/>
      <c r="G37" s="50">
        <f>SUM(G35:G36)</f>
        <v>96.763857036000005</v>
      </c>
      <c r="H37" s="50">
        <f t="shared" si="2"/>
        <v>1.4960399999999936</v>
      </c>
      <c r="I37" s="51">
        <f t="shared" si="4"/>
        <v>1.5703519263327581E-2</v>
      </c>
      <c r="J37" s="52">
        <f t="shared" si="5"/>
        <v>1</v>
      </c>
    </row>
    <row r="38" spans="1:10" x14ac:dyDescent="0.2">
      <c r="A38" s="170"/>
      <c r="D38" s="72"/>
      <c r="F38" s="69"/>
    </row>
    <row r="39" spans="1:10" x14ac:dyDescent="0.2">
      <c r="A39" s="170"/>
      <c r="F39" s="69"/>
    </row>
    <row r="40" spans="1:10" x14ac:dyDescent="0.2">
      <c r="A40" s="171"/>
      <c r="B40" s="71"/>
      <c r="F40" s="69"/>
    </row>
    <row r="41" spans="1:10" x14ac:dyDescent="0.2">
      <c r="A41" s="170"/>
      <c r="B41" s="72"/>
      <c r="D41" s="72"/>
      <c r="F41" s="69"/>
    </row>
    <row r="42" spans="1:10" x14ac:dyDescent="0.2">
      <c r="A42" s="170"/>
      <c r="F42" s="69"/>
    </row>
    <row r="43" spans="1:10" x14ac:dyDescent="0.2">
      <c r="A43" s="170"/>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scale="79"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tint="0.499984740745262"/>
    <pageSetUpPr fitToPage="1"/>
  </sheetPr>
  <dimension ref="A1:K68"/>
  <sheetViews>
    <sheetView tabSelected="1" view="pageLayout" topLeftCell="A7"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118</v>
      </c>
      <c r="B1" s="189"/>
      <c r="C1" s="189"/>
      <c r="D1" s="189"/>
      <c r="E1" s="189"/>
      <c r="F1" s="189"/>
      <c r="G1" s="189"/>
      <c r="H1" s="189"/>
      <c r="I1" s="189"/>
      <c r="J1" s="189"/>
      <c r="K1" s="190"/>
    </row>
    <row r="3" spans="1:11" x14ac:dyDescent="0.2">
      <c r="A3" s="13" t="s">
        <v>13</v>
      </c>
      <c r="B3" s="13" t="s">
        <v>0</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7">
        <f>B4*B6</f>
        <v>792.75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0.40695248105486526</v>
      </c>
      <c r="K12" s="106"/>
    </row>
    <row r="13" spans="1:11" x14ac:dyDescent="0.2">
      <c r="A13" s="107" t="s">
        <v>32</v>
      </c>
      <c r="B13" s="73">
        <f>IF(B4&gt;B7,(B4)-B7,0)</f>
        <v>150</v>
      </c>
      <c r="C13" s="21">
        <v>0.106</v>
      </c>
      <c r="D13" s="22">
        <f>B13*C13</f>
        <v>15.9</v>
      </c>
      <c r="E13" s="73">
        <f>B13</f>
        <v>150</v>
      </c>
      <c r="F13" s="21">
        <f>C13</f>
        <v>0.106</v>
      </c>
      <c r="G13" s="22">
        <f>E13*F13</f>
        <v>15.9</v>
      </c>
      <c r="H13" s="22">
        <f t="shared" ref="H13:H46" si="1">G13-D13</f>
        <v>0</v>
      </c>
      <c r="I13" s="23">
        <f t="shared" si="0"/>
        <v>0</v>
      </c>
      <c r="J13" s="23">
        <f>G13/$G$46</f>
        <v>0.11850814008740582</v>
      </c>
      <c r="K13" s="108"/>
    </row>
    <row r="14" spans="1:11" s="1" customFormat="1" x14ac:dyDescent="0.2">
      <c r="A14" s="46" t="s">
        <v>33</v>
      </c>
      <c r="B14" s="24"/>
      <c r="C14" s="25"/>
      <c r="D14" s="25">
        <f>SUM(D12:D13)</f>
        <v>70.5</v>
      </c>
      <c r="E14" s="76"/>
      <c r="F14" s="25"/>
      <c r="G14" s="25">
        <f>SUM(G12:G13)</f>
        <v>70.5</v>
      </c>
      <c r="H14" s="25">
        <f t="shared" si="1"/>
        <v>0</v>
      </c>
      <c r="I14" s="27">
        <f t="shared" si="0"/>
        <v>0</v>
      </c>
      <c r="J14" s="27">
        <f>G14/$G$46</f>
        <v>0.5254606211422711</v>
      </c>
      <c r="K14" s="108"/>
    </row>
    <row r="15" spans="1:11" s="1" customFormat="1" x14ac:dyDescent="0.2">
      <c r="A15" s="109" t="s">
        <v>34</v>
      </c>
      <c r="B15" s="75">
        <f>B4*0.65</f>
        <v>487.5</v>
      </c>
      <c r="C15" s="28">
        <v>7.6999999999999999E-2</v>
      </c>
      <c r="D15" s="22">
        <f>B15*C15</f>
        <v>37.537500000000001</v>
      </c>
      <c r="E15" s="73">
        <f t="shared" ref="E15:F17" si="2">B15</f>
        <v>487.5</v>
      </c>
      <c r="F15" s="28">
        <f t="shared" si="2"/>
        <v>7.6999999999999999E-2</v>
      </c>
      <c r="G15" s="22">
        <f>E15*F15</f>
        <v>37.537500000000001</v>
      </c>
      <c r="H15" s="22">
        <f t="shared" si="1"/>
        <v>0</v>
      </c>
      <c r="I15" s="23">
        <f t="shared" si="0"/>
        <v>0</v>
      </c>
      <c r="J15" s="23"/>
      <c r="K15" s="108">
        <f t="shared" ref="K15:K26" si="3">G15/$G$51</f>
        <v>0.27488047668257537</v>
      </c>
    </row>
    <row r="16" spans="1:11" s="1" customFormat="1" x14ac:dyDescent="0.2">
      <c r="A16" s="109" t="s">
        <v>35</v>
      </c>
      <c r="B16" s="75">
        <f>B4*0.17</f>
        <v>127.50000000000001</v>
      </c>
      <c r="C16" s="28">
        <v>0.113</v>
      </c>
      <c r="D16" s="22">
        <f>B16*C16</f>
        <v>14.407500000000002</v>
      </c>
      <c r="E16" s="73">
        <f t="shared" si="2"/>
        <v>127.50000000000001</v>
      </c>
      <c r="F16" s="28">
        <f t="shared" si="2"/>
        <v>0.113</v>
      </c>
      <c r="G16" s="22">
        <f>E16*F16</f>
        <v>14.407500000000002</v>
      </c>
      <c r="H16" s="22">
        <f t="shared" si="1"/>
        <v>0</v>
      </c>
      <c r="I16" s="23">
        <f t="shared" si="0"/>
        <v>0</v>
      </c>
      <c r="J16" s="23"/>
      <c r="K16" s="108">
        <f t="shared" si="3"/>
        <v>0.1055035755658796</v>
      </c>
    </row>
    <row r="17" spans="1:11" s="1" customFormat="1" x14ac:dyDescent="0.2">
      <c r="A17" s="109" t="s">
        <v>36</v>
      </c>
      <c r="B17" s="75">
        <f>B4*0.18</f>
        <v>135</v>
      </c>
      <c r="C17" s="28">
        <v>0.157</v>
      </c>
      <c r="D17" s="22">
        <f>B17*C17</f>
        <v>21.195</v>
      </c>
      <c r="E17" s="73">
        <f t="shared" si="2"/>
        <v>135</v>
      </c>
      <c r="F17" s="28">
        <f t="shared" si="2"/>
        <v>0.157</v>
      </c>
      <c r="G17" s="22">
        <f>E17*F17</f>
        <v>21.195</v>
      </c>
      <c r="H17" s="22">
        <f t="shared" si="1"/>
        <v>0</v>
      </c>
      <c r="I17" s="23">
        <f t="shared" si="0"/>
        <v>0</v>
      </c>
      <c r="J17" s="23"/>
      <c r="K17" s="108">
        <f t="shared" si="3"/>
        <v>0.15520723818280879</v>
      </c>
    </row>
    <row r="18" spans="1:11" s="1" customFormat="1" x14ac:dyDescent="0.2">
      <c r="A18" s="61" t="s">
        <v>37</v>
      </c>
      <c r="B18" s="29"/>
      <c r="C18" s="30"/>
      <c r="D18" s="30">
        <f>SUM(D15:D17)</f>
        <v>73.140000000000015</v>
      </c>
      <c r="E18" s="77"/>
      <c r="F18" s="30"/>
      <c r="G18" s="30">
        <f>SUM(G15:G17)</f>
        <v>73.140000000000015</v>
      </c>
      <c r="H18" s="31">
        <f t="shared" si="1"/>
        <v>0</v>
      </c>
      <c r="I18" s="32">
        <f t="shared" si="0"/>
        <v>0</v>
      </c>
      <c r="J18" s="33">
        <f t="shared" ref="J18:J26" si="4">G18/$G$46</f>
        <v>0.54513744440206691</v>
      </c>
      <c r="K18" s="62">
        <f t="shared" si="3"/>
        <v>0.53559129043126386</v>
      </c>
    </row>
    <row r="19" spans="1:11" x14ac:dyDescent="0.2">
      <c r="A19" s="107" t="s">
        <v>38</v>
      </c>
      <c r="B19" s="73">
        <v>1</v>
      </c>
      <c r="C19" s="78">
        <f>VLOOKUP($B$3,'Data for Bill Impacts'!$A$3:$Y$15,7,0)</f>
        <v>31.23</v>
      </c>
      <c r="D19" s="22">
        <f t="shared" ref="D19:D24" si="5">B19*C19</f>
        <v>31.23</v>
      </c>
      <c r="E19" s="73">
        <f t="shared" ref="E19:E41" si="6">B19</f>
        <v>1</v>
      </c>
      <c r="F19" s="78">
        <f>VLOOKUP($B$3,'Data for Bill Impacts'!$A$3:$Y$15,17,0)</f>
        <v>35.85</v>
      </c>
      <c r="G19" s="22">
        <f t="shared" ref="G19:G24" si="7">E19*F19</f>
        <v>35.85</v>
      </c>
      <c r="H19" s="22">
        <f t="shared" si="1"/>
        <v>4.620000000000001</v>
      </c>
      <c r="I19" s="23">
        <f>IF(ISERROR(H19/ABS(D19)),"N/A",(H19/ABS(D19)))</f>
        <v>0.14793467819404421</v>
      </c>
      <c r="J19" s="23">
        <f t="shared" si="4"/>
        <v>0.26720231585745274</v>
      </c>
      <c r="K19" s="108">
        <f t="shared" si="3"/>
        <v>0.26252321249604599</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7.0000000000000001E-3</v>
      </c>
      <c r="D22" s="22">
        <f t="shared" si="5"/>
        <v>7.0000000000000001E-3</v>
      </c>
      <c r="E22" s="73">
        <f t="shared" si="6"/>
        <v>1</v>
      </c>
      <c r="F22" s="121">
        <f>VLOOKUP($B$3,'Data for Bill Impacts'!$A$3:$Y$15,22,0)</f>
        <v>7.0000000000000001E-3</v>
      </c>
      <c r="G22" s="22">
        <f t="shared" si="7"/>
        <v>7.0000000000000001E-3</v>
      </c>
      <c r="H22" s="22">
        <f t="shared" si="1"/>
        <v>0</v>
      </c>
      <c r="I22" s="23">
        <f t="shared" ref="I22:I51" si="8">IF(ISERROR(H22/ABS(D22)),"N/A",(H22/ABS(D22)))</f>
        <v>0</v>
      </c>
      <c r="J22" s="23">
        <f t="shared" si="4"/>
        <v>5.217339500703401E-5</v>
      </c>
      <c r="K22" s="108">
        <f t="shared" si="3"/>
        <v>5.125976255152921E-5</v>
      </c>
    </row>
    <row r="23" spans="1:11" x14ac:dyDescent="0.2">
      <c r="A23" s="107" t="s">
        <v>39</v>
      </c>
      <c r="B23" s="73">
        <f>IF($B$9="kWh",$B$4,$B$5)</f>
        <v>750</v>
      </c>
      <c r="C23" s="78">
        <f>VLOOKUP($B$3,'Data for Bill Impacts'!$A$3:$Y$15,10,0)</f>
        <v>4.7000000000000002E-3</v>
      </c>
      <c r="D23" s="22">
        <f t="shared" si="5"/>
        <v>3.5250000000000004</v>
      </c>
      <c r="E23" s="73">
        <f t="shared" si="6"/>
        <v>750</v>
      </c>
      <c r="F23" s="125">
        <f>VLOOKUP($B$3,'Data for Bill Impacts'!$A$3:$Y$15,19,0)</f>
        <v>0</v>
      </c>
      <c r="G23" s="22">
        <f t="shared" si="7"/>
        <v>0</v>
      </c>
      <c r="H23" s="22">
        <f t="shared" si="1"/>
        <v>-3.5250000000000004</v>
      </c>
      <c r="I23" s="23">
        <f t="shared" si="8"/>
        <v>-1</v>
      </c>
      <c r="J23" s="23">
        <f t="shared" si="4"/>
        <v>0</v>
      </c>
      <c r="K23" s="108">
        <f t="shared" si="3"/>
        <v>0</v>
      </c>
    </row>
    <row r="24" spans="1:11" x14ac:dyDescent="0.2">
      <c r="A24" s="107" t="s">
        <v>121</v>
      </c>
      <c r="B24" s="73">
        <f>IF($B$9="kWh",$B$4,$B$5)</f>
        <v>750</v>
      </c>
      <c r="C24" s="125">
        <f>VLOOKUP($B$3,'Data for Bill Impacts'!$A$3:$Y$15,14,0)</f>
        <v>3.0000000000000004E-5</v>
      </c>
      <c r="D24" s="22">
        <f t="shared" si="5"/>
        <v>2.2500000000000003E-2</v>
      </c>
      <c r="E24" s="73">
        <f>B24</f>
        <v>750</v>
      </c>
      <c r="F24" s="125">
        <f>VLOOKUP($B$3,'Data for Bill Impacts'!$A$3:$Y$15,23,0)</f>
        <v>3.0000000000000004E-5</v>
      </c>
      <c r="G24" s="22">
        <f t="shared" si="7"/>
        <v>2.2500000000000003E-2</v>
      </c>
      <c r="H24" s="22">
        <f>G24-D24</f>
        <v>0</v>
      </c>
      <c r="I24" s="23">
        <f t="shared" si="8"/>
        <v>0</v>
      </c>
      <c r="J24" s="23">
        <f t="shared" si="4"/>
        <v>1.6770019823689504E-4</v>
      </c>
      <c r="K24" s="108">
        <f t="shared" si="3"/>
        <v>1.6476352248705818E-4</v>
      </c>
    </row>
    <row r="25" spans="1:11" s="1" customFormat="1" x14ac:dyDescent="0.2">
      <c r="A25" s="110" t="s">
        <v>72</v>
      </c>
      <c r="B25" s="74"/>
      <c r="C25" s="35"/>
      <c r="D25" s="35">
        <f>SUM(D19:D24)</f>
        <v>34.784500000000001</v>
      </c>
      <c r="E25" s="73"/>
      <c r="F25" s="35"/>
      <c r="G25" s="35">
        <f>SUM(G19:G24)</f>
        <v>35.8795</v>
      </c>
      <c r="H25" s="35">
        <f t="shared" si="1"/>
        <v>1.0949999999999989</v>
      </c>
      <c r="I25" s="36">
        <f t="shared" si="8"/>
        <v>3.1479538300104901E-2</v>
      </c>
      <c r="J25" s="36">
        <f t="shared" si="4"/>
        <v>0.26742218945069668</v>
      </c>
      <c r="K25" s="111">
        <f t="shared" si="3"/>
        <v>0.2627392357810846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5.8881402936509812E-3</v>
      </c>
      <c r="K26" s="108">
        <f t="shared" si="3"/>
        <v>5.7850303451011534E-3</v>
      </c>
    </row>
    <row r="27" spans="1:11" s="1" customFormat="1" x14ac:dyDescent="0.2">
      <c r="A27" s="119" t="s">
        <v>75</v>
      </c>
      <c r="B27" s="120">
        <f>B8-B4</f>
        <v>42.75</v>
      </c>
      <c r="C27" s="172">
        <f>IF(B4&gt;B7,C13,C12)</f>
        <v>0.106</v>
      </c>
      <c r="D27" s="22">
        <f>B27*C27</f>
        <v>4.5315000000000003</v>
      </c>
      <c r="E27" s="73">
        <f>B27</f>
        <v>42.75</v>
      </c>
      <c r="F27" s="172">
        <f>C27</f>
        <v>0.106</v>
      </c>
      <c r="G27" s="22">
        <f>E27*F27</f>
        <v>4.5315000000000003</v>
      </c>
      <c r="H27" s="22">
        <f t="shared" si="1"/>
        <v>0</v>
      </c>
      <c r="I27" s="23">
        <f t="shared" si="8"/>
        <v>0</v>
      </c>
      <c r="J27" s="23">
        <f t="shared" ref="J27:J46" si="9">G27/$G$46</f>
        <v>3.377481992491066E-2</v>
      </c>
      <c r="K27" s="108">
        <f t="shared" ref="K27:K41" si="10">G27/$G$51</f>
        <v>3.3183373428893513E-2</v>
      </c>
    </row>
    <row r="28" spans="1:11" s="1" customFormat="1" x14ac:dyDescent="0.2">
      <c r="A28" s="119" t="s">
        <v>74</v>
      </c>
      <c r="B28" s="120">
        <f>B8-B4</f>
        <v>42.75</v>
      </c>
      <c r="C28" s="172">
        <f>0.65*C15+0.17*C16+0.18*C17</f>
        <v>9.7519999999999996E-2</v>
      </c>
      <c r="D28" s="22">
        <f>B28*C28</f>
        <v>4.1689799999999995</v>
      </c>
      <c r="E28" s="73">
        <f>B28</f>
        <v>42.75</v>
      </c>
      <c r="F28" s="172">
        <f>C28</f>
        <v>9.7519999999999996E-2</v>
      </c>
      <c r="G28" s="22">
        <f>E28*F28</f>
        <v>4.1689799999999995</v>
      </c>
      <c r="H28" s="22">
        <f t="shared" si="1"/>
        <v>0</v>
      </c>
      <c r="I28" s="23">
        <f t="shared" si="8"/>
        <v>0</v>
      </c>
      <c r="J28" s="23">
        <f t="shared" si="9"/>
        <v>3.1072834330917801E-2</v>
      </c>
      <c r="K28" s="108">
        <f t="shared" si="10"/>
        <v>3.0528703554582027E-2</v>
      </c>
    </row>
    <row r="29" spans="1:11" s="1" customFormat="1" x14ac:dyDescent="0.2">
      <c r="A29" s="110" t="s">
        <v>78</v>
      </c>
      <c r="B29" s="74"/>
      <c r="C29" s="35"/>
      <c r="D29" s="35">
        <f>SUM(D25,D26:D27)</f>
        <v>40.106000000000002</v>
      </c>
      <c r="E29" s="73"/>
      <c r="F29" s="35"/>
      <c r="G29" s="35">
        <f>SUM(G25,G26:G27)</f>
        <v>41.201000000000001</v>
      </c>
      <c r="H29" s="35">
        <f t="shared" si="1"/>
        <v>1.0949999999999989</v>
      </c>
      <c r="I29" s="36">
        <f t="shared" si="8"/>
        <v>2.7302647982845429E-2</v>
      </c>
      <c r="J29" s="36">
        <f t="shared" si="9"/>
        <v>0.30708514966925832</v>
      </c>
      <c r="K29" s="111">
        <f t="shared" si="10"/>
        <v>0.30170763955507929</v>
      </c>
    </row>
    <row r="30" spans="1:11" s="1" customFormat="1" x14ac:dyDescent="0.2">
      <c r="A30" s="110" t="s">
        <v>77</v>
      </c>
      <c r="B30" s="74"/>
      <c r="C30" s="35"/>
      <c r="D30" s="35">
        <f>SUM(D25,D26,D28)</f>
        <v>39.743479999999998</v>
      </c>
      <c r="E30" s="73"/>
      <c r="F30" s="35"/>
      <c r="G30" s="35">
        <f>SUM(G25,G26,G28)</f>
        <v>40.838479999999997</v>
      </c>
      <c r="H30" s="35">
        <f t="shared" si="1"/>
        <v>1.0949999999999989</v>
      </c>
      <c r="I30" s="36">
        <f t="shared" si="8"/>
        <v>2.7551688981437936E-2</v>
      </c>
      <c r="J30" s="36">
        <f t="shared" si="9"/>
        <v>0.30438316407526544</v>
      </c>
      <c r="K30" s="111">
        <f t="shared" si="10"/>
        <v>0.29905296968076778</v>
      </c>
    </row>
    <row r="31" spans="1:11" x14ac:dyDescent="0.2">
      <c r="A31" s="107" t="s">
        <v>40</v>
      </c>
      <c r="B31" s="73">
        <f>B8</f>
        <v>792.75</v>
      </c>
      <c r="C31" s="125">
        <f>VLOOKUP($B$3,'Data for Bill Impacts'!$A$3:$Y$15,15,0)</f>
        <v>7.8279999999999999E-3</v>
      </c>
      <c r="D31" s="22">
        <f>B31*C31</f>
        <v>6.2056469999999999</v>
      </c>
      <c r="E31" s="73">
        <f t="shared" si="6"/>
        <v>792.75</v>
      </c>
      <c r="F31" s="125">
        <f>VLOOKUP($B$3,'Data for Bill Impacts'!$A$3:$Y$15,24,0)</f>
        <v>7.8279999999999999E-3</v>
      </c>
      <c r="G31" s="22">
        <f>E31*F31</f>
        <v>6.2056469999999999</v>
      </c>
      <c r="H31" s="22">
        <f t="shared" si="1"/>
        <v>0</v>
      </c>
      <c r="I31" s="23">
        <f t="shared" si="8"/>
        <v>0</v>
      </c>
      <c r="J31" s="23">
        <f t="shared" si="9"/>
        <v>4.6252810315030791E-2</v>
      </c>
      <c r="K31" s="108">
        <f t="shared" si="10"/>
        <v>4.5442855956944223E-2</v>
      </c>
    </row>
    <row r="32" spans="1:11" x14ac:dyDescent="0.2">
      <c r="A32" s="107" t="s">
        <v>41</v>
      </c>
      <c r="B32" s="73">
        <f>B8</f>
        <v>792.75</v>
      </c>
      <c r="C32" s="125">
        <f>VLOOKUP($B$3,'Data for Bill Impacts'!$A$3:$Y$15,16,0)</f>
        <v>6.4380000000000001E-3</v>
      </c>
      <c r="D32" s="22">
        <f>B32*C32</f>
        <v>5.1037245000000002</v>
      </c>
      <c r="E32" s="73">
        <f t="shared" si="6"/>
        <v>792.75</v>
      </c>
      <c r="F32" s="125">
        <f>VLOOKUP($B$3,'Data for Bill Impacts'!$A$3:$Y$15,25,0)</f>
        <v>6.4380000000000001E-3</v>
      </c>
      <c r="G32" s="22">
        <f>E32*F32</f>
        <v>5.1037245000000002</v>
      </c>
      <c r="H32" s="22">
        <f t="shared" si="1"/>
        <v>0</v>
      </c>
      <c r="I32" s="23">
        <f t="shared" si="8"/>
        <v>0</v>
      </c>
      <c r="J32" s="23">
        <f t="shared" si="9"/>
        <v>3.8039804906511022E-2</v>
      </c>
      <c r="K32" s="108">
        <f t="shared" si="10"/>
        <v>3.7373672285488872E-2</v>
      </c>
    </row>
    <row r="33" spans="1:11" s="1" customFormat="1" x14ac:dyDescent="0.2">
      <c r="A33" s="110" t="s">
        <v>76</v>
      </c>
      <c r="B33" s="74"/>
      <c r="C33" s="35"/>
      <c r="D33" s="35">
        <f>SUM(D31:D32)</f>
        <v>11.309371500000001</v>
      </c>
      <c r="E33" s="73"/>
      <c r="F33" s="35"/>
      <c r="G33" s="35">
        <f>SUM(G31:G32)</f>
        <v>11.309371500000001</v>
      </c>
      <c r="H33" s="35">
        <f t="shared" si="1"/>
        <v>0</v>
      </c>
      <c r="I33" s="36">
        <f t="shared" si="8"/>
        <v>0</v>
      </c>
      <c r="J33" s="36">
        <f t="shared" si="9"/>
        <v>8.4292615221541814E-2</v>
      </c>
      <c r="K33" s="111">
        <f t="shared" si="10"/>
        <v>8.2816528242433102E-2</v>
      </c>
    </row>
    <row r="34" spans="1:11" s="1" customFormat="1" x14ac:dyDescent="0.2">
      <c r="A34" s="110" t="s">
        <v>91</v>
      </c>
      <c r="B34" s="74"/>
      <c r="C34" s="35"/>
      <c r="D34" s="35">
        <f>D29+D33</f>
        <v>51.415371500000006</v>
      </c>
      <c r="E34" s="73"/>
      <c r="F34" s="35"/>
      <c r="G34" s="35">
        <f>G29+G33</f>
        <v>52.510371500000005</v>
      </c>
      <c r="H34" s="35">
        <f t="shared" si="1"/>
        <v>1.0949999999999989</v>
      </c>
      <c r="I34" s="36">
        <f t="shared" si="8"/>
        <v>2.1297132901198598E-2</v>
      </c>
      <c r="J34" s="36">
        <f t="shared" si="9"/>
        <v>0.39137776489080017</v>
      </c>
      <c r="K34" s="111">
        <f t="shared" si="10"/>
        <v>0.38452416779751242</v>
      </c>
    </row>
    <row r="35" spans="1:11" s="1" customFormat="1" x14ac:dyDescent="0.2">
      <c r="A35" s="110" t="s">
        <v>92</v>
      </c>
      <c r="B35" s="74"/>
      <c r="C35" s="35"/>
      <c r="D35" s="35">
        <f>D30+D33</f>
        <v>51.052851500000003</v>
      </c>
      <c r="E35" s="73"/>
      <c r="F35" s="35"/>
      <c r="G35" s="35">
        <f>G30+G33</f>
        <v>52.147851500000002</v>
      </c>
      <c r="H35" s="35">
        <f t="shared" si="1"/>
        <v>1.0949999999999989</v>
      </c>
      <c r="I35" s="36">
        <f t="shared" si="8"/>
        <v>2.1448361214456334E-2</v>
      </c>
      <c r="J35" s="36">
        <f t="shared" si="9"/>
        <v>0.38867577929680724</v>
      </c>
      <c r="K35" s="111">
        <f t="shared" si="10"/>
        <v>0.38186949792320091</v>
      </c>
    </row>
    <row r="36" spans="1:11" x14ac:dyDescent="0.2">
      <c r="A36" s="107" t="s">
        <v>42</v>
      </c>
      <c r="B36" s="73">
        <f>B8</f>
        <v>792.75</v>
      </c>
      <c r="C36" s="34">
        <v>3.5999999999999999E-3</v>
      </c>
      <c r="D36" s="22">
        <f>B36*C36</f>
        <v>2.8538999999999999</v>
      </c>
      <c r="E36" s="73">
        <f t="shared" si="6"/>
        <v>792.75</v>
      </c>
      <c r="F36" s="34">
        <v>3.5999999999999999E-3</v>
      </c>
      <c r="G36" s="22">
        <f>E36*F36</f>
        <v>2.8538999999999999</v>
      </c>
      <c r="H36" s="22">
        <f t="shared" si="1"/>
        <v>0</v>
      </c>
      <c r="I36" s="23">
        <f t="shared" si="8"/>
        <v>0</v>
      </c>
      <c r="J36" s="23">
        <f t="shared" si="9"/>
        <v>2.1271093144367762E-2</v>
      </c>
      <c r="K36" s="108">
        <f t="shared" si="10"/>
        <v>2.0898605192258456E-2</v>
      </c>
    </row>
    <row r="37" spans="1:11" x14ac:dyDescent="0.2">
      <c r="A37" s="107" t="s">
        <v>43</v>
      </c>
      <c r="B37" s="73">
        <f>B8</f>
        <v>792.75</v>
      </c>
      <c r="C37" s="34">
        <v>2.0999999999999999E-3</v>
      </c>
      <c r="D37" s="22">
        <f>B37*C37</f>
        <v>1.6647749999999999</v>
      </c>
      <c r="E37" s="73">
        <f t="shared" si="6"/>
        <v>792.75</v>
      </c>
      <c r="F37" s="34">
        <v>2.0999999999999999E-3</v>
      </c>
      <c r="G37" s="22">
        <f>E37*F37</f>
        <v>1.6647749999999999</v>
      </c>
      <c r="H37" s="22">
        <f>G37-D37</f>
        <v>0</v>
      </c>
      <c r="I37" s="23">
        <f t="shared" si="8"/>
        <v>0</v>
      </c>
      <c r="J37" s="23">
        <f t="shared" si="9"/>
        <v>1.2408137667547862E-2</v>
      </c>
      <c r="K37" s="108">
        <f t="shared" si="10"/>
        <v>1.2190853028817433E-2</v>
      </c>
    </row>
    <row r="38" spans="1:11" x14ac:dyDescent="0.2">
      <c r="A38" s="107" t="s">
        <v>96</v>
      </c>
      <c r="B38" s="73">
        <f>B8</f>
        <v>792.75</v>
      </c>
      <c r="C38" s="34">
        <v>0</v>
      </c>
      <c r="D38" s="22">
        <f>B38*C38</f>
        <v>0</v>
      </c>
      <c r="E38" s="73">
        <f t="shared" si="6"/>
        <v>792.75</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1.8633355359655003E-3</v>
      </c>
      <c r="K39" s="108">
        <f t="shared" si="10"/>
        <v>1.8307058054117574E-3</v>
      </c>
    </row>
    <row r="40" spans="1:11" s="1" customFormat="1" x14ac:dyDescent="0.2">
      <c r="A40" s="110" t="s">
        <v>45</v>
      </c>
      <c r="B40" s="74"/>
      <c r="C40" s="35"/>
      <c r="D40" s="35">
        <f>SUM(D36:D39)</f>
        <v>4.768675</v>
      </c>
      <c r="E40" s="73"/>
      <c r="F40" s="35"/>
      <c r="G40" s="35">
        <f>SUM(G36:G39)</f>
        <v>4.768675</v>
      </c>
      <c r="H40" s="35">
        <f t="shared" si="1"/>
        <v>0</v>
      </c>
      <c r="I40" s="36">
        <f t="shared" si="8"/>
        <v>0</v>
      </c>
      <c r="J40" s="36">
        <f t="shared" si="9"/>
        <v>3.5542566347881124E-2</v>
      </c>
      <c r="K40" s="111">
        <f t="shared" si="10"/>
        <v>3.4920164026487649E-2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126.68404650000001</v>
      </c>
      <c r="E42" s="38"/>
      <c r="F42" s="39"/>
      <c r="G42" s="39">
        <f>SUM(G14,G25,G26,G27,G33,G40,G41)</f>
        <v>127.77904650000001</v>
      </c>
      <c r="H42" s="39">
        <f t="shared" si="1"/>
        <v>1.0949999999999989</v>
      </c>
      <c r="I42" s="40">
        <f t="shared" si="8"/>
        <v>8.6435508673146054E-3</v>
      </c>
      <c r="J42" s="40">
        <f t="shared" si="9"/>
        <v>0.95238095238095233</v>
      </c>
      <c r="K42" s="41"/>
    </row>
    <row r="43" spans="1:11" x14ac:dyDescent="0.2">
      <c r="A43" s="153" t="s">
        <v>102</v>
      </c>
      <c r="B43" s="43"/>
      <c r="C43" s="26">
        <v>0.13</v>
      </c>
      <c r="D43" s="26">
        <f>D42*C43</f>
        <v>16.468926045</v>
      </c>
      <c r="E43" s="26"/>
      <c r="F43" s="26">
        <f>C43</f>
        <v>0.13</v>
      </c>
      <c r="G43" s="26">
        <f>G42*F43</f>
        <v>16.611276045</v>
      </c>
      <c r="H43" s="26">
        <f t="shared" si="1"/>
        <v>0.14235000000000042</v>
      </c>
      <c r="I43" s="44">
        <f t="shared" si="8"/>
        <v>8.6435508673146401E-3</v>
      </c>
      <c r="J43" s="44">
        <f t="shared" si="9"/>
        <v>0.1238095238095238</v>
      </c>
      <c r="K43" s="45"/>
    </row>
    <row r="44" spans="1:11" s="1" customFormat="1" x14ac:dyDescent="0.2">
      <c r="A44" s="46" t="s">
        <v>103</v>
      </c>
      <c r="B44" s="24"/>
      <c r="C44" s="25"/>
      <c r="D44" s="25">
        <f>SUM(D42:D43)</f>
        <v>143.15297254500001</v>
      </c>
      <c r="E44" s="25"/>
      <c r="F44" s="25"/>
      <c r="G44" s="25">
        <f>SUM(G42:G43)</f>
        <v>144.390322545</v>
      </c>
      <c r="H44" s="25">
        <f t="shared" si="1"/>
        <v>1.2373499999999922</v>
      </c>
      <c r="I44" s="27">
        <f t="shared" si="8"/>
        <v>8.6435508673145603E-3</v>
      </c>
      <c r="J44" s="27">
        <f t="shared" si="9"/>
        <v>1.0761904761904761</v>
      </c>
      <c r="K44" s="47"/>
    </row>
    <row r="45" spans="1:11" x14ac:dyDescent="0.2">
      <c r="A45" s="42" t="s">
        <v>104</v>
      </c>
      <c r="B45" s="43"/>
      <c r="C45" s="26">
        <v>-0.08</v>
      </c>
      <c r="D45" s="26">
        <f>D42*C45</f>
        <v>-10.13472372</v>
      </c>
      <c r="E45" s="26"/>
      <c r="F45" s="26">
        <f>C45</f>
        <v>-0.08</v>
      </c>
      <c r="G45" s="26">
        <f>G42*F45</f>
        <v>-10.22232372</v>
      </c>
      <c r="H45" s="26">
        <f t="shared" si="1"/>
        <v>-8.7600000000000122E-2</v>
      </c>
      <c r="I45" s="44">
        <f t="shared" si="8"/>
        <v>-8.6435508673146262E-3</v>
      </c>
      <c r="J45" s="44">
        <f t="shared" si="9"/>
        <v>-7.6190476190476183E-2</v>
      </c>
      <c r="K45" s="45"/>
    </row>
    <row r="46" spans="1:11" s="1" customFormat="1" ht="13.5" thickBot="1" x14ac:dyDescent="0.25">
      <c r="A46" s="48" t="s">
        <v>105</v>
      </c>
      <c r="B46" s="49"/>
      <c r="C46" s="50"/>
      <c r="D46" s="50">
        <f>SUM(D44:D45)</f>
        <v>133.018248825</v>
      </c>
      <c r="E46" s="50"/>
      <c r="F46" s="50"/>
      <c r="G46" s="50">
        <f>SUM(G44:G45)</f>
        <v>134.16799882500001</v>
      </c>
      <c r="H46" s="50">
        <f t="shared" si="1"/>
        <v>1.1497500000000116</v>
      </c>
      <c r="I46" s="51">
        <f t="shared" si="8"/>
        <v>8.6435508673147025E-3</v>
      </c>
      <c r="J46" s="51">
        <f t="shared" si="9"/>
        <v>1</v>
      </c>
      <c r="K46" s="52"/>
    </row>
    <row r="47" spans="1:11" x14ac:dyDescent="0.2">
      <c r="A47" s="53" t="s">
        <v>106</v>
      </c>
      <c r="B47" s="54"/>
      <c r="C47" s="55"/>
      <c r="D47" s="55">
        <f>SUM(D18,D25,D26,D28,D33,D40,D41)</f>
        <v>128.96152650000002</v>
      </c>
      <c r="E47" s="55"/>
      <c r="F47" s="55"/>
      <c r="G47" s="55">
        <f>SUM(G18,G25,G26,G28,G33,G40,G41)</f>
        <v>130.05652650000002</v>
      </c>
      <c r="H47" s="55">
        <f>G47-D47</f>
        <v>1.0949999999999989</v>
      </c>
      <c r="I47" s="56">
        <f t="shared" si="8"/>
        <v>8.4909044559114983E-3</v>
      </c>
      <c r="J47" s="56"/>
      <c r="K47" s="57">
        <f>G47/$G$51</f>
        <v>0.95238095238095233</v>
      </c>
    </row>
    <row r="48" spans="1:11" x14ac:dyDescent="0.2">
      <c r="A48" s="154" t="s">
        <v>102</v>
      </c>
      <c r="B48" s="59"/>
      <c r="C48" s="31">
        <v>0.13</v>
      </c>
      <c r="D48" s="31">
        <f>D47*C48</f>
        <v>16.764998445000003</v>
      </c>
      <c r="E48" s="31"/>
      <c r="F48" s="31">
        <f>C48</f>
        <v>0.13</v>
      </c>
      <c r="G48" s="31">
        <f>G47*F48</f>
        <v>16.907348445000004</v>
      </c>
      <c r="H48" s="31">
        <f>G48-D48</f>
        <v>0.14235000000000042</v>
      </c>
      <c r="I48" s="32">
        <f t="shared" si="8"/>
        <v>8.4909044559115313E-3</v>
      </c>
      <c r="J48" s="32"/>
      <c r="K48" s="60">
        <f>G48/$G$51</f>
        <v>0.12380952380952381</v>
      </c>
    </row>
    <row r="49" spans="1:11" x14ac:dyDescent="0.2">
      <c r="A49" s="61" t="s">
        <v>107</v>
      </c>
      <c r="B49" s="29"/>
      <c r="C49" s="30"/>
      <c r="D49" s="30">
        <f>SUM(D47:D48)</f>
        <v>145.72652494500002</v>
      </c>
      <c r="E49" s="30"/>
      <c r="F49" s="30"/>
      <c r="G49" s="30">
        <f>SUM(G47:G48)</f>
        <v>146.96387494500001</v>
      </c>
      <c r="H49" s="30">
        <f>G49-D49</f>
        <v>1.2373499999999922</v>
      </c>
      <c r="I49" s="33">
        <f t="shared" si="8"/>
        <v>8.4909044559114532E-3</v>
      </c>
      <c r="J49" s="33"/>
      <c r="K49" s="62">
        <f>G49/$G$51</f>
        <v>1.0761904761904761</v>
      </c>
    </row>
    <row r="50" spans="1:11" x14ac:dyDescent="0.2">
      <c r="A50" s="58" t="s">
        <v>104</v>
      </c>
      <c r="B50" s="59"/>
      <c r="C50" s="31">
        <v>-0.08</v>
      </c>
      <c r="D50" s="31">
        <f>D47*C50</f>
        <v>-10.316922120000001</v>
      </c>
      <c r="E50" s="31"/>
      <c r="F50" s="31">
        <f>C50</f>
        <v>-0.08</v>
      </c>
      <c r="G50" s="31">
        <f>G47*F50</f>
        <v>-10.404522120000001</v>
      </c>
      <c r="H50" s="31">
        <f>G50-D50</f>
        <v>-8.7600000000000122E-2</v>
      </c>
      <c r="I50" s="32">
        <f t="shared" si="8"/>
        <v>-8.4909044559115191E-3</v>
      </c>
      <c r="J50" s="32"/>
      <c r="K50" s="60">
        <f>G50/$G$51</f>
        <v>-7.6190476190476183E-2</v>
      </c>
    </row>
    <row r="51" spans="1:11" ht="13.5" thickBot="1" x14ac:dyDescent="0.25">
      <c r="A51" s="63" t="s">
        <v>116</v>
      </c>
      <c r="B51" s="64"/>
      <c r="C51" s="65"/>
      <c r="D51" s="65">
        <f>SUM(D49:D50)</f>
        <v>135.40960282500004</v>
      </c>
      <c r="E51" s="65"/>
      <c r="F51" s="65"/>
      <c r="G51" s="65">
        <f>SUM(G49:G50)</f>
        <v>136.55935282500002</v>
      </c>
      <c r="H51" s="65">
        <f>G51-D51</f>
        <v>1.1497499999999832</v>
      </c>
      <c r="I51" s="66">
        <f t="shared" si="8"/>
        <v>8.4909044559113821E-3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1" tint="0.499984740745262"/>
    <pageSetUpPr fitToPage="1"/>
  </sheetPr>
  <dimension ref="A1:J48"/>
  <sheetViews>
    <sheetView tabSelected="1" view="pageLayout"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120</v>
      </c>
      <c r="B1" s="189"/>
      <c r="C1" s="189"/>
      <c r="D1" s="189"/>
      <c r="E1" s="189"/>
      <c r="F1" s="189"/>
      <c r="G1" s="189"/>
      <c r="H1" s="189"/>
      <c r="I1" s="189"/>
      <c r="J1" s="190"/>
    </row>
    <row r="3" spans="1:10" x14ac:dyDescent="0.2">
      <c r="A3" s="13" t="s">
        <v>13</v>
      </c>
      <c r="B3" s="13" t="s">
        <v>12</v>
      </c>
    </row>
    <row r="4" spans="1:10" x14ac:dyDescent="0.2">
      <c r="A4" s="15" t="s">
        <v>62</v>
      </c>
      <c r="B4" s="15">
        <v>1000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7">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 t="shared" ref="J12:J28" si="1">G12/$G$37</f>
        <v>0.33537762333666887</v>
      </c>
    </row>
    <row r="13" spans="1:10" x14ac:dyDescent="0.2">
      <c r="A13" s="107" t="s">
        <v>32</v>
      </c>
      <c r="B13" s="73">
        <f>IF(B4&gt;B7,(B4)-B7,0)</f>
        <v>250</v>
      </c>
      <c r="C13" s="21">
        <v>0.106</v>
      </c>
      <c r="D13" s="22">
        <f>B13*C13</f>
        <v>26.5</v>
      </c>
      <c r="E13" s="73">
        <f>B13</f>
        <v>250</v>
      </c>
      <c r="F13" s="21">
        <f>C13</f>
        <v>0.106</v>
      </c>
      <c r="G13" s="22">
        <f>E13*F13</f>
        <v>26.5</v>
      </c>
      <c r="H13" s="22">
        <f t="shared" ref="H13:H37" si="2">G13-D13</f>
        <v>0</v>
      </c>
      <c r="I13" s="23">
        <f t="shared" si="0"/>
        <v>0</v>
      </c>
      <c r="J13" s="124">
        <f t="shared" si="1"/>
        <v>0.13021988305379817</v>
      </c>
    </row>
    <row r="14" spans="1:10" s="1" customFormat="1" x14ac:dyDescent="0.2">
      <c r="A14" s="46" t="s">
        <v>33</v>
      </c>
      <c r="B14" s="24"/>
      <c r="C14" s="25"/>
      <c r="D14" s="25">
        <f>SUM(D12:D13)</f>
        <v>94.75</v>
      </c>
      <c r="E14" s="76"/>
      <c r="F14" s="25"/>
      <c r="G14" s="25">
        <f>SUM(G12:G13)</f>
        <v>94.75</v>
      </c>
      <c r="H14" s="25">
        <f t="shared" si="2"/>
        <v>0</v>
      </c>
      <c r="I14" s="27">
        <f t="shared" si="0"/>
        <v>0</v>
      </c>
      <c r="J14" s="47">
        <f t="shared" si="1"/>
        <v>0.46559750639046704</v>
      </c>
    </row>
    <row r="15" spans="1:10" x14ac:dyDescent="0.2">
      <c r="A15" s="107" t="s">
        <v>38</v>
      </c>
      <c r="B15" s="73">
        <v>1</v>
      </c>
      <c r="C15" s="78">
        <f>VLOOKUP($B$3,'Data for Bill Impacts'!$A$3:$Y$15,7,0)</f>
        <v>35.49</v>
      </c>
      <c r="D15" s="22">
        <f>B15*C15</f>
        <v>35.49</v>
      </c>
      <c r="E15" s="73">
        <f t="shared" ref="E15:E32" si="3">B15</f>
        <v>1</v>
      </c>
      <c r="F15" s="78">
        <f>VLOOKUP($B$3,'Data for Bill Impacts'!$A$3:$Y$15,17,0)</f>
        <v>36.659999999999997</v>
      </c>
      <c r="G15" s="22">
        <f>E15*F15</f>
        <v>36.659999999999997</v>
      </c>
      <c r="H15" s="22">
        <f t="shared" si="2"/>
        <v>1.1699999999999946</v>
      </c>
      <c r="I15" s="23">
        <f t="shared" si="0"/>
        <v>3.2967032967032815E-2</v>
      </c>
      <c r="J15" s="124">
        <f t="shared" si="1"/>
        <v>0.18014569482083928</v>
      </c>
    </row>
    <row r="16" spans="1:10" x14ac:dyDescent="0.2">
      <c r="A16" s="107" t="s">
        <v>85</v>
      </c>
      <c r="B16" s="73">
        <v>1</v>
      </c>
      <c r="C16" s="121">
        <f>VLOOKUP($B$3,'Data for Bill Impacts'!$A$3:$Y$15,13,0)</f>
        <v>2E-3</v>
      </c>
      <c r="D16" s="22">
        <f>B16*C16</f>
        <v>2E-3</v>
      </c>
      <c r="E16" s="73">
        <f t="shared" si="3"/>
        <v>1</v>
      </c>
      <c r="F16" s="121">
        <f>VLOOKUP($B$3,'Data for Bill Impacts'!$A$3:$Y$15,22,0)</f>
        <v>2E-3</v>
      </c>
      <c r="G16" s="22">
        <f>E16*F16</f>
        <v>2E-3</v>
      </c>
      <c r="H16" s="22">
        <f t="shared" si="2"/>
        <v>0</v>
      </c>
      <c r="I16" s="23">
        <f t="shared" si="0"/>
        <v>0</v>
      </c>
      <c r="J16" s="124">
        <f t="shared" si="1"/>
        <v>9.8279157021734477E-6</v>
      </c>
    </row>
    <row r="17" spans="1:10" x14ac:dyDescent="0.2">
      <c r="A17" s="107" t="s">
        <v>39</v>
      </c>
      <c r="B17" s="73">
        <f>IF($B$9="kWh",$B$4,$B$5)</f>
        <v>1000</v>
      </c>
      <c r="C17" s="78">
        <f>VLOOKUP($B$3,'Data for Bill Impacts'!$A$3:$Y$15,10,0)</f>
        <v>2.9100000000000001E-2</v>
      </c>
      <c r="D17" s="22">
        <f>B17*C17</f>
        <v>29.1</v>
      </c>
      <c r="E17" s="73">
        <f t="shared" si="3"/>
        <v>1000</v>
      </c>
      <c r="F17" s="78">
        <f>VLOOKUP($B$3,'Data for Bill Impacts'!$A$3:$Y$15,19,0)</f>
        <v>2.98E-2</v>
      </c>
      <c r="G17" s="22">
        <f>E17*F17</f>
        <v>29.8</v>
      </c>
      <c r="H17" s="22">
        <f t="shared" si="2"/>
        <v>0.69999999999999929</v>
      </c>
      <c r="I17" s="23">
        <f t="shared" si="0"/>
        <v>2.4054982817869389E-2</v>
      </c>
      <c r="J17" s="124">
        <f t="shared" si="1"/>
        <v>0.14643594396238438</v>
      </c>
    </row>
    <row r="18" spans="1:10" s="1" customFormat="1" x14ac:dyDescent="0.2">
      <c r="A18" s="107" t="s">
        <v>121</v>
      </c>
      <c r="B18" s="73">
        <f>IF($B$9="kWh",$B$4,$B$5)</f>
        <v>1000</v>
      </c>
      <c r="C18" s="125">
        <f>VLOOKUP($B$3,'Data for Bill Impacts'!$A$3:$Y$15,14,0)</f>
        <v>2.0000000000000002E-5</v>
      </c>
      <c r="D18" s="22">
        <f>B18*C18</f>
        <v>0.02</v>
      </c>
      <c r="E18" s="73">
        <f>B18</f>
        <v>1000</v>
      </c>
      <c r="F18" s="125">
        <f>VLOOKUP($B$3,'Data for Bill Impacts'!$A$3:$Y$15,23,0)</f>
        <v>2.0000000000000002E-5</v>
      </c>
      <c r="G18" s="22">
        <f>E18*F18</f>
        <v>0.02</v>
      </c>
      <c r="H18" s="22">
        <f>G18-D18</f>
        <v>0</v>
      </c>
      <c r="I18" s="23">
        <f t="shared" si="0"/>
        <v>0</v>
      </c>
      <c r="J18" s="124">
        <f t="shared" si="1"/>
        <v>9.8279157021734467E-5</v>
      </c>
    </row>
    <row r="19" spans="1:10" x14ac:dyDescent="0.2">
      <c r="A19" s="107" t="s">
        <v>108</v>
      </c>
      <c r="B19" s="73">
        <f>B8</f>
        <v>1092</v>
      </c>
      <c r="C19" s="125">
        <f>VLOOKUP($B$3,'Data for Bill Impacts'!$A$3:$Y$15,20,0)</f>
        <v>0</v>
      </c>
      <c r="D19" s="22">
        <f>B19*C19</f>
        <v>0</v>
      </c>
      <c r="E19" s="73">
        <f t="shared" si="3"/>
        <v>1092</v>
      </c>
      <c r="F19" s="125">
        <f>VLOOKUP($B$3,'Data for Bill Impacts'!$A$3:$Y$15,21,0)</f>
        <v>0</v>
      </c>
      <c r="G19" s="22">
        <f>E19*F19</f>
        <v>0</v>
      </c>
      <c r="H19" s="22">
        <f t="shared" si="2"/>
        <v>0</v>
      </c>
      <c r="I19" s="23" t="str">
        <f>IF(ISERROR(H19/ABS(D19)),"N/A",(H19/ABS(D19)))</f>
        <v>N/A</v>
      </c>
      <c r="J19" s="124">
        <f t="shared" si="1"/>
        <v>0</v>
      </c>
    </row>
    <row r="20" spans="1:10" x14ac:dyDescent="0.2">
      <c r="A20" s="110" t="s">
        <v>72</v>
      </c>
      <c r="B20" s="74"/>
      <c r="C20" s="35"/>
      <c r="D20" s="35">
        <f>SUM(D15:D19)</f>
        <v>64.612000000000009</v>
      </c>
      <c r="E20" s="73"/>
      <c r="F20" s="35"/>
      <c r="G20" s="35">
        <f>SUM(G15:G19)</f>
        <v>66.481999999999999</v>
      </c>
      <c r="H20" s="35">
        <f t="shared" si="2"/>
        <v>1.8699999999999903</v>
      </c>
      <c r="I20" s="36">
        <f>IF(ISERROR(H20/D20),0,(H20/D20))</f>
        <v>2.8941992199591253E-2</v>
      </c>
      <c r="J20" s="111">
        <f t="shared" si="1"/>
        <v>0.32668974585594757</v>
      </c>
    </row>
    <row r="21" spans="1:10" s="1" customFormat="1" x14ac:dyDescent="0.2">
      <c r="A21" s="119" t="s">
        <v>81</v>
      </c>
      <c r="B21" s="120">
        <f>B8-B4</f>
        <v>92</v>
      </c>
      <c r="C21" s="172">
        <f>IF(B4&gt;B7,C13,C12)</f>
        <v>0.106</v>
      </c>
      <c r="D21" s="22">
        <f>B21*C21</f>
        <v>9.7519999999999989</v>
      </c>
      <c r="E21" s="73">
        <f>B21</f>
        <v>92</v>
      </c>
      <c r="F21" s="172">
        <f>C21</f>
        <v>0.106</v>
      </c>
      <c r="G21" s="22">
        <f>E21*F21</f>
        <v>9.7519999999999989</v>
      </c>
      <c r="H21" s="22">
        <f t="shared" si="2"/>
        <v>0</v>
      </c>
      <c r="I21" s="23">
        <f>IF(ISERROR(H21/D21),0,(H21/D21))</f>
        <v>0</v>
      </c>
      <c r="J21" s="124">
        <f t="shared" si="1"/>
        <v>4.7920916963797723E-2</v>
      </c>
    </row>
    <row r="22" spans="1:10" x14ac:dyDescent="0.2">
      <c r="A22" s="110" t="s">
        <v>79</v>
      </c>
      <c r="B22" s="74"/>
      <c r="C22" s="35"/>
      <c r="D22" s="35">
        <f>SUM(D20,D21:D21)</f>
        <v>74.364000000000004</v>
      </c>
      <c r="E22" s="73"/>
      <c r="F22" s="35"/>
      <c r="G22" s="35">
        <f>SUM(G20,G21:G21)</f>
        <v>76.233999999999995</v>
      </c>
      <c r="H22" s="35">
        <f t="shared" si="2"/>
        <v>1.8699999999999903</v>
      </c>
      <c r="I22" s="36">
        <f t="shared" ref="I22:I37" si="4">IF(ISERROR(H22/ABS(D22)),"N/A",(H22/ABS(D22)))</f>
        <v>2.5146576300360258E-2</v>
      </c>
      <c r="J22" s="111">
        <f t="shared" si="1"/>
        <v>0.37461066281974525</v>
      </c>
    </row>
    <row r="23" spans="1:10" x14ac:dyDescent="0.2">
      <c r="A23" s="107" t="s">
        <v>40</v>
      </c>
      <c r="B23" s="73">
        <f>B8</f>
        <v>1092</v>
      </c>
      <c r="C23" s="125">
        <f>VLOOKUP($B$3,'Data for Bill Impacts'!$A$3:$Y$15,15,0)</f>
        <v>4.7699999999999999E-3</v>
      </c>
      <c r="D23" s="22">
        <f>B23*C23</f>
        <v>5.2088400000000004</v>
      </c>
      <c r="E23" s="73">
        <f t="shared" si="3"/>
        <v>1092</v>
      </c>
      <c r="F23" s="125">
        <f>VLOOKUP($B$3,'Data for Bill Impacts'!$A$3:$Y$15,24,0)</f>
        <v>4.7699999999999999E-3</v>
      </c>
      <c r="G23" s="22">
        <f>E23*F23</f>
        <v>5.2088400000000004</v>
      </c>
      <c r="H23" s="22">
        <f t="shared" si="2"/>
        <v>0</v>
      </c>
      <c r="I23" s="23">
        <f t="shared" si="4"/>
        <v>0</v>
      </c>
      <c r="J23" s="124">
        <f t="shared" si="1"/>
        <v>2.5596020213054571E-2</v>
      </c>
    </row>
    <row r="24" spans="1:10" s="1" customFormat="1" x14ac:dyDescent="0.2">
      <c r="A24" s="107" t="s">
        <v>41</v>
      </c>
      <c r="B24" s="73">
        <f>B8</f>
        <v>1092</v>
      </c>
      <c r="C24" s="125">
        <f>VLOOKUP($B$3,'Data for Bill Impacts'!$A$3:$Y$15,16,0)</f>
        <v>3.7950000000000002E-3</v>
      </c>
      <c r="D24" s="22">
        <f>B24*C24</f>
        <v>4.1441400000000002</v>
      </c>
      <c r="E24" s="73">
        <f t="shared" si="3"/>
        <v>1092</v>
      </c>
      <c r="F24" s="125">
        <f>VLOOKUP($B$3,'Data for Bill Impacts'!$A$3:$Y$15,25,0)</f>
        <v>3.7950000000000002E-3</v>
      </c>
      <c r="G24" s="22">
        <f>E24*F24</f>
        <v>4.1441400000000002</v>
      </c>
      <c r="H24" s="22">
        <f t="shared" si="2"/>
        <v>0</v>
      </c>
      <c r="I24" s="23">
        <f t="shared" si="4"/>
        <v>0</v>
      </c>
      <c r="J24" s="124">
        <f t="shared" si="1"/>
        <v>2.0364129289002535E-2</v>
      </c>
    </row>
    <row r="25" spans="1:10" s="1" customFormat="1" x14ac:dyDescent="0.2">
      <c r="A25" s="110" t="s">
        <v>76</v>
      </c>
      <c r="B25" s="74"/>
      <c r="C25" s="35"/>
      <c r="D25" s="35">
        <f>SUM(D23:D24)</f>
        <v>9.3529800000000005</v>
      </c>
      <c r="E25" s="73"/>
      <c r="F25" s="35"/>
      <c r="G25" s="35">
        <f>SUM(G23:G24)</f>
        <v>9.3529800000000005</v>
      </c>
      <c r="H25" s="35">
        <f t="shared" si="2"/>
        <v>0</v>
      </c>
      <c r="I25" s="36">
        <f t="shared" si="4"/>
        <v>0</v>
      </c>
      <c r="J25" s="111">
        <f t="shared" si="1"/>
        <v>4.596014950205711E-2</v>
      </c>
    </row>
    <row r="26" spans="1:10" s="1" customFormat="1" x14ac:dyDescent="0.2">
      <c r="A26" s="110" t="s">
        <v>80</v>
      </c>
      <c r="B26" s="74"/>
      <c r="C26" s="35"/>
      <c r="D26" s="35">
        <f>D22+D25</f>
        <v>83.716980000000007</v>
      </c>
      <c r="E26" s="73"/>
      <c r="F26" s="35"/>
      <c r="G26" s="35">
        <f>G22+G25</f>
        <v>85.586979999999997</v>
      </c>
      <c r="H26" s="35">
        <f t="shared" si="2"/>
        <v>1.8699999999999903</v>
      </c>
      <c r="I26" s="36">
        <f t="shared" si="4"/>
        <v>2.2337165053015411E-2</v>
      </c>
      <c r="J26" s="111">
        <f t="shared" si="1"/>
        <v>0.42057081232180238</v>
      </c>
    </row>
    <row r="27" spans="1:10" x14ac:dyDescent="0.2">
      <c r="A27" s="107" t="s">
        <v>42</v>
      </c>
      <c r="B27" s="73">
        <f>B8</f>
        <v>1092</v>
      </c>
      <c r="C27" s="34">
        <v>3.5999999999999999E-3</v>
      </c>
      <c r="D27" s="22">
        <f>B27*C27</f>
        <v>3.9312</v>
      </c>
      <c r="E27" s="73">
        <f t="shared" si="3"/>
        <v>1092</v>
      </c>
      <c r="F27" s="34">
        <v>3.5999999999999999E-3</v>
      </c>
      <c r="G27" s="22">
        <f>E27*F27</f>
        <v>3.9312</v>
      </c>
      <c r="H27" s="22">
        <f t="shared" si="2"/>
        <v>0</v>
      </c>
      <c r="I27" s="23">
        <f t="shared" si="4"/>
        <v>0</v>
      </c>
      <c r="J27" s="124">
        <f t="shared" si="1"/>
        <v>1.9317751104192128E-2</v>
      </c>
    </row>
    <row r="28" spans="1:10" s="1" customFormat="1" x14ac:dyDescent="0.2">
      <c r="A28" s="107" t="s">
        <v>43</v>
      </c>
      <c r="B28" s="73">
        <f>B8</f>
        <v>1092</v>
      </c>
      <c r="C28" s="34">
        <v>2.0999999999999999E-3</v>
      </c>
      <c r="D28" s="22">
        <f>B28*C28</f>
        <v>2.2931999999999997</v>
      </c>
      <c r="E28" s="73">
        <f t="shared" si="3"/>
        <v>1092</v>
      </c>
      <c r="F28" s="34">
        <v>2.0999999999999999E-3</v>
      </c>
      <c r="G28" s="22">
        <f>E28*F28</f>
        <v>2.2931999999999997</v>
      </c>
      <c r="H28" s="22">
        <f>G28-D28</f>
        <v>0</v>
      </c>
      <c r="I28" s="23">
        <f t="shared" si="4"/>
        <v>0</v>
      </c>
      <c r="J28" s="124">
        <f t="shared" si="1"/>
        <v>1.1268688144112074E-2</v>
      </c>
    </row>
    <row r="29" spans="1:10" s="1" customFormat="1" x14ac:dyDescent="0.2">
      <c r="A29" s="107" t="s">
        <v>96</v>
      </c>
      <c r="B29" s="73">
        <f>B8</f>
        <v>1092</v>
      </c>
      <c r="C29" s="34">
        <v>0</v>
      </c>
      <c r="D29" s="22">
        <f>B29*C29</f>
        <v>0</v>
      </c>
      <c r="E29" s="73">
        <f t="shared" si="3"/>
        <v>1092</v>
      </c>
      <c r="F29" s="34">
        <v>0</v>
      </c>
      <c r="G29" s="22">
        <f>E29*F29</f>
        <v>0</v>
      </c>
      <c r="H29" s="22">
        <f>G29-D29</f>
        <v>0</v>
      </c>
      <c r="I29" s="23" t="str">
        <f t="shared" si="4"/>
        <v>N/A</v>
      </c>
      <c r="J29" s="124">
        <f>G29/$G$37</f>
        <v>0</v>
      </c>
    </row>
    <row r="30" spans="1:10" x14ac:dyDescent="0.2">
      <c r="A30" s="107" t="s">
        <v>44</v>
      </c>
      <c r="B30" s="73">
        <v>1</v>
      </c>
      <c r="C30" s="22">
        <v>0.25</v>
      </c>
      <c r="D30" s="22">
        <f>B30*C30</f>
        <v>0.25</v>
      </c>
      <c r="E30" s="73">
        <f t="shared" si="3"/>
        <v>1</v>
      </c>
      <c r="F30" s="22">
        <f>C30</f>
        <v>0.25</v>
      </c>
      <c r="G30" s="22">
        <f>E30*F30</f>
        <v>0.25</v>
      </c>
      <c r="H30" s="22">
        <f t="shared" si="2"/>
        <v>0</v>
      </c>
      <c r="I30" s="23">
        <f t="shared" si="4"/>
        <v>0</v>
      </c>
      <c r="J30" s="124">
        <f t="shared" ref="J30:J37" si="5">G30/$G$37</f>
        <v>1.2284894627716809E-3</v>
      </c>
    </row>
    <row r="31" spans="1:10" s="1" customFormat="1" x14ac:dyDescent="0.2">
      <c r="A31" s="110" t="s">
        <v>45</v>
      </c>
      <c r="B31" s="74"/>
      <c r="C31" s="35"/>
      <c r="D31" s="35">
        <f>SUM(D27:D30)</f>
        <v>6.4743999999999993</v>
      </c>
      <c r="E31" s="73"/>
      <c r="F31" s="35"/>
      <c r="G31" s="35">
        <f>SUM(G27:G30)</f>
        <v>6.4743999999999993</v>
      </c>
      <c r="H31" s="35">
        <f t="shared" si="2"/>
        <v>0</v>
      </c>
      <c r="I31" s="36">
        <f t="shared" si="4"/>
        <v>0</v>
      </c>
      <c r="J31" s="111">
        <f t="shared" si="5"/>
        <v>3.1814928711075878E-2</v>
      </c>
    </row>
    <row r="32" spans="1:10" ht="13.5" thickBot="1" x14ac:dyDescent="0.25">
      <c r="A32" s="112" t="s">
        <v>46</v>
      </c>
      <c r="B32" s="113">
        <f>B4</f>
        <v>1000</v>
      </c>
      <c r="C32" s="114">
        <v>7.0000000000000001E-3</v>
      </c>
      <c r="D32" s="115">
        <f>B32*C32</f>
        <v>7</v>
      </c>
      <c r="E32" s="116">
        <f t="shared" si="3"/>
        <v>1000</v>
      </c>
      <c r="F32" s="114">
        <f>C32</f>
        <v>7.0000000000000001E-3</v>
      </c>
      <c r="G32" s="115">
        <f>E32*F32</f>
        <v>7</v>
      </c>
      <c r="H32" s="115">
        <f t="shared" si="2"/>
        <v>0</v>
      </c>
      <c r="I32" s="117">
        <f t="shared" si="4"/>
        <v>0</v>
      </c>
      <c r="J32" s="118">
        <f t="shared" si="5"/>
        <v>3.4397704957607064E-2</v>
      </c>
    </row>
    <row r="33" spans="1:10" x14ac:dyDescent="0.2">
      <c r="A33" s="37" t="s">
        <v>111</v>
      </c>
      <c r="B33" s="38"/>
      <c r="C33" s="39"/>
      <c r="D33" s="39">
        <f>SUM(D14,D22,D25,D31,D32)</f>
        <v>191.94138000000001</v>
      </c>
      <c r="E33" s="38"/>
      <c r="F33" s="39"/>
      <c r="G33" s="39">
        <f>SUM(G14,G22,G25,G31,G32)</f>
        <v>193.81137999999999</v>
      </c>
      <c r="H33" s="39">
        <f t="shared" si="2"/>
        <v>1.8699999999999761</v>
      </c>
      <c r="I33" s="40">
        <f t="shared" si="4"/>
        <v>9.7425578580292386E-3</v>
      </c>
      <c r="J33" s="41">
        <f t="shared" si="5"/>
        <v>0.95238095238095233</v>
      </c>
    </row>
    <row r="34" spans="1:10" x14ac:dyDescent="0.2">
      <c r="A34" s="46" t="s">
        <v>102</v>
      </c>
      <c r="B34" s="43"/>
      <c r="C34" s="26">
        <v>0.13</v>
      </c>
      <c r="D34" s="26">
        <f>D33*C34</f>
        <v>24.952379400000002</v>
      </c>
      <c r="E34" s="26"/>
      <c r="F34" s="26">
        <f>C34</f>
        <v>0.13</v>
      </c>
      <c r="G34" s="26">
        <f>G33*F34</f>
        <v>25.1954794</v>
      </c>
      <c r="H34" s="26">
        <f t="shared" si="2"/>
        <v>0.24309999999999832</v>
      </c>
      <c r="I34" s="44">
        <f t="shared" si="4"/>
        <v>9.7425578580292941E-3</v>
      </c>
      <c r="J34" s="45">
        <f t="shared" si="5"/>
        <v>0.12380952380952381</v>
      </c>
    </row>
    <row r="35" spans="1:10" x14ac:dyDescent="0.2">
      <c r="A35" s="46" t="s">
        <v>103</v>
      </c>
      <c r="B35" s="24"/>
      <c r="C35" s="25"/>
      <c r="D35" s="25">
        <f>SUM(D33:D34)</f>
        <v>216.89375940000002</v>
      </c>
      <c r="E35" s="25"/>
      <c r="F35" s="25"/>
      <c r="G35" s="25">
        <f>SUM(G33:G34)</f>
        <v>219.0068594</v>
      </c>
      <c r="H35" s="25">
        <f t="shared" si="2"/>
        <v>2.1130999999999744</v>
      </c>
      <c r="I35" s="27">
        <f t="shared" si="4"/>
        <v>9.7425578580292438E-3</v>
      </c>
      <c r="J35" s="47">
        <f t="shared" si="5"/>
        <v>1.0761904761904761</v>
      </c>
    </row>
    <row r="36" spans="1:10" x14ac:dyDescent="0.2">
      <c r="A36" s="46" t="s">
        <v>104</v>
      </c>
      <c r="B36" s="43"/>
      <c r="C36" s="26">
        <v>-0.08</v>
      </c>
      <c r="D36" s="26">
        <f>D33*C36</f>
        <v>-15.3553104</v>
      </c>
      <c r="E36" s="26"/>
      <c r="F36" s="26">
        <f>C36</f>
        <v>-0.08</v>
      </c>
      <c r="G36" s="26">
        <f>G33*F36</f>
        <v>-15.5049104</v>
      </c>
      <c r="H36" s="26">
        <f t="shared" si="2"/>
        <v>-0.14959999999999951</v>
      </c>
      <c r="I36" s="44">
        <f t="shared" si="4"/>
        <v>-9.7425578580293305E-3</v>
      </c>
      <c r="J36" s="45">
        <f t="shared" si="5"/>
        <v>-7.6190476190476197E-2</v>
      </c>
    </row>
    <row r="37" spans="1:10" ht="13.5" thickBot="1" x14ac:dyDescent="0.25">
      <c r="A37" s="48" t="s">
        <v>105</v>
      </c>
      <c r="B37" s="49"/>
      <c r="C37" s="50"/>
      <c r="D37" s="50">
        <f>SUM(D35:D36)</f>
        <v>201.53844900000001</v>
      </c>
      <c r="E37" s="50"/>
      <c r="F37" s="50"/>
      <c r="G37" s="50">
        <f>SUM(G35:G36)</f>
        <v>203.501949</v>
      </c>
      <c r="H37" s="50">
        <f t="shared" si="2"/>
        <v>1.963499999999982</v>
      </c>
      <c r="I37" s="51">
        <f t="shared" si="4"/>
        <v>9.7425578580292733E-3</v>
      </c>
      <c r="J37" s="52">
        <f t="shared" si="5"/>
        <v>1</v>
      </c>
    </row>
    <row r="38" spans="1:10" x14ac:dyDescent="0.2">
      <c r="A38" s="170"/>
      <c r="D38" s="72"/>
      <c r="F38" s="69"/>
    </row>
    <row r="39" spans="1:10" x14ac:dyDescent="0.2">
      <c r="A39" s="170"/>
      <c r="F39" s="69"/>
    </row>
    <row r="40" spans="1:10" x14ac:dyDescent="0.2">
      <c r="A40" s="171"/>
      <c r="B40" s="71"/>
      <c r="F40" s="69"/>
    </row>
    <row r="41" spans="1:10" x14ac:dyDescent="0.2">
      <c r="A41" s="170"/>
      <c r="B41" s="72"/>
      <c r="D41" s="72"/>
      <c r="F41" s="69"/>
    </row>
    <row r="42" spans="1:10" x14ac:dyDescent="0.2">
      <c r="A42" s="170"/>
      <c r="F42" s="69"/>
    </row>
    <row r="43" spans="1:10" x14ac:dyDescent="0.2">
      <c r="A43" s="170"/>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scale="79"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1" tint="0.499984740745262"/>
    <pageSetUpPr fitToPage="1"/>
  </sheetPr>
  <dimension ref="A1:J48"/>
  <sheetViews>
    <sheetView tabSelected="1" view="pageLayout"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117</v>
      </c>
      <c r="B1" s="189"/>
      <c r="C1" s="189"/>
      <c r="D1" s="189"/>
      <c r="E1" s="189"/>
      <c r="F1" s="189"/>
      <c r="G1" s="189"/>
      <c r="H1" s="189"/>
      <c r="I1" s="189"/>
      <c r="J1" s="190"/>
    </row>
    <row r="3" spans="1:10" x14ac:dyDescent="0.2">
      <c r="A3" s="13" t="s">
        <v>13</v>
      </c>
      <c r="B3" s="13" t="s">
        <v>9</v>
      </c>
    </row>
    <row r="4" spans="1:10" x14ac:dyDescent="0.2">
      <c r="A4" s="15" t="s">
        <v>62</v>
      </c>
      <c r="B4" s="15">
        <v>20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7">
        <f>B4*B6</f>
        <v>21.840000000000003</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20</v>
      </c>
      <c r="C12" s="103">
        <v>9.0999999999999998E-2</v>
      </c>
      <c r="D12" s="104">
        <f>B12*C12</f>
        <v>1.8199999999999998</v>
      </c>
      <c r="E12" s="102">
        <f>B12</f>
        <v>20</v>
      </c>
      <c r="F12" s="103">
        <f>C12</f>
        <v>9.0999999999999998E-2</v>
      </c>
      <c r="G12" s="104">
        <f>E12*F12</f>
        <v>1.8199999999999998</v>
      </c>
      <c r="H12" s="104">
        <f>G12-D12</f>
        <v>0</v>
      </c>
      <c r="I12" s="105">
        <f t="shared" ref="I12:I18" si="0">IF(ISERROR(H12/ABS(D12)),"N/A",(H12/ABS(D12)))</f>
        <v>0</v>
      </c>
      <c r="J12" s="123">
        <f t="shared" ref="J12:J28" si="1">G12/$G$37</f>
        <v>0.19299948010096976</v>
      </c>
    </row>
    <row r="13" spans="1:10" x14ac:dyDescent="0.2">
      <c r="A13" s="107" t="s">
        <v>32</v>
      </c>
      <c r="B13" s="73">
        <f>IF(B4&gt;B7,(B4)-B7,0)</f>
        <v>0</v>
      </c>
      <c r="C13" s="21">
        <v>0.106</v>
      </c>
      <c r="D13" s="22">
        <f>B13*C13</f>
        <v>0</v>
      </c>
      <c r="E13" s="73">
        <f>B13</f>
        <v>0</v>
      </c>
      <c r="F13" s="21">
        <f>C13</f>
        <v>0.106</v>
      </c>
      <c r="G13" s="22">
        <f>E13*F13</f>
        <v>0</v>
      </c>
      <c r="H13" s="22">
        <f t="shared" ref="H13:H37" si="2">G13-D13</f>
        <v>0</v>
      </c>
      <c r="I13" s="23" t="str">
        <f t="shared" si="0"/>
        <v>N/A</v>
      </c>
      <c r="J13" s="124">
        <f t="shared" si="1"/>
        <v>0</v>
      </c>
    </row>
    <row r="14" spans="1:10" s="1" customFormat="1" x14ac:dyDescent="0.2">
      <c r="A14" s="46" t="s">
        <v>33</v>
      </c>
      <c r="B14" s="24"/>
      <c r="C14" s="25"/>
      <c r="D14" s="25">
        <f>SUM(D12:D13)</f>
        <v>1.8199999999999998</v>
      </c>
      <c r="E14" s="76"/>
      <c r="F14" s="25"/>
      <c r="G14" s="25">
        <f>SUM(G12:G13)</f>
        <v>1.8199999999999998</v>
      </c>
      <c r="H14" s="25">
        <f t="shared" si="2"/>
        <v>0</v>
      </c>
      <c r="I14" s="27">
        <f t="shared" si="0"/>
        <v>0</v>
      </c>
      <c r="J14" s="47">
        <f t="shared" si="1"/>
        <v>0.19299948010096976</v>
      </c>
    </row>
    <row r="15" spans="1:10" x14ac:dyDescent="0.2">
      <c r="A15" s="107" t="s">
        <v>38</v>
      </c>
      <c r="B15" s="73">
        <v>1</v>
      </c>
      <c r="C15" s="78">
        <f>VLOOKUP($B$3,'Data for Bill Impacts'!$A$3:$Y$15,7,0)</f>
        <v>3.37</v>
      </c>
      <c r="D15" s="22">
        <f>B15*C15</f>
        <v>3.37</v>
      </c>
      <c r="E15" s="73">
        <f t="shared" ref="E15:E32" si="3">B15</f>
        <v>1</v>
      </c>
      <c r="F15" s="78">
        <f>VLOOKUP($B$3,'Data for Bill Impacts'!$A$3:$Y$15,17,0)</f>
        <v>3.57</v>
      </c>
      <c r="G15" s="22">
        <f>E15*F15</f>
        <v>3.57</v>
      </c>
      <c r="H15" s="22">
        <f t="shared" si="2"/>
        <v>0.19999999999999973</v>
      </c>
      <c r="I15" s="23">
        <f t="shared" si="0"/>
        <v>5.9347181008901996E-2</v>
      </c>
      <c r="J15" s="124">
        <f t="shared" si="1"/>
        <v>0.3785759032749792</v>
      </c>
    </row>
    <row r="16" spans="1:10" x14ac:dyDescent="0.2">
      <c r="A16" s="107" t="s">
        <v>85</v>
      </c>
      <c r="B16" s="73">
        <v>1</v>
      </c>
      <c r="C16" s="121">
        <f>VLOOKUP($B$3,'Data for Bill Impacts'!$A$3:$Y$15,13,0)</f>
        <v>6.0000000000000001E-3</v>
      </c>
      <c r="D16" s="22">
        <f>B16*C16</f>
        <v>6.0000000000000001E-3</v>
      </c>
      <c r="E16" s="73">
        <f t="shared" si="3"/>
        <v>1</v>
      </c>
      <c r="F16" s="121">
        <f>VLOOKUP($B$3,'Data for Bill Impacts'!$A$3:$Y$15,22,0)</f>
        <v>6.0000000000000001E-3</v>
      </c>
      <c r="G16" s="22">
        <f>E16*F16</f>
        <v>6.0000000000000001E-3</v>
      </c>
      <c r="H16" s="22">
        <f t="shared" si="2"/>
        <v>0</v>
      </c>
      <c r="I16" s="23">
        <f t="shared" si="0"/>
        <v>0</v>
      </c>
      <c r="J16" s="124">
        <f t="shared" si="1"/>
        <v>6.3626202231088942E-4</v>
      </c>
    </row>
    <row r="17" spans="1:10" x14ac:dyDescent="0.2">
      <c r="A17" s="107" t="s">
        <v>39</v>
      </c>
      <c r="B17" s="73">
        <f>IF($B$9="kWh",$B$4,$B$5)</f>
        <v>20</v>
      </c>
      <c r="C17" s="78">
        <f>VLOOKUP($B$3,'Data for Bill Impacts'!$A$3:$Y$15,10,0)</f>
        <v>0.12809999999999999</v>
      </c>
      <c r="D17" s="22">
        <f>B17*C17</f>
        <v>2.5619999999999998</v>
      </c>
      <c r="E17" s="73">
        <f t="shared" si="3"/>
        <v>20</v>
      </c>
      <c r="F17" s="78">
        <f>VLOOKUP($B$3,'Data for Bill Impacts'!$A$3:$Y$15,19,0)</f>
        <v>0.13539999999999999</v>
      </c>
      <c r="G17" s="22">
        <f>E17*F17</f>
        <v>2.7079999999999997</v>
      </c>
      <c r="H17" s="22">
        <f t="shared" si="2"/>
        <v>0.14599999999999991</v>
      </c>
      <c r="I17" s="23">
        <f t="shared" si="0"/>
        <v>5.6986729117876625E-2</v>
      </c>
      <c r="J17" s="124">
        <f t="shared" si="1"/>
        <v>0.28716625940298141</v>
      </c>
    </row>
    <row r="18" spans="1:10" s="1" customFormat="1" x14ac:dyDescent="0.2">
      <c r="A18" s="107" t="s">
        <v>121</v>
      </c>
      <c r="B18" s="73">
        <f>IF($B$9="kWh",$B$4,$B$5)</f>
        <v>20</v>
      </c>
      <c r="C18" s="125">
        <f>VLOOKUP($B$3,'Data for Bill Impacts'!$A$3:$Y$15,14,0)</f>
        <v>-6.0000000000000002E-5</v>
      </c>
      <c r="D18" s="22">
        <f>B18*C18</f>
        <v>-1.2000000000000001E-3</v>
      </c>
      <c r="E18" s="73">
        <f>B18</f>
        <v>20</v>
      </c>
      <c r="F18" s="125">
        <f>VLOOKUP($B$3,'Data for Bill Impacts'!$A$3:$Y$15,23,0)</f>
        <v>-6.0000000000000002E-5</v>
      </c>
      <c r="G18" s="22">
        <f>E18*F18</f>
        <v>-1.2000000000000001E-3</v>
      </c>
      <c r="H18" s="22">
        <f>G18-D18</f>
        <v>0</v>
      </c>
      <c r="I18" s="23">
        <f t="shared" si="0"/>
        <v>0</v>
      </c>
      <c r="J18" s="124">
        <f t="shared" si="1"/>
        <v>-1.272524044621779E-4</v>
      </c>
    </row>
    <row r="19" spans="1:10" hidden="1" x14ac:dyDescent="0.2">
      <c r="A19" s="107" t="s">
        <v>108</v>
      </c>
      <c r="B19" s="73">
        <f>B8</f>
        <v>21.840000000000003</v>
      </c>
      <c r="C19" s="125">
        <f>VLOOKUP($B$3,'Data for Bill Impacts'!$A$3:$Y$15,20,0)</f>
        <v>0</v>
      </c>
      <c r="D19" s="22">
        <f>B19*C19</f>
        <v>0</v>
      </c>
      <c r="E19" s="73">
        <f t="shared" si="3"/>
        <v>21.840000000000003</v>
      </c>
      <c r="F19" s="125">
        <f>VLOOKUP($B$3,'Data for Bill Impacts'!$A$3:$Y$15,21,0)</f>
        <v>0</v>
      </c>
      <c r="G19" s="22">
        <f>E19*F19</f>
        <v>0</v>
      </c>
      <c r="H19" s="22">
        <f t="shared" si="2"/>
        <v>0</v>
      </c>
      <c r="I19" s="23" t="str">
        <f>IF(ISERROR(H19/ABS(D19)),"N/A",(H19/ABS(D19)))</f>
        <v>N/A</v>
      </c>
      <c r="J19" s="124">
        <f t="shared" si="1"/>
        <v>0</v>
      </c>
    </row>
    <row r="20" spans="1:10" x14ac:dyDescent="0.2">
      <c r="A20" s="110" t="s">
        <v>72</v>
      </c>
      <c r="B20" s="74"/>
      <c r="C20" s="35"/>
      <c r="D20" s="35">
        <f>SUM(D15:D19)</f>
        <v>5.9367999999999999</v>
      </c>
      <c r="E20" s="73"/>
      <c r="F20" s="35"/>
      <c r="G20" s="35">
        <f>SUM(G15:G19)</f>
        <v>6.2827999999999991</v>
      </c>
      <c r="H20" s="35">
        <f t="shared" si="2"/>
        <v>0.3459999999999992</v>
      </c>
      <c r="I20" s="36">
        <f>IF(ISERROR(H20/D20),0,(H20/D20))</f>
        <v>5.828055518124229E-2</v>
      </c>
      <c r="J20" s="111">
        <f t="shared" si="1"/>
        <v>0.66625117229580921</v>
      </c>
    </row>
    <row r="21" spans="1:10" s="1" customFormat="1" x14ac:dyDescent="0.2">
      <c r="A21" s="119" t="s">
        <v>81</v>
      </c>
      <c r="B21" s="120">
        <f>B8-B4</f>
        <v>1.8400000000000034</v>
      </c>
      <c r="C21" s="172">
        <f>IF(B4&gt;B7,C13,C12)</f>
        <v>9.0999999999999998E-2</v>
      </c>
      <c r="D21" s="22">
        <f>B21*C21</f>
        <v>0.16744000000000031</v>
      </c>
      <c r="E21" s="73">
        <f>B21</f>
        <v>1.8400000000000034</v>
      </c>
      <c r="F21" s="172">
        <f>C21</f>
        <v>9.0999999999999998E-2</v>
      </c>
      <c r="G21" s="22">
        <f>E21*F21</f>
        <v>0.16744000000000031</v>
      </c>
      <c r="H21" s="22">
        <f t="shared" si="2"/>
        <v>0</v>
      </c>
      <c r="I21" s="23">
        <f>IF(ISERROR(H21/D21),0,(H21/D21))</f>
        <v>0</v>
      </c>
      <c r="J21" s="124">
        <f t="shared" si="1"/>
        <v>1.7755952169289255E-2</v>
      </c>
    </row>
    <row r="22" spans="1:10" x14ac:dyDescent="0.2">
      <c r="A22" s="110" t="s">
        <v>79</v>
      </c>
      <c r="B22" s="74"/>
      <c r="C22" s="35"/>
      <c r="D22" s="35">
        <f>SUM(D20,D21:D21)</f>
        <v>6.1042399999999999</v>
      </c>
      <c r="E22" s="73"/>
      <c r="F22" s="35"/>
      <c r="G22" s="35">
        <f>SUM(G20,G21:G21)</f>
        <v>6.4502399999999991</v>
      </c>
      <c r="H22" s="35">
        <f t="shared" si="2"/>
        <v>0.3459999999999992</v>
      </c>
      <c r="I22" s="36">
        <f t="shared" ref="I22:I37" si="4">IF(ISERROR(H22/ABS(D22)),"N/A",(H22/ABS(D22)))</f>
        <v>5.6681912899885847E-2</v>
      </c>
      <c r="J22" s="111">
        <f t="shared" si="1"/>
        <v>0.68400712446509848</v>
      </c>
    </row>
    <row r="23" spans="1:10" x14ac:dyDescent="0.2">
      <c r="A23" s="107" t="s">
        <v>40</v>
      </c>
      <c r="B23" s="73">
        <f>B8</f>
        <v>21.840000000000003</v>
      </c>
      <c r="C23" s="78">
        <f>VLOOKUP($B$3,'Data for Bill Impacts'!$A$3:$Y$15,15,0)</f>
        <v>4.6979999999999999E-3</v>
      </c>
      <c r="D23" s="22">
        <f>B23*C23</f>
        <v>0.10260432000000001</v>
      </c>
      <c r="E23" s="73">
        <f t="shared" si="3"/>
        <v>21.840000000000003</v>
      </c>
      <c r="F23" s="125">
        <f>VLOOKUP($B$3,'Data for Bill Impacts'!$A$3:$Y$15,24,0)</f>
        <v>4.6979999999999999E-3</v>
      </c>
      <c r="G23" s="22">
        <f>E23*F23</f>
        <v>0.10260432000000001</v>
      </c>
      <c r="H23" s="22">
        <f t="shared" si="2"/>
        <v>0</v>
      </c>
      <c r="I23" s="23">
        <f t="shared" si="4"/>
        <v>0</v>
      </c>
      <c r="J23" s="124">
        <f t="shared" si="1"/>
        <v>1.0880538690172274E-2</v>
      </c>
    </row>
    <row r="24" spans="1:10" s="1" customFormat="1" x14ac:dyDescent="0.2">
      <c r="A24" s="107" t="s">
        <v>41</v>
      </c>
      <c r="B24" s="73">
        <f>B8</f>
        <v>21.840000000000003</v>
      </c>
      <c r="C24" s="78">
        <f>VLOOKUP($B$3,'Data for Bill Impacts'!$A$3:$Y$15,16,0)</f>
        <v>4.2899999999999995E-3</v>
      </c>
      <c r="D24" s="22">
        <f>B24*C24</f>
        <v>9.3693600000000002E-2</v>
      </c>
      <c r="E24" s="73">
        <f t="shared" si="3"/>
        <v>21.840000000000003</v>
      </c>
      <c r="F24" s="125">
        <f>VLOOKUP($B$3,'Data for Bill Impacts'!$A$3:$Y$15,25,0)</f>
        <v>4.2899999999999995E-3</v>
      </c>
      <c r="G24" s="22">
        <f>E24*F24</f>
        <v>9.3693600000000002E-2</v>
      </c>
      <c r="H24" s="22">
        <f t="shared" si="2"/>
        <v>0</v>
      </c>
      <c r="I24" s="23">
        <f t="shared" si="4"/>
        <v>0</v>
      </c>
      <c r="J24" s="124">
        <f t="shared" si="1"/>
        <v>9.9356132355979242E-3</v>
      </c>
    </row>
    <row r="25" spans="1:10" s="1" customFormat="1" x14ac:dyDescent="0.2">
      <c r="A25" s="110" t="s">
        <v>76</v>
      </c>
      <c r="B25" s="74"/>
      <c r="C25" s="35"/>
      <c r="D25" s="35">
        <f>SUM(D23:D24)</f>
        <v>0.19629792000000001</v>
      </c>
      <c r="E25" s="73"/>
      <c r="F25" s="35"/>
      <c r="G25" s="35">
        <f>SUM(G23:G24)</f>
        <v>0.19629792000000001</v>
      </c>
      <c r="H25" s="35">
        <f t="shared" si="2"/>
        <v>0</v>
      </c>
      <c r="I25" s="36">
        <f t="shared" si="4"/>
        <v>0</v>
      </c>
      <c r="J25" s="111">
        <f t="shared" si="1"/>
        <v>2.0816151925770198E-2</v>
      </c>
    </row>
    <row r="26" spans="1:10" s="1" customFormat="1" x14ac:dyDescent="0.2">
      <c r="A26" s="110" t="s">
        <v>80</v>
      </c>
      <c r="B26" s="74"/>
      <c r="C26" s="35"/>
      <c r="D26" s="35">
        <f>D22+D25</f>
        <v>6.30053792</v>
      </c>
      <c r="E26" s="73"/>
      <c r="F26" s="35"/>
      <c r="G26" s="35">
        <f>G22+G25</f>
        <v>6.6465379199999992</v>
      </c>
      <c r="H26" s="35">
        <f t="shared" si="2"/>
        <v>0.3459999999999992</v>
      </c>
      <c r="I26" s="36">
        <f t="shared" si="4"/>
        <v>5.4915945970530594E-2</v>
      </c>
      <c r="J26" s="111">
        <f t="shared" si="1"/>
        <v>0.70482327639086861</v>
      </c>
    </row>
    <row r="27" spans="1:10" x14ac:dyDescent="0.2">
      <c r="A27" s="107" t="s">
        <v>42</v>
      </c>
      <c r="B27" s="73">
        <f>B8</f>
        <v>21.840000000000003</v>
      </c>
      <c r="C27" s="34">
        <v>3.5999999999999999E-3</v>
      </c>
      <c r="D27" s="22">
        <f>B27*C27</f>
        <v>7.8624000000000013E-2</v>
      </c>
      <c r="E27" s="73">
        <f t="shared" si="3"/>
        <v>21.840000000000003</v>
      </c>
      <c r="F27" s="34">
        <v>3.5999999999999999E-3</v>
      </c>
      <c r="G27" s="22">
        <f>E27*F27</f>
        <v>7.8624000000000013E-2</v>
      </c>
      <c r="H27" s="22">
        <f t="shared" si="2"/>
        <v>0</v>
      </c>
      <c r="I27" s="23">
        <f t="shared" si="4"/>
        <v>0</v>
      </c>
      <c r="J27" s="124">
        <f t="shared" si="1"/>
        <v>8.3375775403618964E-3</v>
      </c>
    </row>
    <row r="28" spans="1:10" s="1" customFormat="1" x14ac:dyDescent="0.2">
      <c r="A28" s="107" t="s">
        <v>43</v>
      </c>
      <c r="B28" s="73">
        <f>B8</f>
        <v>21.840000000000003</v>
      </c>
      <c r="C28" s="34">
        <v>2.0999999999999999E-3</v>
      </c>
      <c r="D28" s="22">
        <f>B28*C28</f>
        <v>4.5864000000000002E-2</v>
      </c>
      <c r="E28" s="73">
        <f t="shared" si="3"/>
        <v>21.840000000000003</v>
      </c>
      <c r="F28" s="34">
        <v>2.0999999999999999E-3</v>
      </c>
      <c r="G28" s="22">
        <f>E28*F28</f>
        <v>4.5864000000000002E-2</v>
      </c>
      <c r="H28" s="22">
        <f>G28-D28</f>
        <v>0</v>
      </c>
      <c r="I28" s="23">
        <f t="shared" si="4"/>
        <v>0</v>
      </c>
      <c r="J28" s="124">
        <f t="shared" si="1"/>
        <v>4.863586898544439E-3</v>
      </c>
    </row>
    <row r="29" spans="1:10" s="1" customFormat="1" x14ac:dyDescent="0.2">
      <c r="A29" s="107" t="s">
        <v>96</v>
      </c>
      <c r="B29" s="73">
        <f>B8</f>
        <v>21.840000000000003</v>
      </c>
      <c r="C29" s="34">
        <v>0</v>
      </c>
      <c r="D29" s="22">
        <f>B29*C29</f>
        <v>0</v>
      </c>
      <c r="E29" s="73">
        <f t="shared" si="3"/>
        <v>21.840000000000003</v>
      </c>
      <c r="F29" s="34">
        <v>0</v>
      </c>
      <c r="G29" s="22">
        <f>E29*F29</f>
        <v>0</v>
      </c>
      <c r="H29" s="22">
        <f>G29-D29</f>
        <v>0</v>
      </c>
      <c r="I29" s="23" t="str">
        <f t="shared" si="4"/>
        <v>N/A</v>
      </c>
      <c r="J29" s="124">
        <f>G29/$G$37</f>
        <v>0</v>
      </c>
    </row>
    <row r="30" spans="1:10" x14ac:dyDescent="0.2">
      <c r="A30" s="107" t="s">
        <v>44</v>
      </c>
      <c r="B30" s="73">
        <v>1</v>
      </c>
      <c r="C30" s="22">
        <v>0.25</v>
      </c>
      <c r="D30" s="22">
        <f>B30*C30</f>
        <v>0.25</v>
      </c>
      <c r="E30" s="73">
        <f t="shared" si="3"/>
        <v>1</v>
      </c>
      <c r="F30" s="22">
        <f>C30</f>
        <v>0.25</v>
      </c>
      <c r="G30" s="22">
        <f>E30*F30</f>
        <v>0.25</v>
      </c>
      <c r="H30" s="22">
        <f t="shared" si="2"/>
        <v>0</v>
      </c>
      <c r="I30" s="23">
        <f t="shared" si="4"/>
        <v>0</v>
      </c>
      <c r="J30" s="124">
        <f t="shared" ref="J30:J37" si="5">G30/$G$37</f>
        <v>2.6510917596287056E-2</v>
      </c>
    </row>
    <row r="31" spans="1:10" s="1" customFormat="1" x14ac:dyDescent="0.2">
      <c r="A31" s="110" t="s">
        <v>45</v>
      </c>
      <c r="B31" s="74"/>
      <c r="C31" s="35"/>
      <c r="D31" s="35">
        <f>SUM(D27:D30)</f>
        <v>0.37448800000000004</v>
      </c>
      <c r="E31" s="73"/>
      <c r="F31" s="35"/>
      <c r="G31" s="35">
        <f>SUM(G27:G30)</f>
        <v>0.37448800000000004</v>
      </c>
      <c r="H31" s="35">
        <f t="shared" si="2"/>
        <v>0</v>
      </c>
      <c r="I31" s="36">
        <f t="shared" si="4"/>
        <v>0</v>
      </c>
      <c r="J31" s="111">
        <f t="shared" si="5"/>
        <v>3.9712082035193393E-2</v>
      </c>
    </row>
    <row r="32" spans="1:10" ht="13.5" thickBot="1" x14ac:dyDescent="0.25">
      <c r="A32" s="112" t="s">
        <v>46</v>
      </c>
      <c r="B32" s="113">
        <f>B4</f>
        <v>20</v>
      </c>
      <c r="C32" s="114">
        <v>7.0000000000000001E-3</v>
      </c>
      <c r="D32" s="115">
        <f>B32*C32</f>
        <v>0.14000000000000001</v>
      </c>
      <c r="E32" s="116">
        <f t="shared" si="3"/>
        <v>20</v>
      </c>
      <c r="F32" s="114">
        <f>C32</f>
        <v>7.0000000000000001E-3</v>
      </c>
      <c r="G32" s="115">
        <f>E32*F32</f>
        <v>0.14000000000000001</v>
      </c>
      <c r="H32" s="115">
        <f t="shared" si="2"/>
        <v>0</v>
      </c>
      <c r="I32" s="117">
        <f t="shared" si="4"/>
        <v>0</v>
      </c>
      <c r="J32" s="118">
        <f t="shared" si="5"/>
        <v>1.4846113853920755E-2</v>
      </c>
    </row>
    <row r="33" spans="1:10" x14ac:dyDescent="0.2">
      <c r="A33" s="37" t="s">
        <v>111</v>
      </c>
      <c r="B33" s="38"/>
      <c r="C33" s="39"/>
      <c r="D33" s="39">
        <f>SUM(D14,D22,D25,D31,D32)</f>
        <v>8.6350259199999986</v>
      </c>
      <c r="E33" s="38"/>
      <c r="F33" s="39"/>
      <c r="G33" s="39">
        <f>SUM(G14,G22,G25,G31,G32)</f>
        <v>8.9810259199999987</v>
      </c>
      <c r="H33" s="39">
        <f t="shared" si="2"/>
        <v>0.34600000000000009</v>
      </c>
      <c r="I33" s="40">
        <f t="shared" si="4"/>
        <v>4.0069364377773649E-2</v>
      </c>
      <c r="J33" s="41">
        <f t="shared" si="5"/>
        <v>0.95238095238095255</v>
      </c>
    </row>
    <row r="34" spans="1:10" x14ac:dyDescent="0.2">
      <c r="A34" s="46" t="s">
        <v>102</v>
      </c>
      <c r="B34" s="43"/>
      <c r="C34" s="26">
        <v>0.13</v>
      </c>
      <c r="D34" s="26">
        <f>D33*C34</f>
        <v>1.1225533695999999</v>
      </c>
      <c r="E34" s="26"/>
      <c r="F34" s="26">
        <f>C34</f>
        <v>0.13</v>
      </c>
      <c r="G34" s="26">
        <f>G33*F34</f>
        <v>1.1675333695999999</v>
      </c>
      <c r="H34" s="26">
        <f t="shared" si="2"/>
        <v>4.498000000000002E-2</v>
      </c>
      <c r="I34" s="44">
        <f t="shared" si="4"/>
        <v>4.0069364377773656E-2</v>
      </c>
      <c r="J34" s="45">
        <f t="shared" si="5"/>
        <v>0.12380952380952383</v>
      </c>
    </row>
    <row r="35" spans="1:10" x14ac:dyDescent="0.2">
      <c r="A35" s="46" t="s">
        <v>103</v>
      </c>
      <c r="B35" s="24"/>
      <c r="C35" s="25"/>
      <c r="D35" s="25">
        <f>SUM(D33:D34)</f>
        <v>9.7575792895999989</v>
      </c>
      <c r="E35" s="25"/>
      <c r="F35" s="25"/>
      <c r="G35" s="25">
        <f>SUM(G33:G34)</f>
        <v>10.148559289599998</v>
      </c>
      <c r="H35" s="25">
        <f t="shared" si="2"/>
        <v>0.390979999999999</v>
      </c>
      <c r="I35" s="27">
        <f t="shared" si="4"/>
        <v>4.0069364377773538E-2</v>
      </c>
      <c r="J35" s="47">
        <f t="shared" si="5"/>
        <v>1.0761904761904764</v>
      </c>
    </row>
    <row r="36" spans="1:10" x14ac:dyDescent="0.2">
      <c r="A36" s="46" t="s">
        <v>104</v>
      </c>
      <c r="B36" s="43"/>
      <c r="C36" s="26">
        <v>-0.08</v>
      </c>
      <c r="D36" s="26">
        <f>D33*C36</f>
        <v>-0.6908020735999999</v>
      </c>
      <c r="E36" s="26"/>
      <c r="F36" s="26">
        <f>C36</f>
        <v>-0.08</v>
      </c>
      <c r="G36" s="26">
        <f>G33*F36</f>
        <v>-0.71848207359999994</v>
      </c>
      <c r="H36" s="26">
        <f t="shared" si="2"/>
        <v>-2.7680000000000038E-2</v>
      </c>
      <c r="I36" s="44">
        <f t="shared" si="4"/>
        <v>-4.0069364377773697E-2</v>
      </c>
      <c r="J36" s="45">
        <f t="shared" si="5"/>
        <v>-7.6190476190476211E-2</v>
      </c>
    </row>
    <row r="37" spans="1:10" ht="13.5" thickBot="1" x14ac:dyDescent="0.25">
      <c r="A37" s="48" t="s">
        <v>105</v>
      </c>
      <c r="B37" s="49"/>
      <c r="C37" s="50"/>
      <c r="D37" s="50">
        <f>SUM(D35:D36)</f>
        <v>9.0667772159999984</v>
      </c>
      <c r="E37" s="50"/>
      <c r="F37" s="50"/>
      <c r="G37" s="50">
        <f>SUM(G35:G36)</f>
        <v>9.4300772159999973</v>
      </c>
      <c r="H37" s="50">
        <f t="shared" si="2"/>
        <v>0.36329999999999885</v>
      </c>
      <c r="I37" s="51">
        <f t="shared" si="4"/>
        <v>4.0069364377773517E-2</v>
      </c>
      <c r="J37" s="52">
        <f t="shared" si="5"/>
        <v>1</v>
      </c>
    </row>
    <row r="38" spans="1:10" x14ac:dyDescent="0.2">
      <c r="A38" s="170"/>
      <c r="D38" s="72"/>
      <c r="F38" s="69"/>
    </row>
    <row r="39" spans="1:10" x14ac:dyDescent="0.2">
      <c r="A39" s="170"/>
      <c r="F39" s="69"/>
    </row>
    <row r="40" spans="1:10" x14ac:dyDescent="0.2">
      <c r="A40" s="171"/>
      <c r="B40" s="71"/>
      <c r="F40" s="69"/>
    </row>
    <row r="41" spans="1:10" x14ac:dyDescent="0.2">
      <c r="A41" s="170"/>
      <c r="B41" s="72"/>
      <c r="D41" s="72"/>
      <c r="F41" s="69"/>
    </row>
    <row r="42" spans="1:10" x14ac:dyDescent="0.2">
      <c r="A42" s="170"/>
      <c r="F42" s="69"/>
    </row>
    <row r="43" spans="1:10" x14ac:dyDescent="0.2">
      <c r="A43" s="170"/>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scale="79"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1" tint="0.499984740745262"/>
    <pageSetUpPr fitToPage="1"/>
  </sheetPr>
  <dimension ref="A1:J48"/>
  <sheetViews>
    <sheetView tabSelected="1" view="pageLayout" topLeftCell="A7"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119</v>
      </c>
      <c r="B1" s="189"/>
      <c r="C1" s="189"/>
      <c r="D1" s="189"/>
      <c r="E1" s="189"/>
      <c r="F1" s="189"/>
      <c r="G1" s="189"/>
      <c r="H1" s="189"/>
      <c r="I1" s="189"/>
      <c r="J1" s="190"/>
    </row>
    <row r="3" spans="1:10" x14ac:dyDescent="0.2">
      <c r="A3" s="13" t="s">
        <v>13</v>
      </c>
      <c r="B3" s="13" t="s">
        <v>9</v>
      </c>
    </row>
    <row r="4" spans="1:10" x14ac:dyDescent="0.2">
      <c r="A4" s="15" t="s">
        <v>62</v>
      </c>
      <c r="B4" s="167">
        <f>VLOOKUP(B3,'Data for Bill Impacts'!A18:D31,3,FALSE)</f>
        <v>71</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7">
        <f>B4*B6</f>
        <v>77.532000000000011</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71</v>
      </c>
      <c r="C12" s="103">
        <v>9.0999999999999998E-2</v>
      </c>
      <c r="D12" s="104">
        <f>B12*C12</f>
        <v>6.4609999999999994</v>
      </c>
      <c r="E12" s="102">
        <f>B12</f>
        <v>71</v>
      </c>
      <c r="F12" s="103">
        <f>C12</f>
        <v>9.0999999999999998E-2</v>
      </c>
      <c r="G12" s="104">
        <f>E12*F12</f>
        <v>6.4609999999999994</v>
      </c>
      <c r="H12" s="104">
        <f>G12-D12</f>
        <v>0</v>
      </c>
      <c r="I12" s="105">
        <f t="shared" ref="I12:I18" si="0">IF(ISERROR(H12/ABS(D12)),"N/A",(H12/ABS(D12)))</f>
        <v>0</v>
      </c>
      <c r="J12" s="123">
        <f t="shared" ref="J12:J28" si="1">G12/$G$37</f>
        <v>0.2780998923764143</v>
      </c>
    </row>
    <row r="13" spans="1:10" x14ac:dyDescent="0.2">
      <c r="A13" s="107" t="s">
        <v>32</v>
      </c>
      <c r="B13" s="73">
        <f>IF(B4&gt;B7,(B4)-B7,0)</f>
        <v>0</v>
      </c>
      <c r="C13" s="21">
        <v>0.106</v>
      </c>
      <c r="D13" s="22">
        <f>B13*C13</f>
        <v>0</v>
      </c>
      <c r="E13" s="73">
        <f>B13</f>
        <v>0</v>
      </c>
      <c r="F13" s="21">
        <f>C13</f>
        <v>0.106</v>
      </c>
      <c r="G13" s="22">
        <f>E13*F13</f>
        <v>0</v>
      </c>
      <c r="H13" s="22">
        <f t="shared" ref="H13:H37" si="2">G13-D13</f>
        <v>0</v>
      </c>
      <c r="I13" s="23" t="str">
        <f t="shared" si="0"/>
        <v>N/A</v>
      </c>
      <c r="J13" s="124">
        <f t="shared" si="1"/>
        <v>0</v>
      </c>
    </row>
    <row r="14" spans="1:10" s="1" customFormat="1" x14ac:dyDescent="0.2">
      <c r="A14" s="46" t="s">
        <v>33</v>
      </c>
      <c r="B14" s="24"/>
      <c r="C14" s="25"/>
      <c r="D14" s="25">
        <f>SUM(D12:D13)</f>
        <v>6.4609999999999994</v>
      </c>
      <c r="E14" s="76"/>
      <c r="F14" s="25"/>
      <c r="G14" s="25">
        <f>SUM(G12:G13)</f>
        <v>6.4609999999999994</v>
      </c>
      <c r="H14" s="25">
        <f t="shared" si="2"/>
        <v>0</v>
      </c>
      <c r="I14" s="27">
        <f t="shared" si="0"/>
        <v>0</v>
      </c>
      <c r="J14" s="47">
        <f t="shared" si="1"/>
        <v>0.2780998923764143</v>
      </c>
    </row>
    <row r="15" spans="1:10" x14ac:dyDescent="0.2">
      <c r="A15" s="107" t="s">
        <v>38</v>
      </c>
      <c r="B15" s="73">
        <v>1</v>
      </c>
      <c r="C15" s="78">
        <f>VLOOKUP($B$3,'Data for Bill Impacts'!$A$3:$Y$15,7,0)</f>
        <v>3.37</v>
      </c>
      <c r="D15" s="22">
        <f>B15*C15</f>
        <v>3.37</v>
      </c>
      <c r="E15" s="73">
        <f t="shared" ref="E15:E32" si="3">B15</f>
        <v>1</v>
      </c>
      <c r="F15" s="78">
        <f>VLOOKUP($B$3,'Data for Bill Impacts'!$A$3:$Y$15,17,0)</f>
        <v>3.57</v>
      </c>
      <c r="G15" s="22">
        <f>E15*F15</f>
        <v>3.57</v>
      </c>
      <c r="H15" s="22">
        <f t="shared" si="2"/>
        <v>0.19999999999999973</v>
      </c>
      <c r="I15" s="23">
        <f t="shared" si="0"/>
        <v>5.9347181008901996E-2</v>
      </c>
      <c r="J15" s="124">
        <f t="shared" si="1"/>
        <v>0.15366299578761788</v>
      </c>
    </row>
    <row r="16" spans="1:10" x14ac:dyDescent="0.2">
      <c r="A16" s="107" t="s">
        <v>85</v>
      </c>
      <c r="B16" s="73">
        <v>1</v>
      </c>
      <c r="C16" s="121">
        <f>VLOOKUP($B$3,'Data for Bill Impacts'!$A$3:$Y$15,13,0)</f>
        <v>6.0000000000000001E-3</v>
      </c>
      <c r="D16" s="22">
        <f>B16*C16</f>
        <v>6.0000000000000001E-3</v>
      </c>
      <c r="E16" s="73">
        <f t="shared" si="3"/>
        <v>1</v>
      </c>
      <c r="F16" s="121">
        <f>VLOOKUP($B$3,'Data for Bill Impacts'!$A$3:$Y$15,22,0)</f>
        <v>6.0000000000000001E-3</v>
      </c>
      <c r="G16" s="22">
        <f>E16*F16</f>
        <v>6.0000000000000001E-3</v>
      </c>
      <c r="H16" s="22">
        <f t="shared" si="2"/>
        <v>0</v>
      </c>
      <c r="I16" s="23">
        <f t="shared" si="0"/>
        <v>0</v>
      </c>
      <c r="J16" s="124">
        <f t="shared" si="1"/>
        <v>2.582571357775091E-4</v>
      </c>
    </row>
    <row r="17" spans="1:10" x14ac:dyDescent="0.2">
      <c r="A17" s="107" t="s">
        <v>39</v>
      </c>
      <c r="B17" s="73">
        <f>IF($B$9="kWh",$B$4,$B$5)</f>
        <v>71</v>
      </c>
      <c r="C17" s="78">
        <f>VLOOKUP($B$3,'Data for Bill Impacts'!$A$3:$Y$15,10,0)</f>
        <v>0.12809999999999999</v>
      </c>
      <c r="D17" s="22">
        <f>B17*C17</f>
        <v>9.0950999999999986</v>
      </c>
      <c r="E17" s="73">
        <f t="shared" si="3"/>
        <v>71</v>
      </c>
      <c r="F17" s="78">
        <f>VLOOKUP($B$3,'Data for Bill Impacts'!$A$3:$Y$15,19,0)</f>
        <v>0.13539999999999999</v>
      </c>
      <c r="G17" s="22">
        <f>E17*F17</f>
        <v>9.6133999999999986</v>
      </c>
      <c r="H17" s="22">
        <f t="shared" si="2"/>
        <v>0.51829999999999998</v>
      </c>
      <c r="I17" s="23">
        <f t="shared" si="0"/>
        <v>5.6986729117876667E-2</v>
      </c>
      <c r="J17" s="124">
        <f t="shared" si="1"/>
        <v>0.41378819151391755</v>
      </c>
    </row>
    <row r="18" spans="1:10" s="1" customFormat="1" x14ac:dyDescent="0.2">
      <c r="A18" s="107" t="s">
        <v>121</v>
      </c>
      <c r="B18" s="73">
        <f>IF($B$9="kWh",$B$4,$B$5)</f>
        <v>71</v>
      </c>
      <c r="C18" s="125">
        <f>VLOOKUP($B$3,'Data for Bill Impacts'!$A$3:$Y$15,14,0)</f>
        <v>-6.0000000000000002E-5</v>
      </c>
      <c r="D18" s="22">
        <f>B18*C18</f>
        <v>-4.2599999999999999E-3</v>
      </c>
      <c r="E18" s="73">
        <f>B18</f>
        <v>71</v>
      </c>
      <c r="F18" s="125">
        <f>VLOOKUP($B$3,'Data for Bill Impacts'!$A$3:$Y$15,23,0)</f>
        <v>-6.0000000000000002E-5</v>
      </c>
      <c r="G18" s="22">
        <f>E18*F18</f>
        <v>-4.2599999999999999E-3</v>
      </c>
      <c r="H18" s="22">
        <f>G18-D18</f>
        <v>0</v>
      </c>
      <c r="I18" s="23">
        <f t="shared" si="0"/>
        <v>0</v>
      </c>
      <c r="J18" s="124">
        <f t="shared" si="1"/>
        <v>-1.8336256640203143E-4</v>
      </c>
    </row>
    <row r="19" spans="1:10" hidden="1" x14ac:dyDescent="0.2">
      <c r="A19" s="107" t="s">
        <v>108</v>
      </c>
      <c r="B19" s="73">
        <f>B8</f>
        <v>77.532000000000011</v>
      </c>
      <c r="C19" s="125">
        <f>VLOOKUP($B$3,'Data for Bill Impacts'!$A$3:$Y$15,20,0)</f>
        <v>0</v>
      </c>
      <c r="D19" s="22">
        <f>B19*C19</f>
        <v>0</v>
      </c>
      <c r="E19" s="73">
        <f t="shared" si="3"/>
        <v>77.532000000000011</v>
      </c>
      <c r="F19" s="125">
        <f>VLOOKUP($B$3,'Data for Bill Impacts'!$A$3:$Y$15,21,0)</f>
        <v>0</v>
      </c>
      <c r="G19" s="22">
        <f>E19*F19</f>
        <v>0</v>
      </c>
      <c r="H19" s="22">
        <f t="shared" si="2"/>
        <v>0</v>
      </c>
      <c r="I19" s="23" t="str">
        <f>IF(ISERROR(H19/ABS(D19)),"N/A",(H19/ABS(D19)))</f>
        <v>N/A</v>
      </c>
      <c r="J19" s="124">
        <f t="shared" si="1"/>
        <v>0</v>
      </c>
    </row>
    <row r="20" spans="1:10" x14ac:dyDescent="0.2">
      <c r="A20" s="110" t="s">
        <v>72</v>
      </c>
      <c r="B20" s="74"/>
      <c r="C20" s="35"/>
      <c r="D20" s="35">
        <f>SUM(D15:D19)</f>
        <v>12.466839999999998</v>
      </c>
      <c r="E20" s="73"/>
      <c r="F20" s="35"/>
      <c r="G20" s="35">
        <f>SUM(G15:G19)</f>
        <v>13.185139999999999</v>
      </c>
      <c r="H20" s="35">
        <f t="shared" si="2"/>
        <v>0.71830000000000105</v>
      </c>
      <c r="I20" s="36">
        <f>IF(ISERROR(H20/D20),0,(H20/D20))</f>
        <v>5.761684596898662E-2</v>
      </c>
      <c r="J20" s="111">
        <f t="shared" si="1"/>
        <v>0.56752608187091091</v>
      </c>
    </row>
    <row r="21" spans="1:10" s="1" customFormat="1" x14ac:dyDescent="0.2">
      <c r="A21" s="119" t="s">
        <v>81</v>
      </c>
      <c r="B21" s="120">
        <f>B8-B4</f>
        <v>6.5320000000000107</v>
      </c>
      <c r="C21" s="172">
        <f>IF(B4&gt;B7,C13,C12)</f>
        <v>9.0999999999999998E-2</v>
      </c>
      <c r="D21" s="22">
        <f>B21*C21</f>
        <v>0.59441200000000094</v>
      </c>
      <c r="E21" s="73">
        <f>B21</f>
        <v>6.5320000000000107</v>
      </c>
      <c r="F21" s="172">
        <f>C21</f>
        <v>9.0999999999999998E-2</v>
      </c>
      <c r="G21" s="22">
        <f>E21*F21</f>
        <v>0.59441200000000094</v>
      </c>
      <c r="H21" s="22">
        <f t="shared" si="2"/>
        <v>0</v>
      </c>
      <c r="I21" s="23">
        <f>IF(ISERROR(H21/D21),0,(H21/D21))</f>
        <v>0</v>
      </c>
      <c r="J21" s="124">
        <f t="shared" si="1"/>
        <v>2.558519009863016E-2</v>
      </c>
    </row>
    <row r="22" spans="1:10" x14ac:dyDescent="0.2">
      <c r="A22" s="110" t="s">
        <v>79</v>
      </c>
      <c r="B22" s="74"/>
      <c r="C22" s="35"/>
      <c r="D22" s="35">
        <f>SUM(D20,D21:D21)</f>
        <v>13.061251999999998</v>
      </c>
      <c r="E22" s="73"/>
      <c r="F22" s="35"/>
      <c r="G22" s="35">
        <f>SUM(G20,G21:G21)</f>
        <v>13.779551999999999</v>
      </c>
      <c r="H22" s="35">
        <f t="shared" si="2"/>
        <v>0.71830000000000105</v>
      </c>
      <c r="I22" s="36">
        <f t="shared" ref="I22:I37" si="4">IF(ISERROR(H22/ABS(D22)),"N/A",(H22/ABS(D22)))</f>
        <v>5.4994727917354415E-2</v>
      </c>
      <c r="J22" s="111">
        <f t="shared" si="1"/>
        <v>0.59311127196954105</v>
      </c>
    </row>
    <row r="23" spans="1:10" x14ac:dyDescent="0.2">
      <c r="A23" s="107" t="s">
        <v>40</v>
      </c>
      <c r="B23" s="73">
        <f>B8</f>
        <v>77.532000000000011</v>
      </c>
      <c r="C23" s="78">
        <f>VLOOKUP($B$3,'Data for Bill Impacts'!$A$3:$Y$15,15,0)</f>
        <v>4.6979999999999999E-3</v>
      </c>
      <c r="D23" s="22">
        <f>B23*C23</f>
        <v>0.36424533600000003</v>
      </c>
      <c r="E23" s="73">
        <f t="shared" si="3"/>
        <v>77.532000000000011</v>
      </c>
      <c r="F23" s="125">
        <f>VLOOKUP($B$3,'Data for Bill Impacts'!$A$3:$Y$15,24,0)</f>
        <v>4.6979999999999999E-3</v>
      </c>
      <c r="G23" s="22">
        <f>E23*F23</f>
        <v>0.36424533600000003</v>
      </c>
      <c r="H23" s="22">
        <f t="shared" si="2"/>
        <v>0</v>
      </c>
      <c r="I23" s="23">
        <f t="shared" si="4"/>
        <v>0</v>
      </c>
      <c r="J23" s="124">
        <f t="shared" si="1"/>
        <v>1.5678159532612736E-2</v>
      </c>
    </row>
    <row r="24" spans="1:10" s="1" customFormat="1" x14ac:dyDescent="0.2">
      <c r="A24" s="107" t="s">
        <v>41</v>
      </c>
      <c r="B24" s="73">
        <f>B8</f>
        <v>77.532000000000011</v>
      </c>
      <c r="C24" s="78">
        <f>VLOOKUP($B$3,'Data for Bill Impacts'!$A$3:$Y$15,16,0)</f>
        <v>4.2899999999999995E-3</v>
      </c>
      <c r="D24" s="22">
        <f>B24*C24</f>
        <v>0.33261228000000004</v>
      </c>
      <c r="E24" s="73">
        <f t="shared" si="3"/>
        <v>77.532000000000011</v>
      </c>
      <c r="F24" s="125">
        <f>VLOOKUP($B$3,'Data for Bill Impacts'!$A$3:$Y$15,25,0)</f>
        <v>4.2899999999999995E-3</v>
      </c>
      <c r="G24" s="22">
        <f>E24*F24</f>
        <v>0.33261228000000004</v>
      </c>
      <c r="H24" s="22">
        <f t="shared" si="2"/>
        <v>0</v>
      </c>
      <c r="I24" s="23">
        <f t="shared" si="4"/>
        <v>0</v>
      </c>
      <c r="J24" s="124">
        <f t="shared" si="1"/>
        <v>1.4316582459537812E-2</v>
      </c>
    </row>
    <row r="25" spans="1:10" s="1" customFormat="1" x14ac:dyDescent="0.2">
      <c r="A25" s="110" t="s">
        <v>76</v>
      </c>
      <c r="B25" s="74"/>
      <c r="C25" s="35"/>
      <c r="D25" s="35">
        <f>SUM(D23:D24)</f>
        <v>0.69685761600000007</v>
      </c>
      <c r="E25" s="73"/>
      <c r="F25" s="35"/>
      <c r="G25" s="35">
        <f>SUM(G23:G24)</f>
        <v>0.69685761600000007</v>
      </c>
      <c r="H25" s="35">
        <f t="shared" si="2"/>
        <v>0</v>
      </c>
      <c r="I25" s="36">
        <f t="shared" si="4"/>
        <v>0</v>
      </c>
      <c r="J25" s="111">
        <f t="shared" si="1"/>
        <v>2.9994741992150551E-2</v>
      </c>
    </row>
    <row r="26" spans="1:10" s="1" customFormat="1" x14ac:dyDescent="0.2">
      <c r="A26" s="110" t="s">
        <v>80</v>
      </c>
      <c r="B26" s="74"/>
      <c r="C26" s="35"/>
      <c r="D26" s="35">
        <f>D22+D25</f>
        <v>13.758109615999999</v>
      </c>
      <c r="E26" s="73"/>
      <c r="F26" s="35"/>
      <c r="G26" s="35">
        <f>G22+G25</f>
        <v>14.476409616</v>
      </c>
      <c r="H26" s="35">
        <f t="shared" si="2"/>
        <v>0.71830000000000105</v>
      </c>
      <c r="I26" s="36">
        <f t="shared" si="4"/>
        <v>5.2209207518208303E-2</v>
      </c>
      <c r="J26" s="111">
        <f t="shared" si="1"/>
        <v>0.62310601396169163</v>
      </c>
    </row>
    <row r="27" spans="1:10" x14ac:dyDescent="0.2">
      <c r="A27" s="107" t="s">
        <v>42</v>
      </c>
      <c r="B27" s="73">
        <f>B8</f>
        <v>77.532000000000011</v>
      </c>
      <c r="C27" s="34">
        <v>3.5999999999999999E-3</v>
      </c>
      <c r="D27" s="22">
        <f>B27*C27</f>
        <v>0.27911520000000001</v>
      </c>
      <c r="E27" s="73">
        <f t="shared" si="3"/>
        <v>77.532000000000011</v>
      </c>
      <c r="F27" s="34">
        <v>3.5999999999999999E-3</v>
      </c>
      <c r="G27" s="22">
        <f>E27*F27</f>
        <v>0.27911520000000001</v>
      </c>
      <c r="H27" s="22">
        <f t="shared" si="2"/>
        <v>0</v>
      </c>
      <c r="I27" s="23">
        <f t="shared" si="4"/>
        <v>0</v>
      </c>
      <c r="J27" s="124">
        <f t="shared" si="1"/>
        <v>1.2013915350661101E-2</v>
      </c>
    </row>
    <row r="28" spans="1:10" s="1" customFormat="1" x14ac:dyDescent="0.2">
      <c r="A28" s="107" t="s">
        <v>43</v>
      </c>
      <c r="B28" s="73">
        <f>B8</f>
        <v>77.532000000000011</v>
      </c>
      <c r="C28" s="34">
        <v>2.0999999999999999E-3</v>
      </c>
      <c r="D28" s="22">
        <f>B28*C28</f>
        <v>0.16281720000000002</v>
      </c>
      <c r="E28" s="73">
        <f t="shared" si="3"/>
        <v>77.532000000000011</v>
      </c>
      <c r="F28" s="34">
        <v>2.0999999999999999E-3</v>
      </c>
      <c r="G28" s="22">
        <f>E28*F28</f>
        <v>0.16281720000000002</v>
      </c>
      <c r="H28" s="22">
        <f>G28-D28</f>
        <v>0</v>
      </c>
      <c r="I28" s="23">
        <f t="shared" si="4"/>
        <v>0</v>
      </c>
      <c r="J28" s="124">
        <f t="shared" si="1"/>
        <v>7.0081172878856427E-3</v>
      </c>
    </row>
    <row r="29" spans="1:10" s="1" customFormat="1" x14ac:dyDescent="0.2">
      <c r="A29" s="107" t="s">
        <v>96</v>
      </c>
      <c r="B29" s="73">
        <f>B8</f>
        <v>77.532000000000011</v>
      </c>
      <c r="C29" s="34">
        <v>0</v>
      </c>
      <c r="D29" s="22">
        <f>B29*C29</f>
        <v>0</v>
      </c>
      <c r="E29" s="73">
        <f t="shared" si="3"/>
        <v>77.532000000000011</v>
      </c>
      <c r="F29" s="34">
        <v>0</v>
      </c>
      <c r="G29" s="22">
        <f>E29*F29</f>
        <v>0</v>
      </c>
      <c r="H29" s="22">
        <f>G29-D29</f>
        <v>0</v>
      </c>
      <c r="I29" s="23" t="str">
        <f t="shared" si="4"/>
        <v>N/A</v>
      </c>
      <c r="J29" s="124">
        <f>G29/$G$37</f>
        <v>0</v>
      </c>
    </row>
    <row r="30" spans="1:10" x14ac:dyDescent="0.2">
      <c r="A30" s="107" t="s">
        <v>44</v>
      </c>
      <c r="B30" s="73">
        <v>1</v>
      </c>
      <c r="C30" s="22">
        <v>0.25</v>
      </c>
      <c r="D30" s="22">
        <f>B30*C30</f>
        <v>0.25</v>
      </c>
      <c r="E30" s="73">
        <f t="shared" si="3"/>
        <v>1</v>
      </c>
      <c r="F30" s="22">
        <f>C30</f>
        <v>0.25</v>
      </c>
      <c r="G30" s="22">
        <f>E30*F30</f>
        <v>0.25</v>
      </c>
      <c r="H30" s="22">
        <f t="shared" si="2"/>
        <v>0</v>
      </c>
      <c r="I30" s="23">
        <f t="shared" si="4"/>
        <v>0</v>
      </c>
      <c r="J30" s="124">
        <f t="shared" ref="J30:J37" si="5">G30/$G$37</f>
        <v>1.0760713990729545E-2</v>
      </c>
    </row>
    <row r="31" spans="1:10" s="1" customFormat="1" x14ac:dyDescent="0.2">
      <c r="A31" s="110" t="s">
        <v>45</v>
      </c>
      <c r="B31" s="74"/>
      <c r="C31" s="35"/>
      <c r="D31" s="35">
        <f>SUM(D27:D30)</f>
        <v>0.6919324</v>
      </c>
      <c r="E31" s="73"/>
      <c r="F31" s="35"/>
      <c r="G31" s="35">
        <f>SUM(G27:G30)</f>
        <v>0.6919324</v>
      </c>
      <c r="H31" s="35">
        <f t="shared" si="2"/>
        <v>0</v>
      </c>
      <c r="I31" s="36">
        <f t="shared" si="4"/>
        <v>0</v>
      </c>
      <c r="J31" s="111">
        <f t="shared" si="5"/>
        <v>2.9782746629276286E-2</v>
      </c>
    </row>
    <row r="32" spans="1:10" ht="13.5" thickBot="1" x14ac:dyDescent="0.25">
      <c r="A32" s="112" t="s">
        <v>46</v>
      </c>
      <c r="B32" s="113">
        <f>B4</f>
        <v>71</v>
      </c>
      <c r="C32" s="114">
        <v>7.0000000000000001E-3</v>
      </c>
      <c r="D32" s="115">
        <f>B32*C32</f>
        <v>0.497</v>
      </c>
      <c r="E32" s="116">
        <f t="shared" si="3"/>
        <v>71</v>
      </c>
      <c r="F32" s="114">
        <f>C32</f>
        <v>7.0000000000000001E-3</v>
      </c>
      <c r="G32" s="115">
        <f>E32*F32</f>
        <v>0.497</v>
      </c>
      <c r="H32" s="115">
        <f t="shared" si="2"/>
        <v>0</v>
      </c>
      <c r="I32" s="117">
        <f t="shared" si="4"/>
        <v>0</v>
      </c>
      <c r="J32" s="118">
        <f t="shared" si="5"/>
        <v>2.1392299413570334E-2</v>
      </c>
    </row>
    <row r="33" spans="1:10" x14ac:dyDescent="0.2">
      <c r="A33" s="37" t="s">
        <v>111</v>
      </c>
      <c r="B33" s="38"/>
      <c r="C33" s="39"/>
      <c r="D33" s="39">
        <f>SUM(D14,D22,D25,D31,D32)</f>
        <v>21.408042015999996</v>
      </c>
      <c r="E33" s="38"/>
      <c r="F33" s="39"/>
      <c r="G33" s="39">
        <f>SUM(G14,G22,G25,G31,G32)</f>
        <v>22.126342015999995</v>
      </c>
      <c r="H33" s="39">
        <f t="shared" si="2"/>
        <v>0.71829999999999927</v>
      </c>
      <c r="I33" s="40">
        <f t="shared" si="4"/>
        <v>3.3552811577217311E-2</v>
      </c>
      <c r="J33" s="41">
        <f t="shared" si="5"/>
        <v>0.95238095238095244</v>
      </c>
    </row>
    <row r="34" spans="1:10" x14ac:dyDescent="0.2">
      <c r="A34" s="46" t="s">
        <v>102</v>
      </c>
      <c r="B34" s="43"/>
      <c r="C34" s="26">
        <v>0.13</v>
      </c>
      <c r="D34" s="26">
        <f>D33*C34</f>
        <v>2.7830454620799996</v>
      </c>
      <c r="E34" s="26"/>
      <c r="F34" s="26">
        <f>C34</f>
        <v>0.13</v>
      </c>
      <c r="G34" s="26">
        <f>G33*F34</f>
        <v>2.8764244620799997</v>
      </c>
      <c r="H34" s="26">
        <f t="shared" si="2"/>
        <v>9.3379000000000101E-2</v>
      </c>
      <c r="I34" s="44">
        <f t="shared" si="4"/>
        <v>3.355281157721738E-2</v>
      </c>
      <c r="J34" s="45">
        <f t="shared" si="5"/>
        <v>0.12380952380952383</v>
      </c>
    </row>
    <row r="35" spans="1:10" x14ac:dyDescent="0.2">
      <c r="A35" s="46" t="s">
        <v>103</v>
      </c>
      <c r="B35" s="24"/>
      <c r="C35" s="25"/>
      <c r="D35" s="25">
        <f>SUM(D33:D34)</f>
        <v>24.191087478079996</v>
      </c>
      <c r="E35" s="25"/>
      <c r="F35" s="25"/>
      <c r="G35" s="25">
        <f>SUM(G33:G34)</f>
        <v>25.002766478079995</v>
      </c>
      <c r="H35" s="25">
        <f t="shared" si="2"/>
        <v>0.81167899999999804</v>
      </c>
      <c r="I35" s="27">
        <f t="shared" si="4"/>
        <v>3.3552811577217262E-2</v>
      </c>
      <c r="J35" s="47">
        <f t="shared" si="5"/>
        <v>1.0761904761904761</v>
      </c>
    </row>
    <row r="36" spans="1:10" x14ac:dyDescent="0.2">
      <c r="A36" s="46" t="s">
        <v>104</v>
      </c>
      <c r="B36" s="43"/>
      <c r="C36" s="26">
        <v>-0.08</v>
      </c>
      <c r="D36" s="26">
        <f>D33*C36</f>
        <v>-1.7126433612799996</v>
      </c>
      <c r="E36" s="26"/>
      <c r="F36" s="26">
        <f>C36</f>
        <v>-0.08</v>
      </c>
      <c r="G36" s="26">
        <f>G33*F36</f>
        <v>-1.7701073612799996</v>
      </c>
      <c r="H36" s="26">
        <f t="shared" si="2"/>
        <v>-5.746399999999996E-2</v>
      </c>
      <c r="I36" s="44">
        <f t="shared" si="4"/>
        <v>-3.3552811577217324E-2</v>
      </c>
      <c r="J36" s="45">
        <f t="shared" si="5"/>
        <v>-7.6190476190476197E-2</v>
      </c>
    </row>
    <row r="37" spans="1:10" ht="13.5" thickBot="1" x14ac:dyDescent="0.25">
      <c r="A37" s="48" t="s">
        <v>105</v>
      </c>
      <c r="B37" s="49"/>
      <c r="C37" s="50"/>
      <c r="D37" s="50">
        <f>SUM(D35:D36)</f>
        <v>22.478444116799999</v>
      </c>
      <c r="E37" s="50"/>
      <c r="F37" s="50"/>
      <c r="G37" s="50">
        <f>SUM(G35:G36)</f>
        <v>23.232659116799994</v>
      </c>
      <c r="H37" s="50">
        <f t="shared" si="2"/>
        <v>0.75421499999999497</v>
      </c>
      <c r="I37" s="51">
        <f t="shared" si="4"/>
        <v>3.3552811577217116E-2</v>
      </c>
      <c r="J37" s="52">
        <f t="shared" si="5"/>
        <v>1</v>
      </c>
    </row>
    <row r="38" spans="1:10" x14ac:dyDescent="0.2">
      <c r="A38" s="170"/>
      <c r="D38" s="72"/>
      <c r="F38" s="69"/>
    </row>
    <row r="39" spans="1:10" x14ac:dyDescent="0.2">
      <c r="A39" s="170"/>
      <c r="F39" s="69"/>
    </row>
    <row r="40" spans="1:10" x14ac:dyDescent="0.2">
      <c r="A40" s="171"/>
      <c r="B40" s="71"/>
      <c r="F40" s="69"/>
    </row>
    <row r="41" spans="1:10" x14ac:dyDescent="0.2">
      <c r="A41" s="170"/>
      <c r="B41" s="72"/>
      <c r="D41" s="72"/>
      <c r="F41" s="69"/>
    </row>
    <row r="42" spans="1:10" x14ac:dyDescent="0.2">
      <c r="A42" s="170"/>
      <c r="F42" s="69"/>
    </row>
    <row r="43" spans="1:10" x14ac:dyDescent="0.2">
      <c r="A43" s="170"/>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scale="79"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theme="1" tint="0.499984740745262"/>
    <pageSetUpPr fitToPage="1"/>
  </sheetPr>
  <dimension ref="A1:J48"/>
  <sheetViews>
    <sheetView tabSelected="1" view="pageLayout"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120</v>
      </c>
      <c r="B1" s="189"/>
      <c r="C1" s="189"/>
      <c r="D1" s="189"/>
      <c r="E1" s="189"/>
      <c r="F1" s="189"/>
      <c r="G1" s="189"/>
      <c r="H1" s="189"/>
      <c r="I1" s="189"/>
      <c r="J1" s="190"/>
    </row>
    <row r="3" spans="1:10" x14ac:dyDescent="0.2">
      <c r="A3" s="13" t="s">
        <v>13</v>
      </c>
      <c r="B3" s="13" t="s">
        <v>9</v>
      </c>
    </row>
    <row r="4" spans="1:10" x14ac:dyDescent="0.2">
      <c r="A4" s="15" t="s">
        <v>62</v>
      </c>
      <c r="B4" s="15">
        <v>200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7">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200</v>
      </c>
      <c r="C12" s="103">
        <v>9.0999999999999998E-2</v>
      </c>
      <c r="D12" s="104">
        <f>B12*C12</f>
        <v>18.2</v>
      </c>
      <c r="E12" s="102">
        <f>B12</f>
        <v>200</v>
      </c>
      <c r="F12" s="103">
        <f>C12</f>
        <v>9.0999999999999998E-2</v>
      </c>
      <c r="G12" s="104">
        <f>E12*F12</f>
        <v>18.2</v>
      </c>
      <c r="H12" s="104">
        <f>G12-D12</f>
        <v>0</v>
      </c>
      <c r="I12" s="105">
        <f t="shared" ref="I12:I18" si="0">IF(ISERROR(H12/ABS(D12)),"N/A",(H12/ABS(D12)))</f>
        <v>0</v>
      </c>
      <c r="J12" s="123">
        <f t="shared" ref="J12:J28" si="1">G12/$G$37</f>
        <v>0.31301018854905482</v>
      </c>
    </row>
    <row r="13" spans="1:10" x14ac:dyDescent="0.2">
      <c r="A13" s="107" t="s">
        <v>32</v>
      </c>
      <c r="B13" s="73">
        <f>IF(B4&gt;B7,(B4)-B7,0)</f>
        <v>0</v>
      </c>
      <c r="C13" s="21">
        <v>0.106</v>
      </c>
      <c r="D13" s="22">
        <f>B13*C13</f>
        <v>0</v>
      </c>
      <c r="E13" s="73">
        <f>B13</f>
        <v>0</v>
      </c>
      <c r="F13" s="21">
        <f>C13</f>
        <v>0.106</v>
      </c>
      <c r="G13" s="22">
        <f>E13*F13</f>
        <v>0</v>
      </c>
      <c r="H13" s="22">
        <f t="shared" ref="H13:H37" si="2">G13-D13</f>
        <v>0</v>
      </c>
      <c r="I13" s="23" t="str">
        <f t="shared" si="0"/>
        <v>N/A</v>
      </c>
      <c r="J13" s="124">
        <f t="shared" si="1"/>
        <v>0</v>
      </c>
    </row>
    <row r="14" spans="1:10" s="1" customFormat="1" x14ac:dyDescent="0.2">
      <c r="A14" s="46" t="s">
        <v>33</v>
      </c>
      <c r="B14" s="24"/>
      <c r="C14" s="25"/>
      <c r="D14" s="25">
        <f>SUM(D12:D13)</f>
        <v>18.2</v>
      </c>
      <c r="E14" s="76"/>
      <c r="F14" s="25"/>
      <c r="G14" s="25">
        <f>SUM(G12:G13)</f>
        <v>18.2</v>
      </c>
      <c r="H14" s="25">
        <f t="shared" si="2"/>
        <v>0</v>
      </c>
      <c r="I14" s="27">
        <f t="shared" si="0"/>
        <v>0</v>
      </c>
      <c r="J14" s="47">
        <f t="shared" si="1"/>
        <v>0.31301018854905482</v>
      </c>
    </row>
    <row r="15" spans="1:10" x14ac:dyDescent="0.2">
      <c r="A15" s="107" t="s">
        <v>38</v>
      </c>
      <c r="B15" s="73">
        <v>1</v>
      </c>
      <c r="C15" s="78">
        <f>VLOOKUP($B$3,'Data for Bill Impacts'!$A$3:$Y$15,7,0)</f>
        <v>3.37</v>
      </c>
      <c r="D15" s="22">
        <f>B15*C15</f>
        <v>3.37</v>
      </c>
      <c r="E15" s="73">
        <f t="shared" ref="E15:E32" si="3">B15</f>
        <v>1</v>
      </c>
      <c r="F15" s="78">
        <f>VLOOKUP($B$3,'Data for Bill Impacts'!$A$3:$Y$15,17,0)</f>
        <v>3.57</v>
      </c>
      <c r="G15" s="22">
        <f>E15*F15</f>
        <v>3.57</v>
      </c>
      <c r="H15" s="22">
        <f t="shared" si="2"/>
        <v>0.19999999999999973</v>
      </c>
      <c r="I15" s="23">
        <f t="shared" si="0"/>
        <v>5.9347181008901996E-2</v>
      </c>
      <c r="J15" s="124">
        <f t="shared" si="1"/>
        <v>6.139815236923768E-2</v>
      </c>
    </row>
    <row r="16" spans="1:10" x14ac:dyDescent="0.2">
      <c r="A16" s="107" t="s">
        <v>85</v>
      </c>
      <c r="B16" s="73">
        <v>1</v>
      </c>
      <c r="C16" s="121">
        <f>VLOOKUP($B$3,'Data for Bill Impacts'!$A$3:$Y$15,13,0)</f>
        <v>6.0000000000000001E-3</v>
      </c>
      <c r="D16" s="22">
        <f>B16*C16</f>
        <v>6.0000000000000001E-3</v>
      </c>
      <c r="E16" s="73">
        <f t="shared" si="3"/>
        <v>1</v>
      </c>
      <c r="F16" s="121">
        <f>VLOOKUP($B$3,'Data for Bill Impacts'!$A$3:$Y$15,22,0)</f>
        <v>6.0000000000000001E-3</v>
      </c>
      <c r="G16" s="22">
        <f>E16*F16</f>
        <v>6.0000000000000001E-3</v>
      </c>
      <c r="H16" s="22">
        <f t="shared" si="2"/>
        <v>0</v>
      </c>
      <c r="I16" s="23">
        <f t="shared" si="0"/>
        <v>0</v>
      </c>
      <c r="J16" s="124">
        <f t="shared" si="1"/>
        <v>1.0319017204913897E-4</v>
      </c>
    </row>
    <row r="17" spans="1:10" x14ac:dyDescent="0.2">
      <c r="A17" s="107" t="s">
        <v>39</v>
      </c>
      <c r="B17" s="73">
        <f>IF($B$9="kWh",$B$4,$B$5)</f>
        <v>200</v>
      </c>
      <c r="C17" s="78">
        <f>VLOOKUP($B$3,'Data for Bill Impacts'!$A$3:$Y$15,10,0)</f>
        <v>0.12809999999999999</v>
      </c>
      <c r="D17" s="22">
        <f>B17*C17</f>
        <v>25.619999999999997</v>
      </c>
      <c r="E17" s="73">
        <f t="shared" si="3"/>
        <v>200</v>
      </c>
      <c r="F17" s="78">
        <f>VLOOKUP($B$3,'Data for Bill Impacts'!$A$3:$Y$15,19,0)</f>
        <v>0.13539999999999999</v>
      </c>
      <c r="G17" s="22">
        <f>E17*F17</f>
        <v>27.08</v>
      </c>
      <c r="H17" s="22">
        <f t="shared" si="2"/>
        <v>1.4600000000000009</v>
      </c>
      <c r="I17" s="23">
        <f t="shared" si="0"/>
        <v>5.6986729117876694E-2</v>
      </c>
      <c r="J17" s="124">
        <f t="shared" si="1"/>
        <v>0.46573164318178051</v>
      </c>
    </row>
    <row r="18" spans="1:10" s="1" customFormat="1" x14ac:dyDescent="0.2">
      <c r="A18" s="107" t="s">
        <v>121</v>
      </c>
      <c r="B18" s="73">
        <f>IF($B$9="kWh",$B$4,$B$5)</f>
        <v>200</v>
      </c>
      <c r="C18" s="125">
        <f>VLOOKUP($B$3,'Data for Bill Impacts'!$A$3:$Y$15,14,0)</f>
        <v>-6.0000000000000002E-5</v>
      </c>
      <c r="D18" s="22">
        <f>B18*C18</f>
        <v>-1.2E-2</v>
      </c>
      <c r="E18" s="73">
        <f>B18</f>
        <v>200</v>
      </c>
      <c r="F18" s="125">
        <f>VLOOKUP($B$3,'Data for Bill Impacts'!$A$3:$Y$15,23,0)</f>
        <v>-6.0000000000000002E-5</v>
      </c>
      <c r="G18" s="22">
        <f>E18*F18</f>
        <v>-1.2E-2</v>
      </c>
      <c r="H18" s="22">
        <f>G18-D18</f>
        <v>0</v>
      </c>
      <c r="I18" s="23">
        <f t="shared" si="0"/>
        <v>0</v>
      </c>
      <c r="J18" s="124">
        <f t="shared" si="1"/>
        <v>-2.0638034409827793E-4</v>
      </c>
    </row>
    <row r="19" spans="1:10" hidden="1" x14ac:dyDescent="0.2">
      <c r="A19" s="107" t="s">
        <v>108</v>
      </c>
      <c r="B19" s="73">
        <f>B8</f>
        <v>218.4</v>
      </c>
      <c r="C19" s="125">
        <f>VLOOKUP($B$3,'Data for Bill Impacts'!$A$3:$Y$15,20,0)</f>
        <v>0</v>
      </c>
      <c r="D19" s="22">
        <f>B19*C19</f>
        <v>0</v>
      </c>
      <c r="E19" s="73">
        <f t="shared" si="3"/>
        <v>218.4</v>
      </c>
      <c r="F19" s="125">
        <f>VLOOKUP($B$3,'Data for Bill Impacts'!$A$3:$Y$15,21,0)</f>
        <v>0</v>
      </c>
      <c r="G19" s="22">
        <f>E19*F19</f>
        <v>0</v>
      </c>
      <c r="H19" s="22">
        <f t="shared" si="2"/>
        <v>0</v>
      </c>
      <c r="I19" s="23" t="str">
        <f>IF(ISERROR(H19/ABS(D19)),"N/A",(H19/ABS(D19)))</f>
        <v>N/A</v>
      </c>
      <c r="J19" s="124">
        <f t="shared" si="1"/>
        <v>0</v>
      </c>
    </row>
    <row r="20" spans="1:10" x14ac:dyDescent="0.2">
      <c r="A20" s="110" t="s">
        <v>72</v>
      </c>
      <c r="B20" s="74"/>
      <c r="C20" s="35"/>
      <c r="D20" s="35">
        <f>SUM(D15:D19)</f>
        <v>28.983999999999998</v>
      </c>
      <c r="E20" s="73"/>
      <c r="F20" s="35"/>
      <c r="G20" s="35">
        <f>SUM(G15:G19)</f>
        <v>30.643999999999998</v>
      </c>
      <c r="H20" s="35">
        <f t="shared" si="2"/>
        <v>1.6600000000000001</v>
      </c>
      <c r="I20" s="36">
        <f>IF(ISERROR(H20/D20),0,(H20/D20))</f>
        <v>5.7272978194866139E-2</v>
      </c>
      <c r="J20" s="111">
        <f t="shared" si="1"/>
        <v>0.52702660537896906</v>
      </c>
    </row>
    <row r="21" spans="1:10" s="1" customFormat="1" x14ac:dyDescent="0.2">
      <c r="A21" s="119" t="s">
        <v>81</v>
      </c>
      <c r="B21" s="120">
        <f>B8-B4</f>
        <v>18.400000000000006</v>
      </c>
      <c r="C21" s="172">
        <f>IF(B4&gt;B7,C13,C12)</f>
        <v>9.0999999999999998E-2</v>
      </c>
      <c r="D21" s="22">
        <f>B21*C21</f>
        <v>1.6744000000000006</v>
      </c>
      <c r="E21" s="73">
        <f>B21</f>
        <v>18.400000000000006</v>
      </c>
      <c r="F21" s="172">
        <f>C21</f>
        <v>9.0999999999999998E-2</v>
      </c>
      <c r="G21" s="22">
        <f>E21*F21</f>
        <v>1.6744000000000006</v>
      </c>
      <c r="H21" s="22">
        <f t="shared" si="2"/>
        <v>0</v>
      </c>
      <c r="I21" s="23">
        <f>IF(ISERROR(H21/D21),0,(H21/D21))</f>
        <v>0</v>
      </c>
      <c r="J21" s="124">
        <f t="shared" si="1"/>
        <v>2.8796937346513056E-2</v>
      </c>
    </row>
    <row r="22" spans="1:10" x14ac:dyDescent="0.2">
      <c r="A22" s="110" t="s">
        <v>79</v>
      </c>
      <c r="B22" s="74"/>
      <c r="C22" s="35"/>
      <c r="D22" s="35">
        <f>SUM(D20,D21:D21)</f>
        <v>30.6584</v>
      </c>
      <c r="E22" s="73"/>
      <c r="F22" s="35"/>
      <c r="G22" s="35">
        <f>SUM(G20,G21:G21)</f>
        <v>32.318399999999997</v>
      </c>
      <c r="H22" s="35">
        <f t="shared" si="2"/>
        <v>1.6599999999999966</v>
      </c>
      <c r="I22" s="36">
        <f t="shared" ref="I22:I37" si="4">IF(ISERROR(H22/ABS(D22)),"N/A",(H22/ABS(D22)))</f>
        <v>5.4145030399498882E-2</v>
      </c>
      <c r="J22" s="111">
        <f t="shared" si="1"/>
        <v>0.55582354272548207</v>
      </c>
    </row>
    <row r="23" spans="1:10" x14ac:dyDescent="0.2">
      <c r="A23" s="107" t="s">
        <v>40</v>
      </c>
      <c r="B23" s="73">
        <f>B8</f>
        <v>218.4</v>
      </c>
      <c r="C23" s="78">
        <f>VLOOKUP($B$3,'Data for Bill Impacts'!$A$3:$Y$15,15,0)</f>
        <v>4.6979999999999999E-3</v>
      </c>
      <c r="D23" s="22">
        <f>B23*C23</f>
        <v>1.0260431999999999</v>
      </c>
      <c r="E23" s="73">
        <f t="shared" si="3"/>
        <v>218.4</v>
      </c>
      <c r="F23" s="125">
        <f>VLOOKUP($B$3,'Data for Bill Impacts'!$A$3:$Y$15,24,0)</f>
        <v>4.6979999999999999E-3</v>
      </c>
      <c r="G23" s="22">
        <f>E23*F23</f>
        <v>1.0260431999999999</v>
      </c>
      <c r="H23" s="22">
        <f t="shared" si="2"/>
        <v>0</v>
      </c>
      <c r="I23" s="23">
        <f t="shared" si="4"/>
        <v>0</v>
      </c>
      <c r="J23" s="124">
        <f t="shared" si="1"/>
        <v>1.7646262389641516E-2</v>
      </c>
    </row>
    <row r="24" spans="1:10" s="1" customFormat="1" x14ac:dyDescent="0.2">
      <c r="A24" s="107" t="s">
        <v>41</v>
      </c>
      <c r="B24" s="73">
        <f>B8</f>
        <v>218.4</v>
      </c>
      <c r="C24" s="78">
        <f>VLOOKUP($B$3,'Data for Bill Impacts'!$A$3:$Y$15,16,0)</f>
        <v>4.2899999999999995E-3</v>
      </c>
      <c r="D24" s="22">
        <f>B24*C24</f>
        <v>0.93693599999999988</v>
      </c>
      <c r="E24" s="73">
        <f t="shared" si="3"/>
        <v>218.4</v>
      </c>
      <c r="F24" s="125">
        <f>VLOOKUP($B$3,'Data for Bill Impacts'!$A$3:$Y$15,25,0)</f>
        <v>4.2899999999999995E-3</v>
      </c>
      <c r="G24" s="22">
        <f>E24*F24</f>
        <v>0.93693599999999988</v>
      </c>
      <c r="H24" s="22">
        <f t="shared" si="2"/>
        <v>0</v>
      </c>
      <c r="I24" s="23">
        <f t="shared" si="4"/>
        <v>0</v>
      </c>
      <c r="J24" s="124">
        <f t="shared" si="1"/>
        <v>1.6113764506505344E-2</v>
      </c>
    </row>
    <row r="25" spans="1:10" s="1" customFormat="1" x14ac:dyDescent="0.2">
      <c r="A25" s="110" t="s">
        <v>76</v>
      </c>
      <c r="B25" s="74"/>
      <c r="C25" s="35"/>
      <c r="D25" s="35">
        <f>SUM(D23:D24)</f>
        <v>1.9629791999999999</v>
      </c>
      <c r="E25" s="73"/>
      <c r="F25" s="35"/>
      <c r="G25" s="35">
        <f>SUM(G23:G24)</f>
        <v>1.9629791999999999</v>
      </c>
      <c r="H25" s="35">
        <f t="shared" si="2"/>
        <v>0</v>
      </c>
      <c r="I25" s="36">
        <f t="shared" si="4"/>
        <v>0</v>
      </c>
      <c r="J25" s="111">
        <f t="shared" si="1"/>
        <v>3.3760026896146857E-2</v>
      </c>
    </row>
    <row r="26" spans="1:10" s="1" customFormat="1" x14ac:dyDescent="0.2">
      <c r="A26" s="110" t="s">
        <v>80</v>
      </c>
      <c r="B26" s="74"/>
      <c r="C26" s="35"/>
      <c r="D26" s="35">
        <f>D22+D25</f>
        <v>32.6213792</v>
      </c>
      <c r="E26" s="73"/>
      <c r="F26" s="35"/>
      <c r="G26" s="35">
        <f>G22+G25</f>
        <v>34.281379199999996</v>
      </c>
      <c r="H26" s="35">
        <f t="shared" si="2"/>
        <v>1.6599999999999966</v>
      </c>
      <c r="I26" s="36">
        <f t="shared" si="4"/>
        <v>5.0886873599752538E-2</v>
      </c>
      <c r="J26" s="111">
        <f t="shared" si="1"/>
        <v>0.58958356962162894</v>
      </c>
    </row>
    <row r="27" spans="1:10" x14ac:dyDescent="0.2">
      <c r="A27" s="107" t="s">
        <v>42</v>
      </c>
      <c r="B27" s="73">
        <f>B8</f>
        <v>218.4</v>
      </c>
      <c r="C27" s="34">
        <v>3.5999999999999999E-3</v>
      </c>
      <c r="D27" s="22">
        <f>B27*C27</f>
        <v>0.78624000000000005</v>
      </c>
      <c r="E27" s="73">
        <f t="shared" si="3"/>
        <v>218.4</v>
      </c>
      <c r="F27" s="34">
        <v>3.5999999999999999E-3</v>
      </c>
      <c r="G27" s="22">
        <f>E27*F27</f>
        <v>0.78624000000000005</v>
      </c>
      <c r="H27" s="22">
        <f t="shared" si="2"/>
        <v>0</v>
      </c>
      <c r="I27" s="23">
        <f t="shared" si="4"/>
        <v>0</v>
      </c>
      <c r="J27" s="124">
        <f t="shared" si="1"/>
        <v>1.3522040145319171E-2</v>
      </c>
    </row>
    <row r="28" spans="1:10" s="1" customFormat="1" x14ac:dyDescent="0.2">
      <c r="A28" s="107" t="s">
        <v>43</v>
      </c>
      <c r="B28" s="73">
        <f>B8</f>
        <v>218.4</v>
      </c>
      <c r="C28" s="34">
        <v>2.0999999999999999E-3</v>
      </c>
      <c r="D28" s="22">
        <f>B28*C28</f>
        <v>0.45863999999999999</v>
      </c>
      <c r="E28" s="73">
        <f t="shared" si="3"/>
        <v>218.4</v>
      </c>
      <c r="F28" s="34">
        <v>2.0999999999999999E-3</v>
      </c>
      <c r="G28" s="22">
        <f>E28*F28</f>
        <v>0.45863999999999999</v>
      </c>
      <c r="H28" s="22">
        <f>G28-D28</f>
        <v>0</v>
      </c>
      <c r="I28" s="23">
        <f t="shared" si="4"/>
        <v>0</v>
      </c>
      <c r="J28" s="124">
        <f t="shared" si="1"/>
        <v>7.8878567514361828E-3</v>
      </c>
    </row>
    <row r="29" spans="1:10" s="1" customFormat="1" x14ac:dyDescent="0.2">
      <c r="A29" s="107" t="s">
        <v>96</v>
      </c>
      <c r="B29" s="73">
        <f>B8</f>
        <v>218.4</v>
      </c>
      <c r="C29" s="34">
        <v>0</v>
      </c>
      <c r="D29" s="22">
        <f>B29*C29</f>
        <v>0</v>
      </c>
      <c r="E29" s="73">
        <f t="shared" si="3"/>
        <v>218.4</v>
      </c>
      <c r="F29" s="34">
        <v>0</v>
      </c>
      <c r="G29" s="22">
        <f>E29*F29</f>
        <v>0</v>
      </c>
      <c r="H29" s="22">
        <f>G29-D29</f>
        <v>0</v>
      </c>
      <c r="I29" s="23" t="str">
        <f t="shared" si="4"/>
        <v>N/A</v>
      </c>
      <c r="J29" s="124">
        <f>G29/$G$37</f>
        <v>0</v>
      </c>
    </row>
    <row r="30" spans="1:10" x14ac:dyDescent="0.2">
      <c r="A30" s="107" t="s">
        <v>44</v>
      </c>
      <c r="B30" s="73">
        <v>1</v>
      </c>
      <c r="C30" s="22">
        <v>0.25</v>
      </c>
      <c r="D30" s="22">
        <f>B30*C30</f>
        <v>0.25</v>
      </c>
      <c r="E30" s="73">
        <f t="shared" si="3"/>
        <v>1</v>
      </c>
      <c r="F30" s="22">
        <f>C30</f>
        <v>0.25</v>
      </c>
      <c r="G30" s="22">
        <f>E30*F30</f>
        <v>0.25</v>
      </c>
      <c r="H30" s="22">
        <f t="shared" si="2"/>
        <v>0</v>
      </c>
      <c r="I30" s="23">
        <f t="shared" si="4"/>
        <v>0</v>
      </c>
      <c r="J30" s="124">
        <f t="shared" ref="J30:J37" si="5">G30/$G$37</f>
        <v>4.2995905020474573E-3</v>
      </c>
    </row>
    <row r="31" spans="1:10" s="1" customFormat="1" x14ac:dyDescent="0.2">
      <c r="A31" s="110" t="s">
        <v>45</v>
      </c>
      <c r="B31" s="74"/>
      <c r="C31" s="35"/>
      <c r="D31" s="35">
        <f>SUM(D27:D30)</f>
        <v>1.49488</v>
      </c>
      <c r="E31" s="73"/>
      <c r="F31" s="35"/>
      <c r="G31" s="35">
        <f>SUM(G27:G30)</f>
        <v>1.49488</v>
      </c>
      <c r="H31" s="35">
        <f t="shared" si="2"/>
        <v>0</v>
      </c>
      <c r="I31" s="36">
        <f t="shared" si="4"/>
        <v>0</v>
      </c>
      <c r="J31" s="111">
        <f t="shared" si="5"/>
        <v>2.570948739880281E-2</v>
      </c>
    </row>
    <row r="32" spans="1:10" ht="13.5" thickBot="1" x14ac:dyDescent="0.25">
      <c r="A32" s="112" t="s">
        <v>46</v>
      </c>
      <c r="B32" s="113">
        <f>B4</f>
        <v>200</v>
      </c>
      <c r="C32" s="114">
        <v>7.0000000000000001E-3</v>
      </c>
      <c r="D32" s="115">
        <f>B32*C32</f>
        <v>1.4000000000000001</v>
      </c>
      <c r="E32" s="116">
        <f t="shared" si="3"/>
        <v>200</v>
      </c>
      <c r="F32" s="114">
        <f>C32</f>
        <v>7.0000000000000001E-3</v>
      </c>
      <c r="G32" s="115">
        <f>E32*F32</f>
        <v>1.4000000000000001</v>
      </c>
      <c r="H32" s="115">
        <f t="shared" si="2"/>
        <v>0</v>
      </c>
      <c r="I32" s="117">
        <f t="shared" si="4"/>
        <v>0</v>
      </c>
      <c r="J32" s="118">
        <f t="shared" si="5"/>
        <v>2.407770681146576E-2</v>
      </c>
    </row>
    <row r="33" spans="1:10" x14ac:dyDescent="0.2">
      <c r="A33" s="37" t="s">
        <v>111</v>
      </c>
      <c r="B33" s="38"/>
      <c r="C33" s="39"/>
      <c r="D33" s="39">
        <f>SUM(D14,D22,D25,D31,D32)</f>
        <v>53.716259200000003</v>
      </c>
      <c r="E33" s="38"/>
      <c r="F33" s="39"/>
      <c r="G33" s="39">
        <f>SUM(G14,G22,G25,G31,G32)</f>
        <v>55.3762592</v>
      </c>
      <c r="H33" s="39">
        <f t="shared" si="2"/>
        <v>1.6599999999999966</v>
      </c>
      <c r="I33" s="40">
        <f t="shared" si="4"/>
        <v>3.0903119925372549E-2</v>
      </c>
      <c r="J33" s="41">
        <f t="shared" si="5"/>
        <v>0.95238095238095244</v>
      </c>
    </row>
    <row r="34" spans="1:10" x14ac:dyDescent="0.2">
      <c r="A34" s="46" t="s">
        <v>102</v>
      </c>
      <c r="B34" s="43"/>
      <c r="C34" s="26">
        <v>0.13</v>
      </c>
      <c r="D34" s="26">
        <f>D33*C34</f>
        <v>6.9831136960000011</v>
      </c>
      <c r="E34" s="26"/>
      <c r="F34" s="26">
        <f>C34</f>
        <v>0.13</v>
      </c>
      <c r="G34" s="26">
        <f>G33*F34</f>
        <v>7.198913696</v>
      </c>
      <c r="H34" s="26">
        <f t="shared" si="2"/>
        <v>0.21579999999999888</v>
      </c>
      <c r="I34" s="44">
        <f t="shared" si="4"/>
        <v>3.0903119925372449E-2</v>
      </c>
      <c r="J34" s="45">
        <f t="shared" si="5"/>
        <v>0.12380952380952381</v>
      </c>
    </row>
    <row r="35" spans="1:10" x14ac:dyDescent="0.2">
      <c r="A35" s="46" t="s">
        <v>103</v>
      </c>
      <c r="B35" s="24"/>
      <c r="C35" s="25"/>
      <c r="D35" s="25">
        <f>SUM(D33:D34)</f>
        <v>60.699372896000007</v>
      </c>
      <c r="E35" s="25"/>
      <c r="F35" s="25"/>
      <c r="G35" s="25">
        <f>SUM(G33:G34)</f>
        <v>62.575172895999998</v>
      </c>
      <c r="H35" s="25">
        <f t="shared" si="2"/>
        <v>1.875799999999991</v>
      </c>
      <c r="I35" s="27">
        <f t="shared" si="4"/>
        <v>3.0903119925372462E-2</v>
      </c>
      <c r="J35" s="47">
        <f t="shared" si="5"/>
        <v>1.0761904761904761</v>
      </c>
    </row>
    <row r="36" spans="1:10" x14ac:dyDescent="0.2">
      <c r="A36" s="46" t="s">
        <v>104</v>
      </c>
      <c r="B36" s="43"/>
      <c r="C36" s="26">
        <v>-0.08</v>
      </c>
      <c r="D36" s="26">
        <f>D33*C36</f>
        <v>-4.2973007360000004</v>
      </c>
      <c r="E36" s="26"/>
      <c r="F36" s="26">
        <f>C36</f>
        <v>-0.08</v>
      </c>
      <c r="G36" s="26">
        <f>G33*F36</f>
        <v>-4.430100736</v>
      </c>
      <c r="H36" s="26">
        <f t="shared" si="2"/>
        <v>-0.13279999999999959</v>
      </c>
      <c r="I36" s="44">
        <f t="shared" si="4"/>
        <v>-3.0903119925372514E-2</v>
      </c>
      <c r="J36" s="45">
        <f t="shared" si="5"/>
        <v>-7.6190476190476197E-2</v>
      </c>
    </row>
    <row r="37" spans="1:10" ht="13.5" thickBot="1" x14ac:dyDescent="0.25">
      <c r="A37" s="48" t="s">
        <v>105</v>
      </c>
      <c r="B37" s="49"/>
      <c r="C37" s="50"/>
      <c r="D37" s="50">
        <f>SUM(D35:D36)</f>
        <v>56.402072160000003</v>
      </c>
      <c r="E37" s="50"/>
      <c r="F37" s="50"/>
      <c r="G37" s="50">
        <f>SUM(G35:G36)</f>
        <v>58.145072159999998</v>
      </c>
      <c r="H37" s="50">
        <f t="shared" si="2"/>
        <v>1.742999999999995</v>
      </c>
      <c r="I37" s="51">
        <f t="shared" si="4"/>
        <v>3.0903119925372525E-2</v>
      </c>
      <c r="J37" s="52">
        <f t="shared" si="5"/>
        <v>1</v>
      </c>
    </row>
    <row r="38" spans="1:10" x14ac:dyDescent="0.2">
      <c r="A38" s="170"/>
      <c r="D38" s="72"/>
      <c r="F38" s="69"/>
    </row>
    <row r="39" spans="1:10" x14ac:dyDescent="0.2">
      <c r="A39" s="170"/>
      <c r="F39" s="69"/>
    </row>
    <row r="40" spans="1:10" x14ac:dyDescent="0.2">
      <c r="A40" s="171"/>
      <c r="B40" s="71"/>
      <c r="F40" s="69"/>
    </row>
    <row r="41" spans="1:10" x14ac:dyDescent="0.2">
      <c r="A41" s="170"/>
      <c r="B41" s="72"/>
      <c r="D41" s="72"/>
      <c r="F41" s="69"/>
    </row>
    <row r="42" spans="1:10" x14ac:dyDescent="0.2">
      <c r="A42" s="170"/>
      <c r="F42" s="69"/>
    </row>
    <row r="43" spans="1:10" x14ac:dyDescent="0.2">
      <c r="A43" s="170"/>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scale="79"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1" tint="0.499984740745262"/>
    <pageSetUpPr fitToPage="1"/>
  </sheetPr>
  <dimension ref="A1:K48"/>
  <sheetViews>
    <sheetView tabSelected="1" view="pageLayout"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188" t="s">
        <v>117</v>
      </c>
      <c r="B1" s="189"/>
      <c r="C1" s="189"/>
      <c r="D1" s="189"/>
      <c r="E1" s="189"/>
      <c r="F1" s="189"/>
      <c r="G1" s="189"/>
      <c r="H1" s="189"/>
      <c r="I1" s="189"/>
      <c r="J1" s="190"/>
      <c r="K1" s="127"/>
    </row>
    <row r="3" spans="1:11" x14ac:dyDescent="0.2">
      <c r="A3" s="13" t="s">
        <v>13</v>
      </c>
      <c r="B3" s="13" t="s">
        <v>8</v>
      </c>
    </row>
    <row r="4" spans="1:11" x14ac:dyDescent="0.2">
      <c r="A4" s="15" t="s">
        <v>62</v>
      </c>
      <c r="B4" s="15">
        <v>100</v>
      </c>
    </row>
    <row r="5" spans="1:11" x14ac:dyDescent="0.2">
      <c r="A5" s="15" t="s">
        <v>16</v>
      </c>
      <c r="B5" s="15">
        <f>VLOOKUP($B$3,'Data for Bill Impacts'!$A$3:$Y$15,5,0)</f>
        <v>0</v>
      </c>
    </row>
    <row r="6" spans="1:11" x14ac:dyDescent="0.2">
      <c r="A6" s="15" t="s">
        <v>20</v>
      </c>
      <c r="B6" s="15">
        <f>VLOOKUP($B$3,'Data for Bill Impacts'!$A$3:$Y$15,2,0)</f>
        <v>1.0920000000000001</v>
      </c>
    </row>
    <row r="7" spans="1:11" x14ac:dyDescent="0.2">
      <c r="A7" s="15" t="s">
        <v>15</v>
      </c>
      <c r="B7" s="15">
        <f>VLOOKUP($B$3,'Data for Bill Impacts'!$A$3:$Y$15,4,0)</f>
        <v>750</v>
      </c>
    </row>
    <row r="8" spans="1:11" x14ac:dyDescent="0.2">
      <c r="A8" s="15" t="s">
        <v>82</v>
      </c>
      <c r="B8" s="15">
        <f>B4*B6</f>
        <v>109.2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2" t="s">
        <v>29</v>
      </c>
    </row>
    <row r="12" spans="1:11" x14ac:dyDescent="0.2">
      <c r="A12" s="101" t="s">
        <v>31</v>
      </c>
      <c r="B12" s="102">
        <f>IF(B4&gt;B7,B7,B4)</f>
        <v>100</v>
      </c>
      <c r="C12" s="103">
        <v>9.0999999999999998E-2</v>
      </c>
      <c r="D12" s="104">
        <f>B12*C12</f>
        <v>9.1</v>
      </c>
      <c r="E12" s="102">
        <f>B12</f>
        <v>100</v>
      </c>
      <c r="F12" s="103">
        <f>C12</f>
        <v>9.0999999999999998E-2</v>
      </c>
      <c r="G12" s="104">
        <f>E12*F12</f>
        <v>9.1</v>
      </c>
      <c r="H12" s="104">
        <f>G12-D12</f>
        <v>0</v>
      </c>
      <c r="I12" s="105">
        <f t="shared" ref="I12:I18" si="0">IF(ISERROR(H12/ABS(D12)),"N/A",(H12/ABS(D12)))</f>
        <v>0</v>
      </c>
      <c r="J12" s="123">
        <f t="shared" ref="J12:J28" si="1">G12/$G$37</f>
        <v>0.31795962354989377</v>
      </c>
    </row>
    <row r="13" spans="1:11" x14ac:dyDescent="0.2">
      <c r="A13" s="107" t="s">
        <v>32</v>
      </c>
      <c r="B13" s="73">
        <f>IF(B4&gt;B7,(B4)-B7,0)</f>
        <v>0</v>
      </c>
      <c r="C13" s="21">
        <v>0.106</v>
      </c>
      <c r="D13" s="22">
        <f>B13*C13</f>
        <v>0</v>
      </c>
      <c r="E13" s="73">
        <f t="shared" ref="E13:E32" si="2">B13</f>
        <v>0</v>
      </c>
      <c r="F13" s="21">
        <f>C13</f>
        <v>0.106</v>
      </c>
      <c r="G13" s="22">
        <f>E13*F13</f>
        <v>0</v>
      </c>
      <c r="H13" s="22">
        <f t="shared" ref="H13:H37" si="3">G13-D13</f>
        <v>0</v>
      </c>
      <c r="I13" s="23" t="str">
        <f t="shared" si="0"/>
        <v>N/A</v>
      </c>
      <c r="J13" s="124">
        <f t="shared" si="1"/>
        <v>0</v>
      </c>
    </row>
    <row r="14" spans="1:11" s="1" customFormat="1" x14ac:dyDescent="0.2">
      <c r="A14" s="46" t="s">
        <v>33</v>
      </c>
      <c r="B14" s="24"/>
      <c r="C14" s="25"/>
      <c r="D14" s="25">
        <f>SUM(D12:D13)</f>
        <v>9.1</v>
      </c>
      <c r="E14" s="76"/>
      <c r="F14" s="25"/>
      <c r="G14" s="25">
        <f>SUM(G12:G13)</f>
        <v>9.1</v>
      </c>
      <c r="H14" s="25">
        <f t="shared" si="3"/>
        <v>0</v>
      </c>
      <c r="I14" s="27">
        <f t="shared" si="0"/>
        <v>0</v>
      </c>
      <c r="J14" s="47">
        <f t="shared" si="1"/>
        <v>0.31795962354989377</v>
      </c>
    </row>
    <row r="15" spans="1:11" x14ac:dyDescent="0.2">
      <c r="A15" s="107" t="s">
        <v>38</v>
      </c>
      <c r="B15" s="73">
        <v>1</v>
      </c>
      <c r="C15" s="121">
        <f>VLOOKUP($B$3,'Data for Bill Impacts'!$A$3:$Y$15,7,0)</f>
        <v>4.2</v>
      </c>
      <c r="D15" s="22">
        <f>B15*C15</f>
        <v>4.2</v>
      </c>
      <c r="E15" s="73">
        <f t="shared" si="2"/>
        <v>1</v>
      </c>
      <c r="F15" s="78">
        <f>VLOOKUP($B$3,'Data for Bill Impacts'!$A$3:$Y$15,17,0)</f>
        <v>4.33</v>
      </c>
      <c r="G15" s="22">
        <f>E15*F15</f>
        <v>4.33</v>
      </c>
      <c r="H15" s="22">
        <f t="shared" si="3"/>
        <v>0.12999999999999989</v>
      </c>
      <c r="I15" s="23">
        <f t="shared" si="0"/>
        <v>3.0952380952380926E-2</v>
      </c>
      <c r="J15" s="124">
        <f t="shared" si="1"/>
        <v>0.15129287582099341</v>
      </c>
    </row>
    <row r="16" spans="1:11" x14ac:dyDescent="0.2">
      <c r="A16" s="107" t="s">
        <v>85</v>
      </c>
      <c r="B16" s="73">
        <v>1</v>
      </c>
      <c r="C16" s="121">
        <f>VLOOKUP($B$3,'Data for Bill Impacts'!$A$3:$Y$15,13,0)</f>
        <v>7.0000000000000001E-3</v>
      </c>
      <c r="D16" s="22">
        <f>B16*C16</f>
        <v>7.0000000000000001E-3</v>
      </c>
      <c r="E16" s="73">
        <f t="shared" si="2"/>
        <v>1</v>
      </c>
      <c r="F16" s="121">
        <f>VLOOKUP($B$3,'Data for Bill Impacts'!$A$3:$Y$15,22,0)</f>
        <v>7.0000000000000001E-3</v>
      </c>
      <c r="G16" s="22">
        <f>E16*F16</f>
        <v>7.0000000000000001E-3</v>
      </c>
      <c r="H16" s="22">
        <f>G16-D16</f>
        <v>0</v>
      </c>
      <c r="I16" s="23">
        <f t="shared" si="0"/>
        <v>0</v>
      </c>
      <c r="J16" s="124">
        <f t="shared" si="1"/>
        <v>2.445843258076106E-4</v>
      </c>
    </row>
    <row r="17" spans="1:10" x14ac:dyDescent="0.2">
      <c r="A17" s="107" t="s">
        <v>39</v>
      </c>
      <c r="B17" s="73">
        <f>IF($B$9="kWh",$B$4,$B$5)</f>
        <v>100</v>
      </c>
      <c r="C17" s="78">
        <f>VLOOKUP($B$3,'Data for Bill Impacts'!$A$3:$Y$15,10,0)</f>
        <v>0.1011</v>
      </c>
      <c r="D17" s="22">
        <f>B17*C17</f>
        <v>10.11</v>
      </c>
      <c r="E17" s="73">
        <f t="shared" si="2"/>
        <v>100</v>
      </c>
      <c r="F17" s="78">
        <f>VLOOKUP($B$3,'Data for Bill Impacts'!$A$3:$Y$15,19,0)</f>
        <v>0.1043</v>
      </c>
      <c r="G17" s="22">
        <f>E17*F17</f>
        <v>10.43</v>
      </c>
      <c r="H17" s="22">
        <f t="shared" si="3"/>
        <v>0.32000000000000028</v>
      </c>
      <c r="I17" s="23">
        <f t="shared" si="0"/>
        <v>3.1651829871414468E-2</v>
      </c>
      <c r="J17" s="124">
        <f t="shared" si="1"/>
        <v>0.36443064545333975</v>
      </c>
    </row>
    <row r="18" spans="1:10" s="1" customFormat="1" x14ac:dyDescent="0.2">
      <c r="A18" s="107" t="s">
        <v>121</v>
      </c>
      <c r="B18" s="73">
        <f>IF($B$9="kWh",$B$4,$B$5)</f>
        <v>100</v>
      </c>
      <c r="C18" s="125">
        <f>VLOOKUP($B$3,'Data for Bill Impacts'!$A$3:$Y$15,14,0)</f>
        <v>-9.9999999999999991E-6</v>
      </c>
      <c r="D18" s="22">
        <f>B18*C18</f>
        <v>-1E-3</v>
      </c>
      <c r="E18" s="73">
        <f>B18</f>
        <v>100</v>
      </c>
      <c r="F18" s="125">
        <f>VLOOKUP($B$3,'Data for Bill Impacts'!$A$3:$Y$15,23,0)</f>
        <v>-9.9999999999999991E-6</v>
      </c>
      <c r="G18" s="22">
        <f>E18*F18</f>
        <v>-1E-3</v>
      </c>
      <c r="H18" s="22">
        <f>G18-D18</f>
        <v>0</v>
      </c>
      <c r="I18" s="23">
        <f t="shared" si="0"/>
        <v>0</v>
      </c>
      <c r="J18" s="124">
        <f t="shared" si="1"/>
        <v>-3.4940617972515798E-5</v>
      </c>
    </row>
    <row r="19" spans="1:10" hidden="1" x14ac:dyDescent="0.2">
      <c r="A19" s="107" t="s">
        <v>108</v>
      </c>
      <c r="B19" s="73">
        <f>B8</f>
        <v>109.2</v>
      </c>
      <c r="C19" s="78">
        <f>VLOOKUP($B$3,'Data for Bill Impacts'!$A$3:$Y$15,20,0)</f>
        <v>0</v>
      </c>
      <c r="D19" s="22">
        <f>B19*C19</f>
        <v>0</v>
      </c>
      <c r="E19" s="73">
        <f t="shared" si="2"/>
        <v>109.2</v>
      </c>
      <c r="F19" s="78">
        <f>VLOOKUP($B$3,'Data for Bill Impacts'!$A$3:$Y$15,21,0)</f>
        <v>0</v>
      </c>
      <c r="G19" s="22">
        <f>E19*F19</f>
        <v>0</v>
      </c>
      <c r="H19" s="22">
        <f t="shared" si="3"/>
        <v>0</v>
      </c>
      <c r="I19" s="23" t="str">
        <f>IF(ISERROR(H19/ABS(D19)),"N/A",(H19/ABS(D19)))</f>
        <v>N/A</v>
      </c>
      <c r="J19" s="124">
        <f t="shared" si="1"/>
        <v>0</v>
      </c>
    </row>
    <row r="20" spans="1:10" x14ac:dyDescent="0.2">
      <c r="A20" s="110" t="s">
        <v>72</v>
      </c>
      <c r="B20" s="74"/>
      <c r="C20" s="35"/>
      <c r="D20" s="35">
        <f>SUM(D15:D19)</f>
        <v>14.316000000000001</v>
      </c>
      <c r="E20" s="73"/>
      <c r="F20" s="35"/>
      <c r="G20" s="35">
        <f>SUM(G15:G19)</f>
        <v>14.766</v>
      </c>
      <c r="H20" s="35">
        <f t="shared" si="3"/>
        <v>0.44999999999999929</v>
      </c>
      <c r="I20" s="36">
        <f>IF(ISERROR(H20/D20),0,(H20/D20))</f>
        <v>3.1433361274098862E-2</v>
      </c>
      <c r="J20" s="111">
        <f t="shared" si="1"/>
        <v>0.51593316498216824</v>
      </c>
    </row>
    <row r="21" spans="1:10" s="1" customFormat="1" x14ac:dyDescent="0.2">
      <c r="A21" s="119" t="s">
        <v>81</v>
      </c>
      <c r="B21" s="120">
        <f>B8-B4</f>
        <v>9.2000000000000028</v>
      </c>
      <c r="C21" s="172">
        <f>IF(B4&gt;B7,C13,C12)</f>
        <v>9.0999999999999998E-2</v>
      </c>
      <c r="D21" s="22">
        <f>B21*C21</f>
        <v>0.83720000000000028</v>
      </c>
      <c r="E21" s="73">
        <f>B21</f>
        <v>9.2000000000000028</v>
      </c>
      <c r="F21" s="172">
        <f>C21</f>
        <v>9.0999999999999998E-2</v>
      </c>
      <c r="G21" s="22">
        <f>E21*F21</f>
        <v>0.83720000000000028</v>
      </c>
      <c r="H21" s="22">
        <f t="shared" si="3"/>
        <v>0</v>
      </c>
      <c r="I21" s="23">
        <f>IF(ISERROR(H21/D21),0,(H21/D21))</f>
        <v>0</v>
      </c>
      <c r="J21" s="124">
        <f t="shared" si="1"/>
        <v>2.9252285366590237E-2</v>
      </c>
    </row>
    <row r="22" spans="1:10" x14ac:dyDescent="0.2">
      <c r="A22" s="110" t="s">
        <v>79</v>
      </c>
      <c r="B22" s="74"/>
      <c r="C22" s="35"/>
      <c r="D22" s="35">
        <f>SUM(D20,D21:D21)</f>
        <v>15.153200000000002</v>
      </c>
      <c r="E22" s="73"/>
      <c r="F22" s="35"/>
      <c r="G22" s="35">
        <f>SUM(G20,G21:G21)</f>
        <v>15.603200000000001</v>
      </c>
      <c r="H22" s="35">
        <f t="shared" si="3"/>
        <v>0.44999999999999929</v>
      </c>
      <c r="I22" s="36">
        <f t="shared" ref="I22:I37" si="4">IF(ISERROR(H22/ABS(D22)),"N/A",(H22/ABS(D22)))</f>
        <v>2.9696697727212683E-2</v>
      </c>
      <c r="J22" s="111">
        <f t="shared" si="1"/>
        <v>0.54518545034875854</v>
      </c>
    </row>
    <row r="23" spans="1:10" x14ac:dyDescent="0.2">
      <c r="A23" s="107" t="s">
        <v>40</v>
      </c>
      <c r="B23" s="73">
        <f>B8</f>
        <v>109.2</v>
      </c>
      <c r="C23" s="125">
        <f>VLOOKUP($B$3,'Data for Bill Impacts'!$A$3:$Y$15,15,0)</f>
        <v>4.6979999999999999E-3</v>
      </c>
      <c r="D23" s="22">
        <f>B23*C23</f>
        <v>0.51302159999999997</v>
      </c>
      <c r="E23" s="73">
        <f t="shared" si="2"/>
        <v>109.2</v>
      </c>
      <c r="F23" s="125">
        <f>VLOOKUP($B$3,'Data for Bill Impacts'!$A$3:$Y$15,24,0)</f>
        <v>4.6979999999999999E-3</v>
      </c>
      <c r="G23" s="22">
        <f>E23*F23</f>
        <v>0.51302159999999997</v>
      </c>
      <c r="H23" s="22">
        <f t="shared" si="3"/>
        <v>0</v>
      </c>
      <c r="I23" s="23">
        <f t="shared" si="4"/>
        <v>0</v>
      </c>
      <c r="J23" s="124">
        <f t="shared" si="1"/>
        <v>1.792529173724881E-2</v>
      </c>
    </row>
    <row r="24" spans="1:10" s="1" customFormat="1" x14ac:dyDescent="0.2">
      <c r="A24" s="107" t="s">
        <v>41</v>
      </c>
      <c r="B24" s="73">
        <f>B8</f>
        <v>109.2</v>
      </c>
      <c r="C24" s="125">
        <f>VLOOKUP($B$3,'Data for Bill Impacts'!$A$3:$Y$15,16,0)</f>
        <v>4.2899999999999995E-3</v>
      </c>
      <c r="D24" s="22">
        <f>B24*C24</f>
        <v>0.46846799999999994</v>
      </c>
      <c r="E24" s="73">
        <f t="shared" si="2"/>
        <v>109.2</v>
      </c>
      <c r="F24" s="125">
        <f>VLOOKUP($B$3,'Data for Bill Impacts'!$A$3:$Y$15,25,0)</f>
        <v>4.2899999999999995E-3</v>
      </c>
      <c r="G24" s="22">
        <f>E24*F24</f>
        <v>0.46846799999999994</v>
      </c>
      <c r="H24" s="22">
        <f t="shared" si="3"/>
        <v>0</v>
      </c>
      <c r="I24" s="23">
        <f t="shared" si="4"/>
        <v>0</v>
      </c>
      <c r="J24" s="124">
        <f t="shared" si="1"/>
        <v>1.6368561420348531E-2</v>
      </c>
    </row>
    <row r="25" spans="1:10" s="1" customFormat="1" x14ac:dyDescent="0.2">
      <c r="A25" s="110" t="s">
        <v>76</v>
      </c>
      <c r="B25" s="74"/>
      <c r="C25" s="35"/>
      <c r="D25" s="35">
        <f>SUM(D23:D24)</f>
        <v>0.98148959999999996</v>
      </c>
      <c r="E25" s="73"/>
      <c r="F25" s="35"/>
      <c r="G25" s="35">
        <f>SUM(G23:G24)</f>
        <v>0.98148959999999996</v>
      </c>
      <c r="H25" s="35">
        <f t="shared" si="3"/>
        <v>0</v>
      </c>
      <c r="I25" s="36">
        <f t="shared" si="4"/>
        <v>0</v>
      </c>
      <c r="J25" s="111">
        <f t="shared" si="1"/>
        <v>3.4293853157597344E-2</v>
      </c>
    </row>
    <row r="26" spans="1:10" s="1" customFormat="1" x14ac:dyDescent="0.2">
      <c r="A26" s="110" t="s">
        <v>80</v>
      </c>
      <c r="B26" s="74"/>
      <c r="C26" s="35"/>
      <c r="D26" s="35">
        <f>D22+D25</f>
        <v>16.134689600000002</v>
      </c>
      <c r="E26" s="73"/>
      <c r="F26" s="35"/>
      <c r="G26" s="35">
        <f>G22+G25</f>
        <v>16.584689600000001</v>
      </c>
      <c r="H26" s="35">
        <f t="shared" si="3"/>
        <v>0.44999999999999929</v>
      </c>
      <c r="I26" s="36">
        <f t="shared" si="4"/>
        <v>2.789021736123137E-2</v>
      </c>
      <c r="J26" s="111">
        <f t="shared" si="1"/>
        <v>0.5794793035063559</v>
      </c>
    </row>
    <row r="27" spans="1:10" x14ac:dyDescent="0.2">
      <c r="A27" s="107" t="s">
        <v>42</v>
      </c>
      <c r="B27" s="73">
        <f>B8</f>
        <v>109.2</v>
      </c>
      <c r="C27" s="34">
        <v>3.5999999999999999E-3</v>
      </c>
      <c r="D27" s="22">
        <f>B27*C27</f>
        <v>0.39312000000000002</v>
      </c>
      <c r="E27" s="73">
        <f t="shared" si="2"/>
        <v>109.2</v>
      </c>
      <c r="F27" s="34">
        <v>3.5999999999999999E-3</v>
      </c>
      <c r="G27" s="22">
        <f>E27*F27</f>
        <v>0.39312000000000002</v>
      </c>
      <c r="H27" s="22">
        <f t="shared" si="3"/>
        <v>0</v>
      </c>
      <c r="I27" s="23">
        <f t="shared" si="4"/>
        <v>0</v>
      </c>
      <c r="J27" s="124">
        <f t="shared" si="1"/>
        <v>1.3735855737355411E-2</v>
      </c>
    </row>
    <row r="28" spans="1:10" s="1" customFormat="1" x14ac:dyDescent="0.2">
      <c r="A28" s="107" t="s">
        <v>43</v>
      </c>
      <c r="B28" s="73">
        <f>B8</f>
        <v>109.2</v>
      </c>
      <c r="C28" s="34">
        <v>2.0999999999999999E-3</v>
      </c>
      <c r="D28" s="22">
        <f>B28*C28</f>
        <v>0.22932</v>
      </c>
      <c r="E28" s="73">
        <f t="shared" si="2"/>
        <v>109.2</v>
      </c>
      <c r="F28" s="34">
        <v>2.0999999999999999E-3</v>
      </c>
      <c r="G28" s="22">
        <f>E28*F28</f>
        <v>0.22932</v>
      </c>
      <c r="H28" s="22">
        <f>G28-D28</f>
        <v>0</v>
      </c>
      <c r="I28" s="23">
        <f t="shared" si="4"/>
        <v>0</v>
      </c>
      <c r="J28" s="124">
        <f t="shared" si="1"/>
        <v>8.0125825134573225E-3</v>
      </c>
    </row>
    <row r="29" spans="1:10" s="1" customFormat="1" x14ac:dyDescent="0.2">
      <c r="A29" s="107" t="s">
        <v>96</v>
      </c>
      <c r="B29" s="73">
        <f>B8</f>
        <v>109.2</v>
      </c>
      <c r="C29" s="34">
        <v>0</v>
      </c>
      <c r="D29" s="22">
        <f>B29*C29</f>
        <v>0</v>
      </c>
      <c r="E29" s="73">
        <f t="shared" si="2"/>
        <v>109.2</v>
      </c>
      <c r="F29" s="34">
        <v>0</v>
      </c>
      <c r="G29" s="22">
        <f>E29*F29</f>
        <v>0</v>
      </c>
      <c r="H29" s="22">
        <f>G29-D29</f>
        <v>0</v>
      </c>
      <c r="I29" s="23" t="str">
        <f t="shared" si="4"/>
        <v>N/A</v>
      </c>
      <c r="J29" s="124">
        <f>G29/$G$37</f>
        <v>0</v>
      </c>
    </row>
    <row r="30" spans="1:10" x14ac:dyDescent="0.2">
      <c r="A30" s="107" t="s">
        <v>44</v>
      </c>
      <c r="B30" s="73">
        <v>1</v>
      </c>
      <c r="C30" s="22">
        <v>0.25</v>
      </c>
      <c r="D30" s="22">
        <f>B30*C30</f>
        <v>0.25</v>
      </c>
      <c r="E30" s="73">
        <f t="shared" si="2"/>
        <v>1</v>
      </c>
      <c r="F30" s="22">
        <f>C30</f>
        <v>0.25</v>
      </c>
      <c r="G30" s="22">
        <f>E30*F30</f>
        <v>0.25</v>
      </c>
      <c r="H30" s="22">
        <f t="shared" si="3"/>
        <v>0</v>
      </c>
      <c r="I30" s="23">
        <f t="shared" si="4"/>
        <v>0</v>
      </c>
      <c r="J30" s="124">
        <f t="shared" ref="J30:J37" si="5">G30/$G$37</f>
        <v>8.7351544931289493E-3</v>
      </c>
    </row>
    <row r="31" spans="1:10" s="1" customFormat="1" x14ac:dyDescent="0.2">
      <c r="A31" s="110" t="s">
        <v>45</v>
      </c>
      <c r="B31" s="74"/>
      <c r="C31" s="35"/>
      <c r="D31" s="35">
        <f>SUM(D27:D30)</f>
        <v>0.87243999999999999</v>
      </c>
      <c r="E31" s="73"/>
      <c r="F31" s="35"/>
      <c r="G31" s="35">
        <f>SUM(G27:G30)</f>
        <v>0.87243999999999999</v>
      </c>
      <c r="H31" s="35">
        <f t="shared" si="3"/>
        <v>0</v>
      </c>
      <c r="I31" s="36">
        <f t="shared" si="4"/>
        <v>0</v>
      </c>
      <c r="J31" s="111">
        <f t="shared" si="5"/>
        <v>3.0483592743941683E-2</v>
      </c>
    </row>
    <row r="32" spans="1:10" ht="13.5" thickBot="1" x14ac:dyDescent="0.25">
      <c r="A32" s="112" t="s">
        <v>46</v>
      </c>
      <c r="B32" s="113">
        <f>B4</f>
        <v>100</v>
      </c>
      <c r="C32" s="114">
        <v>7.0000000000000001E-3</v>
      </c>
      <c r="D32" s="115">
        <f>B32*C32</f>
        <v>0.70000000000000007</v>
      </c>
      <c r="E32" s="116">
        <f t="shared" si="2"/>
        <v>100</v>
      </c>
      <c r="F32" s="114">
        <f>C32</f>
        <v>7.0000000000000001E-3</v>
      </c>
      <c r="G32" s="115">
        <f>E32*F32</f>
        <v>0.70000000000000007</v>
      </c>
      <c r="H32" s="115">
        <f t="shared" si="3"/>
        <v>0</v>
      </c>
      <c r="I32" s="117">
        <f t="shared" si="4"/>
        <v>0</v>
      </c>
      <c r="J32" s="118">
        <f t="shared" si="5"/>
        <v>2.4458432580761063E-2</v>
      </c>
    </row>
    <row r="33" spans="1:10" x14ac:dyDescent="0.2">
      <c r="A33" s="37" t="s">
        <v>111</v>
      </c>
      <c r="B33" s="38"/>
      <c r="C33" s="39"/>
      <c r="D33" s="39">
        <f>SUM(D14,D22,D25,D31,D32)</f>
        <v>26.8071296</v>
      </c>
      <c r="E33" s="38"/>
      <c r="F33" s="39"/>
      <c r="G33" s="39">
        <f>SUM(G14,G22,G25,G31,G32)</f>
        <v>27.257129600000003</v>
      </c>
      <c r="H33" s="39">
        <f t="shared" si="3"/>
        <v>0.45000000000000284</v>
      </c>
      <c r="I33" s="40">
        <f t="shared" si="4"/>
        <v>1.6786579045001627E-2</v>
      </c>
      <c r="J33" s="41">
        <f t="shared" si="5"/>
        <v>0.95238095238095244</v>
      </c>
    </row>
    <row r="34" spans="1:10" x14ac:dyDescent="0.2">
      <c r="A34" s="46" t="s">
        <v>102</v>
      </c>
      <c r="B34" s="43"/>
      <c r="C34" s="26">
        <v>0.13</v>
      </c>
      <c r="D34" s="26">
        <f>D33*C34</f>
        <v>3.4849268480000002</v>
      </c>
      <c r="E34" s="26"/>
      <c r="F34" s="26">
        <f>C34</f>
        <v>0.13</v>
      </c>
      <c r="G34" s="26">
        <f>G33*F34</f>
        <v>3.5434268480000006</v>
      </c>
      <c r="H34" s="26">
        <f t="shared" si="3"/>
        <v>5.8500000000000441E-2</v>
      </c>
      <c r="I34" s="44">
        <f t="shared" si="4"/>
        <v>1.6786579045001648E-2</v>
      </c>
      <c r="J34" s="45">
        <f t="shared" si="5"/>
        <v>0.12380952380952383</v>
      </c>
    </row>
    <row r="35" spans="1:10" x14ac:dyDescent="0.2">
      <c r="A35" s="46" t="s">
        <v>103</v>
      </c>
      <c r="B35" s="24"/>
      <c r="C35" s="25"/>
      <c r="D35" s="25">
        <f>SUM(D33:D34)</f>
        <v>30.292056448</v>
      </c>
      <c r="E35" s="25"/>
      <c r="F35" s="25"/>
      <c r="G35" s="25">
        <f>SUM(G33:G34)</f>
        <v>30.800556448000002</v>
      </c>
      <c r="H35" s="25">
        <f t="shared" si="3"/>
        <v>0.50850000000000151</v>
      </c>
      <c r="I35" s="27">
        <f t="shared" si="4"/>
        <v>1.6786579045001571E-2</v>
      </c>
      <c r="J35" s="47">
        <f t="shared" si="5"/>
        <v>1.0761904761904761</v>
      </c>
    </row>
    <row r="36" spans="1:10" x14ac:dyDescent="0.2">
      <c r="A36" s="46" t="s">
        <v>104</v>
      </c>
      <c r="B36" s="43"/>
      <c r="C36" s="26">
        <v>-0.08</v>
      </c>
      <c r="D36" s="26">
        <f>D33*C36</f>
        <v>-2.1445703680000001</v>
      </c>
      <c r="E36" s="26"/>
      <c r="F36" s="26">
        <f>C36</f>
        <v>-0.08</v>
      </c>
      <c r="G36" s="26">
        <f>G33*F36</f>
        <v>-2.1805703680000001</v>
      </c>
      <c r="H36" s="26">
        <f t="shared" si="3"/>
        <v>-3.6000000000000032E-2</v>
      </c>
      <c r="I36" s="44">
        <f t="shared" si="4"/>
        <v>-1.6786579045001533E-2</v>
      </c>
      <c r="J36" s="45">
        <f t="shared" si="5"/>
        <v>-7.6190476190476197E-2</v>
      </c>
    </row>
    <row r="37" spans="1:10" ht="13.5" thickBot="1" x14ac:dyDescent="0.25">
      <c r="A37" s="48" t="s">
        <v>105</v>
      </c>
      <c r="B37" s="49"/>
      <c r="C37" s="50"/>
      <c r="D37" s="50">
        <f>SUM(D35:D36)</f>
        <v>28.14748608</v>
      </c>
      <c r="E37" s="50"/>
      <c r="F37" s="50"/>
      <c r="G37" s="50">
        <f>SUM(G35:G36)</f>
        <v>28.61998608</v>
      </c>
      <c r="H37" s="50">
        <f t="shared" si="3"/>
        <v>0.47250000000000014</v>
      </c>
      <c r="I37" s="51">
        <f t="shared" si="4"/>
        <v>1.6786579045001526E-2</v>
      </c>
      <c r="J37" s="52">
        <f t="shared" si="5"/>
        <v>1</v>
      </c>
    </row>
    <row r="38" spans="1:10" x14ac:dyDescent="0.2">
      <c r="A38" s="170"/>
      <c r="D38" s="72"/>
      <c r="F38" s="69"/>
    </row>
    <row r="39" spans="1:10" x14ac:dyDescent="0.2">
      <c r="A39" s="170"/>
      <c r="F39" s="69"/>
    </row>
    <row r="40" spans="1:10" x14ac:dyDescent="0.2">
      <c r="A40" s="171"/>
      <c r="B40" s="71"/>
      <c r="F40" s="69"/>
    </row>
    <row r="41" spans="1:10" x14ac:dyDescent="0.2">
      <c r="A41" s="170"/>
      <c r="B41" s="72"/>
      <c r="D41" s="72"/>
      <c r="F41" s="69"/>
    </row>
    <row r="42" spans="1:10" x14ac:dyDescent="0.2">
      <c r="A42" s="170"/>
      <c r="F42" s="69"/>
    </row>
    <row r="43" spans="1:10" x14ac:dyDescent="0.2">
      <c r="A43" s="170"/>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scale="79"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1" tint="0.499984740745262"/>
    <pageSetUpPr fitToPage="1"/>
  </sheetPr>
  <dimension ref="A1:J48"/>
  <sheetViews>
    <sheetView tabSelected="1" view="pageLayout" topLeftCell="A4"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119</v>
      </c>
      <c r="B1" s="189"/>
      <c r="C1" s="189"/>
      <c r="D1" s="189"/>
      <c r="E1" s="189"/>
      <c r="F1" s="189"/>
      <c r="G1" s="189"/>
      <c r="H1" s="189"/>
      <c r="I1" s="189"/>
      <c r="J1" s="190"/>
    </row>
    <row r="3" spans="1:10" ht="15" customHeight="1" x14ac:dyDescent="0.2">
      <c r="A3" s="13" t="s">
        <v>13</v>
      </c>
      <c r="B3" s="13" t="s">
        <v>8</v>
      </c>
    </row>
    <row r="4" spans="1:10" x14ac:dyDescent="0.2">
      <c r="A4" s="15" t="s">
        <v>62</v>
      </c>
      <c r="B4" s="167">
        <f>VLOOKUP(B3,'Data for Bill Impacts'!A18:D31,3,FALSE)</f>
        <v>517</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7">
        <f>B4*B6</f>
        <v>564.56400000000008</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517</v>
      </c>
      <c r="C12" s="103">
        <v>9.0999999999999998E-2</v>
      </c>
      <c r="D12" s="104">
        <f>B12*C12</f>
        <v>47.046999999999997</v>
      </c>
      <c r="E12" s="102">
        <f>B12</f>
        <v>517</v>
      </c>
      <c r="F12" s="103">
        <f>C12</f>
        <v>9.0999999999999998E-2</v>
      </c>
      <c r="G12" s="104">
        <f>E12*F12</f>
        <v>47.046999999999997</v>
      </c>
      <c r="H12" s="104">
        <f>G12-D12</f>
        <v>0</v>
      </c>
      <c r="I12" s="105">
        <f t="shared" ref="I12:I18" si="0">IF(ISERROR(H12/ABS(D12)),"N/A",(H12/ABS(D12)))</f>
        <v>0</v>
      </c>
      <c r="J12" s="123">
        <f t="shared" ref="J12:J28" si="1">G12/$G$37</f>
        <v>0.36789628916758343</v>
      </c>
    </row>
    <row r="13" spans="1:10" x14ac:dyDescent="0.2">
      <c r="A13" s="107" t="s">
        <v>32</v>
      </c>
      <c r="B13" s="73">
        <f>IF(B4&gt;B7,(B4)-B7,0)</f>
        <v>0</v>
      </c>
      <c r="C13" s="21">
        <v>0.106</v>
      </c>
      <c r="D13" s="22">
        <f>B13*C13</f>
        <v>0</v>
      </c>
      <c r="E13" s="73">
        <f>B13</f>
        <v>0</v>
      </c>
      <c r="F13" s="21">
        <f>C13</f>
        <v>0.106</v>
      </c>
      <c r="G13" s="22">
        <f>E13*F13</f>
        <v>0</v>
      </c>
      <c r="H13" s="22">
        <f t="shared" ref="H13:H37" si="2">G13-D13</f>
        <v>0</v>
      </c>
      <c r="I13" s="23" t="str">
        <f t="shared" si="0"/>
        <v>N/A</v>
      </c>
      <c r="J13" s="124">
        <f t="shared" si="1"/>
        <v>0</v>
      </c>
    </row>
    <row r="14" spans="1:10" s="1" customFormat="1" x14ac:dyDescent="0.2">
      <c r="A14" s="46" t="s">
        <v>33</v>
      </c>
      <c r="B14" s="24"/>
      <c r="C14" s="25"/>
      <c r="D14" s="25">
        <f>SUM(D12:D13)</f>
        <v>47.046999999999997</v>
      </c>
      <c r="E14" s="76"/>
      <c r="F14" s="25"/>
      <c r="G14" s="25">
        <f>SUM(G12:G13)</f>
        <v>47.046999999999997</v>
      </c>
      <c r="H14" s="25">
        <f t="shared" si="2"/>
        <v>0</v>
      </c>
      <c r="I14" s="27">
        <f t="shared" si="0"/>
        <v>0</v>
      </c>
      <c r="J14" s="47">
        <f t="shared" si="1"/>
        <v>0.36789628916758343</v>
      </c>
    </row>
    <row r="15" spans="1:10" x14ac:dyDescent="0.2">
      <c r="A15" s="107" t="s">
        <v>38</v>
      </c>
      <c r="B15" s="73">
        <v>1</v>
      </c>
      <c r="C15" s="121">
        <f>VLOOKUP($B$3,'Data for Bill Impacts'!$A$3:$Y$15,7,0)</f>
        <v>4.2</v>
      </c>
      <c r="D15" s="22">
        <f>B15*C15</f>
        <v>4.2</v>
      </c>
      <c r="E15" s="73">
        <f t="shared" ref="E15:E32" si="3">B15</f>
        <v>1</v>
      </c>
      <c r="F15" s="78">
        <f>VLOOKUP($B$3,'Data for Bill Impacts'!$A$3:$Y$15,17,0)</f>
        <v>4.33</v>
      </c>
      <c r="G15" s="22">
        <f>E15*F15</f>
        <v>4.33</v>
      </c>
      <c r="H15" s="22">
        <f t="shared" si="2"/>
        <v>0.12999999999999989</v>
      </c>
      <c r="I15" s="23">
        <f t="shared" si="0"/>
        <v>3.0952380952380926E-2</v>
      </c>
      <c r="J15" s="124">
        <f t="shared" si="1"/>
        <v>3.3859564522618582E-2</v>
      </c>
    </row>
    <row r="16" spans="1:10" x14ac:dyDescent="0.2">
      <c r="A16" s="107" t="s">
        <v>85</v>
      </c>
      <c r="B16" s="73">
        <v>1</v>
      </c>
      <c r="C16" s="121">
        <f>VLOOKUP($B$3,'Data for Bill Impacts'!$A$3:$Y$15,13,0)</f>
        <v>7.0000000000000001E-3</v>
      </c>
      <c r="D16" s="22">
        <f>B16*C16</f>
        <v>7.0000000000000001E-3</v>
      </c>
      <c r="E16" s="73">
        <f t="shared" si="3"/>
        <v>1</v>
      </c>
      <c r="F16" s="121">
        <f>VLOOKUP($B$3,'Data for Bill Impacts'!$A$3:$Y$15,22,0)</f>
        <v>7.0000000000000001E-3</v>
      </c>
      <c r="G16" s="22">
        <f>E16*F16</f>
        <v>7.0000000000000001E-3</v>
      </c>
      <c r="H16" s="22">
        <f t="shared" si="2"/>
        <v>0</v>
      </c>
      <c r="I16" s="23">
        <f t="shared" si="0"/>
        <v>0</v>
      </c>
      <c r="J16" s="124">
        <f t="shared" si="1"/>
        <v>5.4738326018090085E-5</v>
      </c>
    </row>
    <row r="17" spans="1:10" x14ac:dyDescent="0.2">
      <c r="A17" s="107" t="s">
        <v>39</v>
      </c>
      <c r="B17" s="73">
        <f>IF($B$9="kWh",$B$4,$B$5)</f>
        <v>517</v>
      </c>
      <c r="C17" s="78">
        <f>VLOOKUP($B$3,'Data for Bill Impacts'!$A$3:$Y$15,10,0)</f>
        <v>0.1011</v>
      </c>
      <c r="D17" s="22">
        <f>B17*C17</f>
        <v>52.268699999999995</v>
      </c>
      <c r="E17" s="73">
        <f t="shared" si="3"/>
        <v>517</v>
      </c>
      <c r="F17" s="78">
        <f>VLOOKUP($B$3,'Data for Bill Impacts'!$A$3:$Y$15,19,0)</f>
        <v>0.1043</v>
      </c>
      <c r="G17" s="22">
        <f>E17*F17</f>
        <v>53.923100000000005</v>
      </c>
      <c r="H17" s="22">
        <f t="shared" si="2"/>
        <v>1.6544000000000096</v>
      </c>
      <c r="I17" s="23">
        <f t="shared" si="0"/>
        <v>3.1651829871414627E-2</v>
      </c>
      <c r="J17" s="124">
        <f t="shared" si="1"/>
        <v>0.4216657468151534</v>
      </c>
    </row>
    <row r="18" spans="1:10" s="1" customFormat="1" x14ac:dyDescent="0.2">
      <c r="A18" s="107" t="s">
        <v>121</v>
      </c>
      <c r="B18" s="73">
        <f>IF($B$9="kWh",$B$4,$B$5)</f>
        <v>517</v>
      </c>
      <c r="C18" s="125">
        <f>VLOOKUP($B$3,'Data for Bill Impacts'!$A$3:$Y$15,14,0)</f>
        <v>-9.9999999999999991E-6</v>
      </c>
      <c r="D18" s="22">
        <f>B18*C18</f>
        <v>-5.1699999999999992E-3</v>
      </c>
      <c r="E18" s="73">
        <f>B18</f>
        <v>517</v>
      </c>
      <c r="F18" s="125">
        <f>VLOOKUP($B$3,'Data for Bill Impacts'!$A$3:$Y$15,23,0)</f>
        <v>-9.9999999999999991E-6</v>
      </c>
      <c r="G18" s="22">
        <f>E18*F18</f>
        <v>-5.1699999999999992E-3</v>
      </c>
      <c r="H18" s="22">
        <f>G18-D18</f>
        <v>0</v>
      </c>
      <c r="I18" s="23">
        <f t="shared" si="0"/>
        <v>0</v>
      </c>
      <c r="J18" s="124">
        <f t="shared" si="1"/>
        <v>-4.0428163644789383E-5</v>
      </c>
    </row>
    <row r="19" spans="1:10" hidden="1" x14ac:dyDescent="0.2">
      <c r="A19" s="107" t="s">
        <v>108</v>
      </c>
      <c r="B19" s="73">
        <f>B8</f>
        <v>564.56400000000008</v>
      </c>
      <c r="C19" s="78">
        <f>VLOOKUP($B$3,'Data for Bill Impacts'!$A$3:$Y$15,20,0)</f>
        <v>0</v>
      </c>
      <c r="D19" s="22">
        <f>B19*C19</f>
        <v>0</v>
      </c>
      <c r="E19" s="73">
        <f t="shared" si="3"/>
        <v>564.56400000000008</v>
      </c>
      <c r="F19" s="78">
        <f>VLOOKUP($B$3,'Data for Bill Impacts'!$A$3:$Y$15,21,0)</f>
        <v>0</v>
      </c>
      <c r="G19" s="22">
        <f>E19*F19</f>
        <v>0</v>
      </c>
      <c r="H19" s="22">
        <f t="shared" si="2"/>
        <v>0</v>
      </c>
      <c r="I19" s="23" t="str">
        <f>IF(ISERROR(H19/ABS(D19)),"N/A",(H19/ABS(D19)))</f>
        <v>N/A</v>
      </c>
      <c r="J19" s="124">
        <f t="shared" si="1"/>
        <v>0</v>
      </c>
    </row>
    <row r="20" spans="1:10" x14ac:dyDescent="0.2">
      <c r="A20" s="110" t="s">
        <v>72</v>
      </c>
      <c r="B20" s="74"/>
      <c r="C20" s="35"/>
      <c r="D20" s="35">
        <f>SUM(D15:D19)</f>
        <v>56.470529999999997</v>
      </c>
      <c r="E20" s="73"/>
      <c r="F20" s="35"/>
      <c r="G20" s="35">
        <f>SUM(G15:G19)</f>
        <v>58.254930000000009</v>
      </c>
      <c r="H20" s="35">
        <f t="shared" si="2"/>
        <v>1.7844000000000122</v>
      </c>
      <c r="I20" s="36">
        <f>IF(ISERROR(H20/D20),0,(H20/D20))</f>
        <v>3.159878258624476E-2</v>
      </c>
      <c r="J20" s="111">
        <f t="shared" si="1"/>
        <v>0.45553962150014526</v>
      </c>
    </row>
    <row r="21" spans="1:10" s="1" customFormat="1" x14ac:dyDescent="0.2">
      <c r="A21" s="119" t="s">
        <v>81</v>
      </c>
      <c r="B21" s="120">
        <f>B8-B4</f>
        <v>47.564000000000078</v>
      </c>
      <c r="C21" s="172">
        <f>IF(B4&gt;B7,C13,C12)</f>
        <v>9.0999999999999998E-2</v>
      </c>
      <c r="D21" s="22">
        <f>B21*C21</f>
        <v>4.3283240000000074</v>
      </c>
      <c r="E21" s="73">
        <f>B21</f>
        <v>47.564000000000078</v>
      </c>
      <c r="F21" s="172">
        <f>C21</f>
        <v>9.0999999999999998E-2</v>
      </c>
      <c r="G21" s="22">
        <f>E21*F21</f>
        <v>4.3283240000000074</v>
      </c>
      <c r="H21" s="22">
        <f t="shared" si="2"/>
        <v>0</v>
      </c>
      <c r="I21" s="23">
        <f>IF(ISERROR(H21/D21),0,(H21/D21))</f>
        <v>0</v>
      </c>
      <c r="J21" s="124">
        <f t="shared" si="1"/>
        <v>3.3846458603417735E-2</v>
      </c>
    </row>
    <row r="22" spans="1:10" x14ac:dyDescent="0.2">
      <c r="A22" s="110" t="s">
        <v>79</v>
      </c>
      <c r="B22" s="74"/>
      <c r="C22" s="35"/>
      <c r="D22" s="35">
        <f>SUM(D20,D21:D21)</f>
        <v>60.798854000000006</v>
      </c>
      <c r="E22" s="73"/>
      <c r="F22" s="35"/>
      <c r="G22" s="35">
        <f>SUM(G20,G21:G21)</f>
        <v>62.583254000000018</v>
      </c>
      <c r="H22" s="35">
        <f t="shared" si="2"/>
        <v>1.7844000000000122</v>
      </c>
      <c r="I22" s="36">
        <f t="shared" ref="I22:I37" si="4">IF(ISERROR(H22/ABS(D22)),"N/A",(H22/ABS(D22)))</f>
        <v>2.934923740503418E-2</v>
      </c>
      <c r="J22" s="111">
        <f t="shared" si="1"/>
        <v>0.48938608010356305</v>
      </c>
    </row>
    <row r="23" spans="1:10" x14ac:dyDescent="0.2">
      <c r="A23" s="107" t="s">
        <v>40</v>
      </c>
      <c r="B23" s="73">
        <f>B8</f>
        <v>564.56400000000008</v>
      </c>
      <c r="C23" s="125">
        <f>VLOOKUP($B$3,'Data for Bill Impacts'!$A$3:$Y$15,15,0)</f>
        <v>4.6979999999999999E-3</v>
      </c>
      <c r="D23" s="22">
        <f>B23*C23</f>
        <v>2.6523216720000002</v>
      </c>
      <c r="E23" s="73">
        <f t="shared" si="3"/>
        <v>564.56400000000008</v>
      </c>
      <c r="F23" s="125">
        <f>VLOOKUP($B$3,'Data for Bill Impacts'!$A$3:$Y$15,24,0)</f>
        <v>4.6979999999999999E-3</v>
      </c>
      <c r="G23" s="22">
        <f>E23*F23</f>
        <v>2.6523216720000002</v>
      </c>
      <c r="H23" s="22">
        <f t="shared" si="2"/>
        <v>0</v>
      </c>
      <c r="I23" s="23">
        <f t="shared" si="4"/>
        <v>0</v>
      </c>
      <c r="J23" s="124">
        <f t="shared" si="1"/>
        <v>2.0740521198111685E-2</v>
      </c>
    </row>
    <row r="24" spans="1:10" s="1" customFormat="1" x14ac:dyDescent="0.2">
      <c r="A24" s="107" t="s">
        <v>41</v>
      </c>
      <c r="B24" s="73">
        <f>B8</f>
        <v>564.56400000000008</v>
      </c>
      <c r="C24" s="125">
        <f>VLOOKUP($B$3,'Data for Bill Impacts'!$A$3:$Y$15,16,0)</f>
        <v>4.2899999999999995E-3</v>
      </c>
      <c r="D24" s="22">
        <f>B24*C24</f>
        <v>2.42197956</v>
      </c>
      <c r="E24" s="73">
        <f t="shared" si="3"/>
        <v>564.56400000000008</v>
      </c>
      <c r="F24" s="125">
        <f>VLOOKUP($B$3,'Data for Bill Impacts'!$A$3:$Y$15,25,0)</f>
        <v>4.2899999999999995E-3</v>
      </c>
      <c r="G24" s="22">
        <f>E24*F24</f>
        <v>2.42197956</v>
      </c>
      <c r="H24" s="22">
        <f t="shared" si="2"/>
        <v>0</v>
      </c>
      <c r="I24" s="23">
        <f t="shared" si="4"/>
        <v>0</v>
      </c>
      <c r="J24" s="124">
        <f t="shared" si="1"/>
        <v>1.8939300966347196E-2</v>
      </c>
    </row>
    <row r="25" spans="1:10" s="1" customFormat="1" x14ac:dyDescent="0.2">
      <c r="A25" s="110" t="s">
        <v>76</v>
      </c>
      <c r="B25" s="74"/>
      <c r="C25" s="35"/>
      <c r="D25" s="35">
        <f>SUM(D23:D24)</f>
        <v>5.0743012319999998</v>
      </c>
      <c r="E25" s="73"/>
      <c r="F25" s="35"/>
      <c r="G25" s="35">
        <f>SUM(G23:G24)</f>
        <v>5.0743012319999998</v>
      </c>
      <c r="H25" s="35">
        <f t="shared" si="2"/>
        <v>0</v>
      </c>
      <c r="I25" s="36">
        <f t="shared" si="4"/>
        <v>0</v>
      </c>
      <c r="J25" s="111">
        <f t="shared" si="1"/>
        <v>3.9679822164458881E-2</v>
      </c>
    </row>
    <row r="26" spans="1:10" s="1" customFormat="1" x14ac:dyDescent="0.2">
      <c r="A26" s="110" t="s">
        <v>80</v>
      </c>
      <c r="B26" s="74"/>
      <c r="C26" s="35"/>
      <c r="D26" s="35">
        <f>D22+D25</f>
        <v>65.873155232000002</v>
      </c>
      <c r="E26" s="73"/>
      <c r="F26" s="35"/>
      <c r="G26" s="35">
        <f>G22+G25</f>
        <v>67.657555232000021</v>
      </c>
      <c r="H26" s="35">
        <f t="shared" si="2"/>
        <v>1.7844000000000193</v>
      </c>
      <c r="I26" s="36">
        <f t="shared" si="4"/>
        <v>2.7088424620249397E-2</v>
      </c>
      <c r="J26" s="111">
        <f t="shared" si="1"/>
        <v>0.52906590226802197</v>
      </c>
    </row>
    <row r="27" spans="1:10" x14ac:dyDescent="0.2">
      <c r="A27" s="107" t="s">
        <v>42</v>
      </c>
      <c r="B27" s="73">
        <f>B8</f>
        <v>564.56400000000008</v>
      </c>
      <c r="C27" s="34">
        <v>3.5999999999999999E-3</v>
      </c>
      <c r="D27" s="22">
        <f>B27*C27</f>
        <v>2.0324304000000004</v>
      </c>
      <c r="E27" s="73">
        <f t="shared" si="3"/>
        <v>564.56400000000008</v>
      </c>
      <c r="F27" s="34">
        <v>3.5999999999999999E-3</v>
      </c>
      <c r="G27" s="22">
        <f>E27*F27</f>
        <v>2.0324304000000004</v>
      </c>
      <c r="H27" s="22">
        <f t="shared" si="2"/>
        <v>0</v>
      </c>
      <c r="I27" s="23">
        <f t="shared" si="4"/>
        <v>0</v>
      </c>
      <c r="J27" s="124">
        <f t="shared" si="1"/>
        <v>1.5893119692039607E-2</v>
      </c>
    </row>
    <row r="28" spans="1:10" s="1" customFormat="1" x14ac:dyDescent="0.2">
      <c r="A28" s="107" t="s">
        <v>43</v>
      </c>
      <c r="B28" s="73">
        <f>B8</f>
        <v>564.56400000000008</v>
      </c>
      <c r="C28" s="34">
        <v>2.0999999999999999E-3</v>
      </c>
      <c r="D28" s="22">
        <f>B28*C28</f>
        <v>1.1855844</v>
      </c>
      <c r="E28" s="73">
        <f t="shared" si="3"/>
        <v>564.56400000000008</v>
      </c>
      <c r="F28" s="34">
        <v>2.0999999999999999E-3</v>
      </c>
      <c r="G28" s="22">
        <f>E28*F28</f>
        <v>1.1855844</v>
      </c>
      <c r="H28" s="22">
        <f>G28-D28</f>
        <v>0</v>
      </c>
      <c r="I28" s="23">
        <f t="shared" si="4"/>
        <v>0</v>
      </c>
      <c r="J28" s="124">
        <f t="shared" si="1"/>
        <v>9.2709864870231026E-3</v>
      </c>
    </row>
    <row r="29" spans="1:10" s="1" customFormat="1" x14ac:dyDescent="0.2">
      <c r="A29" s="107" t="s">
        <v>96</v>
      </c>
      <c r="B29" s="73">
        <f>B8</f>
        <v>564.56400000000008</v>
      </c>
      <c r="C29" s="34">
        <v>0</v>
      </c>
      <c r="D29" s="22">
        <f>B29*C29</f>
        <v>0</v>
      </c>
      <c r="E29" s="73">
        <f t="shared" si="3"/>
        <v>564.56400000000008</v>
      </c>
      <c r="F29" s="34">
        <v>0</v>
      </c>
      <c r="G29" s="22">
        <f>E29*F29</f>
        <v>0</v>
      </c>
      <c r="H29" s="22">
        <f>G29-D29</f>
        <v>0</v>
      </c>
      <c r="I29" s="23" t="str">
        <f t="shared" si="4"/>
        <v>N/A</v>
      </c>
      <c r="J29" s="124">
        <f>G29/$G$37</f>
        <v>0</v>
      </c>
    </row>
    <row r="30" spans="1:10" x14ac:dyDescent="0.2">
      <c r="A30" s="107" t="s">
        <v>44</v>
      </c>
      <c r="B30" s="73">
        <v>1</v>
      </c>
      <c r="C30" s="22">
        <v>0.25</v>
      </c>
      <c r="D30" s="22">
        <f>B30*C30</f>
        <v>0.25</v>
      </c>
      <c r="E30" s="73">
        <f t="shared" si="3"/>
        <v>1</v>
      </c>
      <c r="F30" s="22">
        <f>C30</f>
        <v>0.25</v>
      </c>
      <c r="G30" s="22">
        <f>E30*F30</f>
        <v>0.25</v>
      </c>
      <c r="H30" s="22">
        <f t="shared" si="2"/>
        <v>0</v>
      </c>
      <c r="I30" s="23">
        <f t="shared" si="4"/>
        <v>0</v>
      </c>
      <c r="J30" s="124">
        <f t="shared" ref="J30:J37" si="5">G30/$G$37</f>
        <v>1.9549402149317886E-3</v>
      </c>
    </row>
    <row r="31" spans="1:10" s="1" customFormat="1" x14ac:dyDescent="0.2">
      <c r="A31" s="110" t="s">
        <v>45</v>
      </c>
      <c r="B31" s="74"/>
      <c r="C31" s="35"/>
      <c r="D31" s="35">
        <f>SUM(D27:D30)</f>
        <v>3.4680148000000006</v>
      </c>
      <c r="E31" s="73"/>
      <c r="F31" s="35"/>
      <c r="G31" s="35">
        <f>SUM(G27:G30)</f>
        <v>3.4680148000000006</v>
      </c>
      <c r="H31" s="35">
        <f t="shared" si="2"/>
        <v>0</v>
      </c>
      <c r="I31" s="36">
        <f t="shared" si="4"/>
        <v>0</v>
      </c>
      <c r="J31" s="111">
        <f t="shared" si="5"/>
        <v>2.7119046393994501E-2</v>
      </c>
    </row>
    <row r="32" spans="1:10" ht="13.5" thickBot="1" x14ac:dyDescent="0.25">
      <c r="A32" s="112" t="s">
        <v>46</v>
      </c>
      <c r="B32" s="113">
        <f>B4</f>
        <v>517</v>
      </c>
      <c r="C32" s="114">
        <v>7.0000000000000001E-3</v>
      </c>
      <c r="D32" s="115">
        <f>B32*C32</f>
        <v>3.6190000000000002</v>
      </c>
      <c r="E32" s="116">
        <f t="shared" si="3"/>
        <v>517</v>
      </c>
      <c r="F32" s="114">
        <f>C32</f>
        <v>7.0000000000000001E-3</v>
      </c>
      <c r="G32" s="115">
        <f>E32*F32</f>
        <v>3.6190000000000002</v>
      </c>
      <c r="H32" s="115">
        <f t="shared" si="2"/>
        <v>0</v>
      </c>
      <c r="I32" s="117">
        <f t="shared" si="4"/>
        <v>0</v>
      </c>
      <c r="J32" s="118">
        <f t="shared" si="5"/>
        <v>2.8299714551352575E-2</v>
      </c>
    </row>
    <row r="33" spans="1:10" x14ac:dyDescent="0.2">
      <c r="A33" s="37" t="s">
        <v>111</v>
      </c>
      <c r="B33" s="38"/>
      <c r="C33" s="39"/>
      <c r="D33" s="39">
        <f>SUM(D14,D22,D25,D31,D32)</f>
        <v>120.007170032</v>
      </c>
      <c r="E33" s="38"/>
      <c r="F33" s="39"/>
      <c r="G33" s="39">
        <f>SUM(G14,G22,G25,G31,G32)</f>
        <v>121.79157003200001</v>
      </c>
      <c r="H33" s="39">
        <f t="shared" si="2"/>
        <v>1.7844000000000051</v>
      </c>
      <c r="I33" s="40">
        <f t="shared" si="4"/>
        <v>1.4869111566618839E-2</v>
      </c>
      <c r="J33" s="41">
        <f t="shared" si="5"/>
        <v>0.95238095238095233</v>
      </c>
    </row>
    <row r="34" spans="1:10" x14ac:dyDescent="0.2">
      <c r="A34" s="46" t="s">
        <v>102</v>
      </c>
      <c r="B34" s="43"/>
      <c r="C34" s="26">
        <v>0.13</v>
      </c>
      <c r="D34" s="26">
        <f>D33*C34</f>
        <v>15.600932104160002</v>
      </c>
      <c r="E34" s="26"/>
      <c r="F34" s="26">
        <f>C34</f>
        <v>0.13</v>
      </c>
      <c r="G34" s="26">
        <f>G33*F34</f>
        <v>15.832904104160002</v>
      </c>
      <c r="H34" s="26">
        <f t="shared" si="2"/>
        <v>0.23197200000000073</v>
      </c>
      <c r="I34" s="44">
        <f t="shared" si="4"/>
        <v>1.4869111566618843E-2</v>
      </c>
      <c r="J34" s="45">
        <f t="shared" si="5"/>
        <v>0.12380952380952381</v>
      </c>
    </row>
    <row r="35" spans="1:10" x14ac:dyDescent="0.2">
      <c r="A35" s="46" t="s">
        <v>103</v>
      </c>
      <c r="B35" s="24"/>
      <c r="C35" s="25"/>
      <c r="D35" s="25">
        <f>SUM(D33:D34)</f>
        <v>135.60810213616</v>
      </c>
      <c r="E35" s="25"/>
      <c r="F35" s="25"/>
      <c r="G35" s="25">
        <f>SUM(G33:G34)</f>
        <v>137.62447413616002</v>
      </c>
      <c r="H35" s="25">
        <f t="shared" si="2"/>
        <v>2.0163720000000183</v>
      </c>
      <c r="I35" s="27">
        <f t="shared" si="4"/>
        <v>1.4869111566618933E-2</v>
      </c>
      <c r="J35" s="47">
        <f t="shared" si="5"/>
        <v>1.0761904761904761</v>
      </c>
    </row>
    <row r="36" spans="1:10" x14ac:dyDescent="0.2">
      <c r="A36" s="46" t="s">
        <v>104</v>
      </c>
      <c r="B36" s="43"/>
      <c r="C36" s="26">
        <v>-0.08</v>
      </c>
      <c r="D36" s="26">
        <f>D33*C36</f>
        <v>-9.6005736025600008</v>
      </c>
      <c r="E36" s="26"/>
      <c r="F36" s="26">
        <f>C36</f>
        <v>-0.08</v>
      </c>
      <c r="G36" s="26">
        <f>G33*F36</f>
        <v>-9.7433256025600006</v>
      </c>
      <c r="H36" s="26">
        <f t="shared" si="2"/>
        <v>-0.14275199999999977</v>
      </c>
      <c r="I36" s="44">
        <f t="shared" si="4"/>
        <v>-1.4869111566618772E-2</v>
      </c>
      <c r="J36" s="45">
        <f t="shared" si="5"/>
        <v>-7.6190476190476183E-2</v>
      </c>
    </row>
    <row r="37" spans="1:10" ht="13.5" thickBot="1" x14ac:dyDescent="0.25">
      <c r="A37" s="48" t="s">
        <v>105</v>
      </c>
      <c r="B37" s="49"/>
      <c r="C37" s="50"/>
      <c r="D37" s="50">
        <f>SUM(D35:D36)</f>
        <v>126.0075285336</v>
      </c>
      <c r="E37" s="50"/>
      <c r="F37" s="50"/>
      <c r="G37" s="50">
        <f>SUM(G35:G36)</f>
        <v>127.88114853360001</v>
      </c>
      <c r="H37" s="50">
        <f t="shared" si="2"/>
        <v>1.8736200000000167</v>
      </c>
      <c r="I37" s="51">
        <f t="shared" si="4"/>
        <v>1.4869111566618931E-2</v>
      </c>
      <c r="J37" s="52">
        <f t="shared" si="5"/>
        <v>1</v>
      </c>
    </row>
    <row r="38" spans="1:10" x14ac:dyDescent="0.2">
      <c r="A38" s="170"/>
      <c r="D38" s="72"/>
      <c r="F38" s="69"/>
    </row>
    <row r="39" spans="1:10" x14ac:dyDescent="0.2">
      <c r="A39" s="170"/>
      <c r="F39" s="69"/>
    </row>
    <row r="40" spans="1:10" x14ac:dyDescent="0.2">
      <c r="A40" s="171"/>
      <c r="B40" s="71"/>
      <c r="F40" s="69"/>
    </row>
    <row r="41" spans="1:10" x14ac:dyDescent="0.2">
      <c r="A41" s="170"/>
      <c r="B41" s="72"/>
      <c r="D41" s="72"/>
      <c r="F41" s="69"/>
    </row>
    <row r="42" spans="1:10" x14ac:dyDescent="0.2">
      <c r="A42" s="170"/>
      <c r="F42" s="69"/>
    </row>
    <row r="43" spans="1:10" x14ac:dyDescent="0.2">
      <c r="A43" s="170"/>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scale="79"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1" tint="0.499984740745262"/>
    <pageSetUpPr fitToPage="1"/>
  </sheetPr>
  <dimension ref="A1:J48"/>
  <sheetViews>
    <sheetView tabSelected="1" view="pageLayout" topLeftCell="A10"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8" t="s">
        <v>120</v>
      </c>
      <c r="B1" s="189"/>
      <c r="C1" s="189"/>
      <c r="D1" s="189"/>
      <c r="E1" s="189"/>
      <c r="F1" s="189"/>
      <c r="G1" s="189"/>
      <c r="H1" s="189"/>
      <c r="I1" s="189"/>
      <c r="J1" s="190"/>
    </row>
    <row r="3" spans="1:10" x14ac:dyDescent="0.2">
      <c r="A3" s="13" t="s">
        <v>13</v>
      </c>
      <c r="B3" s="13" t="s">
        <v>8</v>
      </c>
    </row>
    <row r="4" spans="1:10" x14ac:dyDescent="0.2">
      <c r="A4" s="15" t="s">
        <v>62</v>
      </c>
      <c r="B4" s="15">
        <v>2000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 t="shared" ref="J12:J28" si="1">G12/$G$37</f>
        <v>0.13555798812859055</v>
      </c>
    </row>
    <row r="13" spans="1:10" x14ac:dyDescent="0.2">
      <c r="A13" s="107" t="s">
        <v>32</v>
      </c>
      <c r="B13" s="73">
        <f>IF(B4&gt;B7,(B4)-B7,0)</f>
        <v>1250</v>
      </c>
      <c r="C13" s="21">
        <v>0.106</v>
      </c>
      <c r="D13" s="22">
        <f>B13*C13</f>
        <v>132.5</v>
      </c>
      <c r="E13" s="73">
        <f>B13</f>
        <v>1250</v>
      </c>
      <c r="F13" s="21">
        <f>C13</f>
        <v>0.106</v>
      </c>
      <c r="G13" s="22">
        <f>E13*F13</f>
        <v>132.5</v>
      </c>
      <c r="H13" s="22">
        <f t="shared" ref="H13:H37" si="2">G13-D13</f>
        <v>0</v>
      </c>
      <c r="I13" s="23">
        <f t="shared" si="0"/>
        <v>0</v>
      </c>
      <c r="J13" s="124">
        <f t="shared" si="1"/>
        <v>0.26317118574415016</v>
      </c>
    </row>
    <row r="14" spans="1:10" s="1" customFormat="1" x14ac:dyDescent="0.2">
      <c r="A14" s="46" t="s">
        <v>33</v>
      </c>
      <c r="B14" s="24"/>
      <c r="C14" s="25"/>
      <c r="D14" s="25">
        <f>SUM(D12:D13)</f>
        <v>200.75</v>
      </c>
      <c r="E14" s="76"/>
      <c r="F14" s="25"/>
      <c r="G14" s="25">
        <f>SUM(G12:G13)</f>
        <v>200.75</v>
      </c>
      <c r="H14" s="25">
        <f t="shared" si="2"/>
        <v>0</v>
      </c>
      <c r="I14" s="27">
        <f t="shared" si="0"/>
        <v>0</v>
      </c>
      <c r="J14" s="47">
        <f t="shared" si="1"/>
        <v>0.39872917387274071</v>
      </c>
    </row>
    <row r="15" spans="1:10" x14ac:dyDescent="0.2">
      <c r="A15" s="107" t="s">
        <v>38</v>
      </c>
      <c r="B15" s="73">
        <v>1</v>
      </c>
      <c r="C15" s="121">
        <f>VLOOKUP($B$3,'Data for Bill Impacts'!$A$3:$Y$15,7,0)</f>
        <v>4.2</v>
      </c>
      <c r="D15" s="22">
        <f>B15*C15</f>
        <v>4.2</v>
      </c>
      <c r="E15" s="73">
        <f t="shared" ref="E15:E32" si="3">B15</f>
        <v>1</v>
      </c>
      <c r="F15" s="78">
        <f>VLOOKUP($B$3,'Data for Bill Impacts'!$A$3:$Y$15,17,0)</f>
        <v>4.33</v>
      </c>
      <c r="G15" s="22">
        <f>E15*F15</f>
        <v>4.33</v>
      </c>
      <c r="H15" s="22">
        <f t="shared" si="2"/>
        <v>0.12999999999999989</v>
      </c>
      <c r="I15" s="23">
        <f t="shared" si="0"/>
        <v>3.0952380952380926E-2</v>
      </c>
      <c r="J15" s="124">
        <f t="shared" si="1"/>
        <v>8.6002357303560008E-3</v>
      </c>
    </row>
    <row r="16" spans="1:10" x14ac:dyDescent="0.2">
      <c r="A16" s="107" t="s">
        <v>85</v>
      </c>
      <c r="B16" s="73">
        <v>1</v>
      </c>
      <c r="C16" s="121">
        <f>VLOOKUP($B$3,'Data for Bill Impacts'!$A$3:$Y$15,13,0)</f>
        <v>7.0000000000000001E-3</v>
      </c>
      <c r="D16" s="22">
        <f>B16*C16</f>
        <v>7.0000000000000001E-3</v>
      </c>
      <c r="E16" s="73">
        <f t="shared" si="3"/>
        <v>1</v>
      </c>
      <c r="F16" s="121">
        <f>VLOOKUP($B$3,'Data for Bill Impacts'!$A$3:$Y$15,22,0)</f>
        <v>7.0000000000000001E-3</v>
      </c>
      <c r="G16" s="22">
        <f>E16*F16</f>
        <v>7.0000000000000001E-3</v>
      </c>
      <c r="H16" s="22">
        <f t="shared" si="2"/>
        <v>0</v>
      </c>
      <c r="I16" s="23">
        <f t="shared" si="0"/>
        <v>0</v>
      </c>
      <c r="J16" s="124">
        <f t="shared" si="1"/>
        <v>1.3903383397804158E-5</v>
      </c>
    </row>
    <row r="17" spans="1:10" x14ac:dyDescent="0.2">
      <c r="A17" s="107" t="s">
        <v>39</v>
      </c>
      <c r="B17" s="73">
        <f>IF($B$9="kWh",$B$4,$B$5)</f>
        <v>2000</v>
      </c>
      <c r="C17" s="78">
        <f>VLOOKUP($B$3,'Data for Bill Impacts'!$A$3:$Y$15,10,0)</f>
        <v>0.1011</v>
      </c>
      <c r="D17" s="22">
        <f>B17*C17</f>
        <v>202.2</v>
      </c>
      <c r="E17" s="73">
        <f t="shared" si="3"/>
        <v>2000</v>
      </c>
      <c r="F17" s="78">
        <f>VLOOKUP($B$3,'Data for Bill Impacts'!$A$3:$Y$15,19,0)</f>
        <v>0.1043</v>
      </c>
      <c r="G17" s="22">
        <f>E17*F17</f>
        <v>208.6</v>
      </c>
      <c r="H17" s="22">
        <f t="shared" si="2"/>
        <v>6.4000000000000057</v>
      </c>
      <c r="I17" s="23">
        <f t="shared" si="0"/>
        <v>3.1651829871414468E-2</v>
      </c>
      <c r="J17" s="124">
        <f t="shared" si="1"/>
        <v>0.41432082525456393</v>
      </c>
    </row>
    <row r="18" spans="1:10" s="1" customFormat="1" x14ac:dyDescent="0.2">
      <c r="A18" s="107" t="s">
        <v>121</v>
      </c>
      <c r="B18" s="73">
        <f>IF($B$9="kWh",$B$4,$B$5)</f>
        <v>2000</v>
      </c>
      <c r="C18" s="125">
        <f>VLOOKUP($B$3,'Data for Bill Impacts'!$A$3:$Y$15,14,0)</f>
        <v>-9.9999999999999991E-6</v>
      </c>
      <c r="D18" s="22">
        <f>B18*C18</f>
        <v>-1.9999999999999997E-2</v>
      </c>
      <c r="E18" s="73">
        <f>B18</f>
        <v>2000</v>
      </c>
      <c r="F18" s="125">
        <f>VLOOKUP($B$3,'Data for Bill Impacts'!$A$3:$Y$15,23,0)</f>
        <v>-9.9999999999999991E-6</v>
      </c>
      <c r="G18" s="22">
        <f>E18*F18</f>
        <v>-1.9999999999999997E-2</v>
      </c>
      <c r="H18" s="22">
        <f>G18-D18</f>
        <v>0</v>
      </c>
      <c r="I18" s="23">
        <f t="shared" si="0"/>
        <v>0</v>
      </c>
      <c r="J18" s="124">
        <f t="shared" si="1"/>
        <v>-3.9723952565154731E-5</v>
      </c>
    </row>
    <row r="19" spans="1:10" hidden="1" x14ac:dyDescent="0.2">
      <c r="A19" s="107" t="s">
        <v>108</v>
      </c>
      <c r="B19" s="73">
        <f>B8</f>
        <v>2184</v>
      </c>
      <c r="C19" s="78">
        <f>VLOOKUP($B$3,'Data for Bill Impacts'!$A$3:$Y$15,20,0)</f>
        <v>0</v>
      </c>
      <c r="D19" s="22">
        <f>B19*C19</f>
        <v>0</v>
      </c>
      <c r="E19" s="73">
        <f t="shared" si="3"/>
        <v>2184</v>
      </c>
      <c r="F19" s="78">
        <f>VLOOKUP($B$3,'Data for Bill Impacts'!$A$3:$Y$15,21,0)</f>
        <v>0</v>
      </c>
      <c r="G19" s="22">
        <f>E19*F19</f>
        <v>0</v>
      </c>
      <c r="H19" s="22">
        <f t="shared" si="2"/>
        <v>0</v>
      </c>
      <c r="I19" s="23" t="str">
        <f>IF(ISERROR(H19/ABS(D19)),"N/A",(H19/ABS(D19)))</f>
        <v>N/A</v>
      </c>
      <c r="J19" s="124">
        <f t="shared" si="1"/>
        <v>0</v>
      </c>
    </row>
    <row r="20" spans="1:10" x14ac:dyDescent="0.2">
      <c r="A20" s="110" t="s">
        <v>72</v>
      </c>
      <c r="B20" s="74"/>
      <c r="C20" s="35"/>
      <c r="D20" s="35">
        <f>SUM(D15:D19)</f>
        <v>206.38699999999997</v>
      </c>
      <c r="E20" s="73"/>
      <c r="F20" s="35"/>
      <c r="G20" s="35">
        <f>SUM(G15:G19)</f>
        <v>212.91699999999997</v>
      </c>
      <c r="H20" s="35">
        <f t="shared" si="2"/>
        <v>6.5300000000000011</v>
      </c>
      <c r="I20" s="36">
        <f>IF(ISERROR(H20/D20),0,(H20/D20))</f>
        <v>3.1639589702839824E-2</v>
      </c>
      <c r="J20" s="111">
        <f t="shared" si="1"/>
        <v>0.42289524041575249</v>
      </c>
    </row>
    <row r="21" spans="1:10" s="1" customFormat="1" x14ac:dyDescent="0.2">
      <c r="A21" s="119" t="s">
        <v>81</v>
      </c>
      <c r="B21" s="120">
        <f>B8-B4</f>
        <v>184</v>
      </c>
      <c r="C21" s="172">
        <f>IF(B4&gt;B7,C13,C12)</f>
        <v>0.106</v>
      </c>
      <c r="D21" s="22">
        <f>B21*C21</f>
        <v>19.503999999999998</v>
      </c>
      <c r="E21" s="73">
        <f>B21</f>
        <v>184</v>
      </c>
      <c r="F21" s="172">
        <f>C21</f>
        <v>0.106</v>
      </c>
      <c r="G21" s="22">
        <f>E21*F21</f>
        <v>19.503999999999998</v>
      </c>
      <c r="H21" s="22">
        <f t="shared" si="2"/>
        <v>0</v>
      </c>
      <c r="I21" s="23">
        <f>IF(ISERROR(H21/D21),0,(H21/D21))</f>
        <v>0</v>
      </c>
      <c r="J21" s="124">
        <f t="shared" si="1"/>
        <v>3.8738798541538895E-2</v>
      </c>
    </row>
    <row r="22" spans="1:10" x14ac:dyDescent="0.2">
      <c r="A22" s="110" t="s">
        <v>79</v>
      </c>
      <c r="B22" s="74"/>
      <c r="C22" s="35"/>
      <c r="D22" s="35">
        <f>SUM(D20,D21:D21)</f>
        <v>225.89099999999996</v>
      </c>
      <c r="E22" s="73"/>
      <c r="F22" s="35"/>
      <c r="G22" s="35">
        <f>SUM(G20,G21:G21)</f>
        <v>232.42099999999996</v>
      </c>
      <c r="H22" s="35">
        <f t="shared" si="2"/>
        <v>6.5300000000000011</v>
      </c>
      <c r="I22" s="36">
        <f t="shared" ref="I22:I37" si="4">IF(ISERROR(H22/ABS(D22)),"N/A",(H22/ABS(D22)))</f>
        <v>2.8907747541956085E-2</v>
      </c>
      <c r="J22" s="111">
        <f t="shared" si="1"/>
        <v>0.46163403895729138</v>
      </c>
    </row>
    <row r="23" spans="1:10" x14ac:dyDescent="0.2">
      <c r="A23" s="107" t="s">
        <v>40</v>
      </c>
      <c r="B23" s="73">
        <f>B8</f>
        <v>2184</v>
      </c>
      <c r="C23" s="125">
        <f>VLOOKUP($B$3,'Data for Bill Impacts'!$A$3:$Y$15,15,0)</f>
        <v>4.6979999999999999E-3</v>
      </c>
      <c r="D23" s="22">
        <f>B23*C23</f>
        <v>10.260432</v>
      </c>
      <c r="E23" s="73">
        <f t="shared" si="3"/>
        <v>2184</v>
      </c>
      <c r="F23" s="125">
        <f>VLOOKUP($B$3,'Data for Bill Impacts'!$A$3:$Y$15,24,0)</f>
        <v>4.6979999999999999E-3</v>
      </c>
      <c r="G23" s="22">
        <f>E23*F23</f>
        <v>10.260432</v>
      </c>
      <c r="H23" s="22">
        <f t="shared" si="2"/>
        <v>0</v>
      </c>
      <c r="I23" s="23">
        <f t="shared" si="4"/>
        <v>0</v>
      </c>
      <c r="J23" s="124">
        <f t="shared" si="1"/>
        <v>2.0379245703299787E-2</v>
      </c>
    </row>
    <row r="24" spans="1:10" s="1" customFormat="1" x14ac:dyDescent="0.2">
      <c r="A24" s="107" t="s">
        <v>41</v>
      </c>
      <c r="B24" s="73">
        <f>B8</f>
        <v>2184</v>
      </c>
      <c r="C24" s="125">
        <f>VLOOKUP($B$3,'Data for Bill Impacts'!$A$3:$Y$15,16,0)</f>
        <v>4.2899999999999995E-3</v>
      </c>
      <c r="D24" s="22">
        <f>B24*C24</f>
        <v>9.3693599999999986</v>
      </c>
      <c r="E24" s="73">
        <f t="shared" si="3"/>
        <v>2184</v>
      </c>
      <c r="F24" s="125">
        <f>VLOOKUP($B$3,'Data for Bill Impacts'!$A$3:$Y$15,25,0)</f>
        <v>4.2899999999999995E-3</v>
      </c>
      <c r="G24" s="22">
        <f>E24*F24</f>
        <v>9.3693599999999986</v>
      </c>
      <c r="H24" s="22">
        <f t="shared" si="2"/>
        <v>0</v>
      </c>
      <c r="I24" s="23">
        <f t="shared" si="4"/>
        <v>0</v>
      </c>
      <c r="J24" s="124">
        <f t="shared" si="1"/>
        <v>1.8609400610292908E-2</v>
      </c>
    </row>
    <row r="25" spans="1:10" s="1" customFormat="1" x14ac:dyDescent="0.2">
      <c r="A25" s="110" t="s">
        <v>76</v>
      </c>
      <c r="B25" s="74"/>
      <c r="C25" s="35"/>
      <c r="D25" s="35">
        <f>SUM(D23:D24)</f>
        <v>19.629791999999998</v>
      </c>
      <c r="E25" s="73"/>
      <c r="F25" s="35"/>
      <c r="G25" s="35">
        <f>SUM(G23:G24)</f>
        <v>19.629791999999998</v>
      </c>
      <c r="H25" s="35">
        <f t="shared" si="2"/>
        <v>0</v>
      </c>
      <c r="I25" s="36">
        <f t="shared" si="4"/>
        <v>0</v>
      </c>
      <c r="J25" s="111">
        <f t="shared" si="1"/>
        <v>3.8988646313592695E-2</v>
      </c>
    </row>
    <row r="26" spans="1:10" s="1" customFormat="1" x14ac:dyDescent="0.2">
      <c r="A26" s="110" t="s">
        <v>80</v>
      </c>
      <c r="B26" s="74"/>
      <c r="C26" s="35"/>
      <c r="D26" s="35">
        <f>D22+D25</f>
        <v>245.52079199999997</v>
      </c>
      <c r="E26" s="73"/>
      <c r="F26" s="35"/>
      <c r="G26" s="35">
        <f>G22+G25</f>
        <v>252.05079199999997</v>
      </c>
      <c r="H26" s="35">
        <f t="shared" si="2"/>
        <v>6.5300000000000011</v>
      </c>
      <c r="I26" s="36">
        <f t="shared" si="4"/>
        <v>2.6596525478787155E-2</v>
      </c>
      <c r="J26" s="111">
        <f t="shared" si="1"/>
        <v>0.50062268527088416</v>
      </c>
    </row>
    <row r="27" spans="1:10" x14ac:dyDescent="0.2">
      <c r="A27" s="107" t="s">
        <v>42</v>
      </c>
      <c r="B27" s="73">
        <f>B8</f>
        <v>2184</v>
      </c>
      <c r="C27" s="34">
        <v>3.5999999999999999E-3</v>
      </c>
      <c r="D27" s="22">
        <f>B27*C27</f>
        <v>7.8624000000000001</v>
      </c>
      <c r="E27" s="73">
        <f t="shared" si="3"/>
        <v>2184</v>
      </c>
      <c r="F27" s="34">
        <v>3.5999999999999999E-3</v>
      </c>
      <c r="G27" s="22">
        <f>E27*F27</f>
        <v>7.8624000000000001</v>
      </c>
      <c r="H27" s="22">
        <f t="shared" si="2"/>
        <v>0</v>
      </c>
      <c r="I27" s="23">
        <f t="shared" si="4"/>
        <v>0</v>
      </c>
      <c r="J27" s="124">
        <f t="shared" si="1"/>
        <v>1.561628023241363E-2</v>
      </c>
    </row>
    <row r="28" spans="1:10" s="1" customFormat="1" x14ac:dyDescent="0.2">
      <c r="A28" s="107" t="s">
        <v>43</v>
      </c>
      <c r="B28" s="73">
        <f>B8</f>
        <v>2184</v>
      </c>
      <c r="C28" s="34">
        <v>2.0999999999999999E-3</v>
      </c>
      <c r="D28" s="22">
        <f>B28*C28</f>
        <v>4.5863999999999994</v>
      </c>
      <c r="E28" s="73">
        <f t="shared" si="3"/>
        <v>2184</v>
      </c>
      <c r="F28" s="34">
        <v>2.0999999999999999E-3</v>
      </c>
      <c r="G28" s="22">
        <f>E28*F28</f>
        <v>4.5863999999999994</v>
      </c>
      <c r="H28" s="22">
        <f>G28-D28</f>
        <v>0</v>
      </c>
      <c r="I28" s="23">
        <f t="shared" si="4"/>
        <v>0</v>
      </c>
      <c r="J28" s="124">
        <f t="shared" si="1"/>
        <v>9.1094968022412837E-3</v>
      </c>
    </row>
    <row r="29" spans="1:10" s="1" customFormat="1" x14ac:dyDescent="0.2">
      <c r="A29" s="107" t="s">
        <v>96</v>
      </c>
      <c r="B29" s="73">
        <f>B8</f>
        <v>2184</v>
      </c>
      <c r="C29" s="34">
        <v>0</v>
      </c>
      <c r="D29" s="22">
        <f>B29*C29</f>
        <v>0</v>
      </c>
      <c r="E29" s="73">
        <f t="shared" si="3"/>
        <v>2184</v>
      </c>
      <c r="F29" s="34">
        <v>0</v>
      </c>
      <c r="G29" s="22">
        <f>E29*F29</f>
        <v>0</v>
      </c>
      <c r="H29" s="22">
        <f>G29-D29</f>
        <v>0</v>
      </c>
      <c r="I29" s="23" t="str">
        <f t="shared" si="4"/>
        <v>N/A</v>
      </c>
      <c r="J29" s="124">
        <f>G29/$G$37</f>
        <v>0</v>
      </c>
    </row>
    <row r="30" spans="1:10" x14ac:dyDescent="0.2">
      <c r="A30" s="107" t="s">
        <v>44</v>
      </c>
      <c r="B30" s="73">
        <v>1</v>
      </c>
      <c r="C30" s="22">
        <v>0.25</v>
      </c>
      <c r="D30" s="22">
        <f>B30*C30</f>
        <v>0.25</v>
      </c>
      <c r="E30" s="73">
        <f t="shared" si="3"/>
        <v>1</v>
      </c>
      <c r="F30" s="22">
        <f>C30</f>
        <v>0.25</v>
      </c>
      <c r="G30" s="22">
        <f>E30*F30</f>
        <v>0.25</v>
      </c>
      <c r="H30" s="22">
        <f t="shared" si="2"/>
        <v>0</v>
      </c>
      <c r="I30" s="23">
        <f t="shared" si="4"/>
        <v>0</v>
      </c>
      <c r="J30" s="124">
        <f t="shared" ref="J30:J37" si="5">G30/$G$37</f>
        <v>4.9654940706443424E-4</v>
      </c>
    </row>
    <row r="31" spans="1:10" s="1" customFormat="1" x14ac:dyDescent="0.2">
      <c r="A31" s="110" t="s">
        <v>45</v>
      </c>
      <c r="B31" s="74"/>
      <c r="C31" s="35"/>
      <c r="D31" s="35">
        <f>SUM(D27:D30)</f>
        <v>12.698799999999999</v>
      </c>
      <c r="E31" s="73"/>
      <c r="F31" s="35"/>
      <c r="G31" s="35">
        <f>SUM(G27:G30)</f>
        <v>12.698799999999999</v>
      </c>
      <c r="H31" s="35">
        <f t="shared" si="2"/>
        <v>0</v>
      </c>
      <c r="I31" s="36">
        <f t="shared" si="4"/>
        <v>0</v>
      </c>
      <c r="J31" s="111">
        <f t="shared" si="5"/>
        <v>2.5222326441719345E-2</v>
      </c>
    </row>
    <row r="32" spans="1:10" ht="13.5" thickBot="1" x14ac:dyDescent="0.25">
      <c r="A32" s="112" t="s">
        <v>46</v>
      </c>
      <c r="B32" s="113">
        <f>B4</f>
        <v>2000</v>
      </c>
      <c r="C32" s="114">
        <v>7.0000000000000001E-3</v>
      </c>
      <c r="D32" s="115">
        <f>B32*C32</f>
        <v>14</v>
      </c>
      <c r="E32" s="116">
        <f t="shared" si="3"/>
        <v>2000</v>
      </c>
      <c r="F32" s="114">
        <f>C32</f>
        <v>7.0000000000000001E-3</v>
      </c>
      <c r="G32" s="115">
        <f>E32*F32</f>
        <v>14</v>
      </c>
      <c r="H32" s="115">
        <f t="shared" si="2"/>
        <v>0</v>
      </c>
      <c r="I32" s="117">
        <f t="shared" si="4"/>
        <v>0</v>
      </c>
      <c r="J32" s="118">
        <f t="shared" si="5"/>
        <v>2.7806766795608315E-2</v>
      </c>
    </row>
    <row r="33" spans="1:10" x14ac:dyDescent="0.2">
      <c r="A33" s="37" t="s">
        <v>111</v>
      </c>
      <c r="B33" s="38"/>
      <c r="C33" s="39"/>
      <c r="D33" s="39">
        <f>SUM(D14,D22,D25,D31,D32)</f>
        <v>472.96959199999998</v>
      </c>
      <c r="E33" s="38"/>
      <c r="F33" s="39"/>
      <c r="G33" s="39">
        <f>SUM(G14,G22,G25,G31,G32)</f>
        <v>479.49959199999995</v>
      </c>
      <c r="H33" s="39">
        <f t="shared" si="2"/>
        <v>6.5299999999999727</v>
      </c>
      <c r="I33" s="40">
        <f t="shared" si="4"/>
        <v>1.3806384407055016E-2</v>
      </c>
      <c r="J33" s="41">
        <f t="shared" si="5"/>
        <v>0.95238095238095244</v>
      </c>
    </row>
    <row r="34" spans="1:10" x14ac:dyDescent="0.2">
      <c r="A34" s="46" t="s">
        <v>102</v>
      </c>
      <c r="B34" s="43"/>
      <c r="C34" s="26">
        <v>0.13</v>
      </c>
      <c r="D34" s="26">
        <f>D33*C34</f>
        <v>61.486046959999996</v>
      </c>
      <c r="E34" s="26"/>
      <c r="F34" s="26">
        <f>C34</f>
        <v>0.13</v>
      </c>
      <c r="G34" s="26">
        <f>G33*F34</f>
        <v>62.334946959999996</v>
      </c>
      <c r="H34" s="26">
        <f t="shared" si="2"/>
        <v>0.84890000000000043</v>
      </c>
      <c r="I34" s="44">
        <f t="shared" si="4"/>
        <v>1.3806384407055082E-2</v>
      </c>
      <c r="J34" s="45">
        <f t="shared" si="5"/>
        <v>0.12380952380952381</v>
      </c>
    </row>
    <row r="35" spans="1:10" x14ac:dyDescent="0.2">
      <c r="A35" s="46" t="s">
        <v>103</v>
      </c>
      <c r="B35" s="24"/>
      <c r="C35" s="25"/>
      <c r="D35" s="25">
        <f>SUM(D33:D34)</f>
        <v>534.45563895999999</v>
      </c>
      <c r="E35" s="25"/>
      <c r="F35" s="25"/>
      <c r="G35" s="25">
        <f>SUM(G33:G34)</f>
        <v>541.83453895999992</v>
      </c>
      <c r="H35" s="25">
        <f t="shared" si="2"/>
        <v>7.3788999999999305</v>
      </c>
      <c r="I35" s="27">
        <f t="shared" si="4"/>
        <v>1.3806384407054943E-2</v>
      </c>
      <c r="J35" s="47">
        <f t="shared" si="5"/>
        <v>1.0761904761904761</v>
      </c>
    </row>
    <row r="36" spans="1:10" x14ac:dyDescent="0.2">
      <c r="A36" s="46" t="s">
        <v>104</v>
      </c>
      <c r="B36" s="43"/>
      <c r="C36" s="26">
        <v>-0.08</v>
      </c>
      <c r="D36" s="26">
        <f>D33*C36</f>
        <v>-37.837567360000001</v>
      </c>
      <c r="E36" s="26"/>
      <c r="F36" s="26">
        <f>C36</f>
        <v>-0.08</v>
      </c>
      <c r="G36" s="26">
        <f>G33*F36</f>
        <v>-38.359967359999999</v>
      </c>
      <c r="H36" s="26">
        <f t="shared" si="2"/>
        <v>-0.52239999999999753</v>
      </c>
      <c r="I36" s="44">
        <f t="shared" si="4"/>
        <v>-1.3806384407055007E-2</v>
      </c>
      <c r="J36" s="45">
        <f t="shared" si="5"/>
        <v>-7.6190476190476197E-2</v>
      </c>
    </row>
    <row r="37" spans="1:10" ht="13.5" thickBot="1" x14ac:dyDescent="0.25">
      <c r="A37" s="48" t="s">
        <v>105</v>
      </c>
      <c r="B37" s="49"/>
      <c r="C37" s="50"/>
      <c r="D37" s="50">
        <f>SUM(D35:D36)</f>
        <v>496.61807160000001</v>
      </c>
      <c r="E37" s="50"/>
      <c r="F37" s="50"/>
      <c r="G37" s="50">
        <f>SUM(G35:G36)</f>
        <v>503.47457159999993</v>
      </c>
      <c r="H37" s="50">
        <f t="shared" si="2"/>
        <v>6.8564999999999259</v>
      </c>
      <c r="I37" s="51">
        <f t="shared" si="4"/>
        <v>1.3806384407054924E-2</v>
      </c>
      <c r="J37" s="52">
        <f t="shared" si="5"/>
        <v>1</v>
      </c>
    </row>
    <row r="38" spans="1:10" x14ac:dyDescent="0.2">
      <c r="A38" s="170"/>
      <c r="D38" s="72"/>
      <c r="F38" s="69"/>
    </row>
    <row r="39" spans="1:10" x14ac:dyDescent="0.2">
      <c r="A39" s="170"/>
      <c r="F39" s="69"/>
    </row>
    <row r="40" spans="1:10" x14ac:dyDescent="0.2">
      <c r="A40" s="171"/>
      <c r="B40" s="71"/>
      <c r="F40" s="69"/>
    </row>
    <row r="41" spans="1:10" x14ac:dyDescent="0.2">
      <c r="A41" s="170"/>
      <c r="B41" s="72"/>
      <c r="D41" s="72"/>
      <c r="F41" s="69"/>
    </row>
    <row r="42" spans="1:10" x14ac:dyDescent="0.2">
      <c r="A42" s="170"/>
      <c r="F42" s="69"/>
    </row>
    <row r="43" spans="1:10" x14ac:dyDescent="0.2">
      <c r="A43" s="170"/>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1.05" footer="0.3"/>
  <pageSetup scale="79"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tint="0.499984740745262"/>
    <pageSetUpPr fitToPage="1"/>
  </sheetPr>
  <dimension ref="A1:K68"/>
  <sheetViews>
    <sheetView tabSelected="1" view="pageLayout"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119</v>
      </c>
      <c r="B1" s="189"/>
      <c r="C1" s="189"/>
      <c r="D1" s="189"/>
      <c r="E1" s="189"/>
      <c r="F1" s="189"/>
      <c r="G1" s="189"/>
      <c r="H1" s="189"/>
      <c r="I1" s="189"/>
      <c r="J1" s="189"/>
      <c r="K1" s="190"/>
    </row>
    <row r="3" spans="1:11" x14ac:dyDescent="0.2">
      <c r="A3" s="13" t="s">
        <v>13</v>
      </c>
      <c r="B3" s="13" t="s">
        <v>0</v>
      </c>
    </row>
    <row r="4" spans="1:11" x14ac:dyDescent="0.2">
      <c r="A4" s="15" t="s">
        <v>62</v>
      </c>
      <c r="B4" s="15">
        <f>VLOOKUP(B3,'Data for Bill Impacts'!$A$19:$D$31,3,FALSE)</f>
        <v>755</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7">
        <f>B4*B6</f>
        <v>798.03499999999997</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0.40484277029422994</v>
      </c>
      <c r="K12" s="106"/>
    </row>
    <row r="13" spans="1:11" x14ac:dyDescent="0.2">
      <c r="A13" s="107" t="s">
        <v>32</v>
      </c>
      <c r="B13" s="73">
        <f>IF(B4&gt;B7,(B4)-B7,0)</f>
        <v>155</v>
      </c>
      <c r="C13" s="21">
        <v>0.106</v>
      </c>
      <c r="D13" s="22">
        <f>B13*C13</f>
        <v>16.43</v>
      </c>
      <c r="E13" s="73">
        <f>B13</f>
        <v>155</v>
      </c>
      <c r="F13" s="21">
        <f>C13</f>
        <v>0.106</v>
      </c>
      <c r="G13" s="22">
        <f>E13*F13</f>
        <v>16.43</v>
      </c>
      <c r="H13" s="22">
        <f t="shared" ref="H13:H46" si="1">G13-D13</f>
        <v>0</v>
      </c>
      <c r="I13" s="23">
        <f t="shared" si="0"/>
        <v>0</v>
      </c>
      <c r="J13" s="23">
        <f>G13/$G$46</f>
        <v>0.12182356622590106</v>
      </c>
      <c r="K13" s="108"/>
    </row>
    <row r="14" spans="1:11" s="1" customFormat="1" x14ac:dyDescent="0.2">
      <c r="A14" s="46" t="s">
        <v>33</v>
      </c>
      <c r="B14" s="24"/>
      <c r="C14" s="25"/>
      <c r="D14" s="25">
        <f>SUM(D12:D13)</f>
        <v>71.03</v>
      </c>
      <c r="E14" s="76"/>
      <c r="F14" s="25"/>
      <c r="G14" s="25">
        <f>SUM(G12:G13)</f>
        <v>71.03</v>
      </c>
      <c r="H14" s="25">
        <f t="shared" si="1"/>
        <v>0</v>
      </c>
      <c r="I14" s="27">
        <f t="shared" si="0"/>
        <v>0</v>
      </c>
      <c r="J14" s="27">
        <f>G14/$G$46</f>
        <v>0.52666633652013106</v>
      </c>
      <c r="K14" s="108"/>
    </row>
    <row r="15" spans="1:11" s="1" customFormat="1" x14ac:dyDescent="0.2">
      <c r="A15" s="109" t="s">
        <v>34</v>
      </c>
      <c r="B15" s="75">
        <f>B4*0.65</f>
        <v>490.75</v>
      </c>
      <c r="C15" s="28">
        <v>7.6999999999999999E-2</v>
      </c>
      <c r="D15" s="22">
        <f>B15*C15</f>
        <v>37.787750000000003</v>
      </c>
      <c r="E15" s="73">
        <f t="shared" ref="E15:F17" si="2">B15</f>
        <v>490.75</v>
      </c>
      <c r="F15" s="28">
        <f t="shared" si="2"/>
        <v>7.6999999999999999E-2</v>
      </c>
      <c r="G15" s="22">
        <f>E15*F15</f>
        <v>37.787750000000003</v>
      </c>
      <c r="H15" s="22">
        <f t="shared" si="1"/>
        <v>0</v>
      </c>
      <c r="I15" s="23">
        <f t="shared" si="0"/>
        <v>0</v>
      </c>
      <c r="J15" s="23"/>
      <c r="K15" s="108">
        <f t="shared" ref="K15:K26" si="3">G15/$G$51</f>
        <v>0.27539789592522601</v>
      </c>
    </row>
    <row r="16" spans="1:11" s="1" customFormat="1" x14ac:dyDescent="0.2">
      <c r="A16" s="109" t="s">
        <v>35</v>
      </c>
      <c r="B16" s="75">
        <f>B4*0.17</f>
        <v>128.35000000000002</v>
      </c>
      <c r="C16" s="28">
        <v>0.113</v>
      </c>
      <c r="D16" s="22">
        <f>B16*C16</f>
        <v>14.503550000000002</v>
      </c>
      <c r="E16" s="73">
        <f t="shared" si="2"/>
        <v>128.35000000000002</v>
      </c>
      <c r="F16" s="28">
        <f t="shared" si="2"/>
        <v>0.113</v>
      </c>
      <c r="G16" s="22">
        <f>E16*F16</f>
        <v>14.503550000000002</v>
      </c>
      <c r="H16" s="22">
        <f t="shared" si="1"/>
        <v>0</v>
      </c>
      <c r="I16" s="23">
        <f t="shared" si="0"/>
        <v>0</v>
      </c>
      <c r="J16" s="23"/>
      <c r="K16" s="108">
        <f t="shared" si="3"/>
        <v>0.10570216944502682</v>
      </c>
    </row>
    <row r="17" spans="1:11" s="1" customFormat="1" x14ac:dyDescent="0.2">
      <c r="A17" s="109" t="s">
        <v>36</v>
      </c>
      <c r="B17" s="75">
        <f>B4*0.18</f>
        <v>135.9</v>
      </c>
      <c r="C17" s="28">
        <v>0.157</v>
      </c>
      <c r="D17" s="22">
        <f>B17*C17</f>
        <v>21.336300000000001</v>
      </c>
      <c r="E17" s="73">
        <f t="shared" si="2"/>
        <v>135.9</v>
      </c>
      <c r="F17" s="28">
        <f t="shared" si="2"/>
        <v>0.157</v>
      </c>
      <c r="G17" s="22">
        <f>E17*F17</f>
        <v>21.336300000000001</v>
      </c>
      <c r="H17" s="22">
        <f t="shared" si="1"/>
        <v>0</v>
      </c>
      <c r="I17" s="23">
        <f t="shared" si="0"/>
        <v>0</v>
      </c>
      <c r="J17" s="23"/>
      <c r="K17" s="108">
        <f t="shared" si="3"/>
        <v>0.15549939138555219</v>
      </c>
    </row>
    <row r="18" spans="1:11" s="1" customFormat="1" x14ac:dyDescent="0.2">
      <c r="A18" s="61" t="s">
        <v>37</v>
      </c>
      <c r="B18" s="29"/>
      <c r="C18" s="30"/>
      <c r="D18" s="30">
        <f>SUM(D15:D17)</f>
        <v>73.627600000000001</v>
      </c>
      <c r="E18" s="77"/>
      <c r="F18" s="30"/>
      <c r="G18" s="30">
        <f>SUM(G15:G17)</f>
        <v>73.627600000000001</v>
      </c>
      <c r="H18" s="31">
        <f t="shared" si="1"/>
        <v>0</v>
      </c>
      <c r="I18" s="32">
        <f t="shared" si="0"/>
        <v>0</v>
      </c>
      <c r="J18" s="33">
        <f t="shared" ref="J18:J26" si="4">G18/$G$46</f>
        <v>0.54592676839039278</v>
      </c>
      <c r="K18" s="62">
        <f t="shared" si="3"/>
        <v>0.536599456755805</v>
      </c>
    </row>
    <row r="19" spans="1:11" x14ac:dyDescent="0.2">
      <c r="A19" s="107" t="s">
        <v>38</v>
      </c>
      <c r="B19" s="73">
        <v>1</v>
      </c>
      <c r="C19" s="78">
        <f>VLOOKUP($B$3,'Data for Bill Impacts'!$A$3:$Y$15,7,0)</f>
        <v>31.23</v>
      </c>
      <c r="D19" s="22">
        <f t="shared" ref="D19:D24" si="5">B19*C19</f>
        <v>31.23</v>
      </c>
      <c r="E19" s="73">
        <f t="shared" ref="E19:E41" si="6">B19</f>
        <v>1</v>
      </c>
      <c r="F19" s="78">
        <f>VLOOKUP($B$3,'Data for Bill Impacts'!$A$3:$Y$15,17,0)</f>
        <v>35.85</v>
      </c>
      <c r="G19" s="22">
        <f t="shared" ref="G19:G24" si="7">E19*F19</f>
        <v>35.85</v>
      </c>
      <c r="H19" s="22">
        <f t="shared" si="1"/>
        <v>4.620000000000001</v>
      </c>
      <c r="I19" s="23">
        <f>IF(ISERROR(H19/ABS(D19)),"N/A",(H19/ABS(D19)))</f>
        <v>0.14793467819404421</v>
      </c>
      <c r="J19" s="23">
        <f t="shared" si="4"/>
        <v>0.26581709368220047</v>
      </c>
      <c r="K19" s="108">
        <f t="shared" si="3"/>
        <v>0.26127553423845962</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7.0000000000000001E-3</v>
      </c>
      <c r="D22" s="22">
        <f t="shared" si="5"/>
        <v>7.0000000000000001E-3</v>
      </c>
      <c r="E22" s="73">
        <f t="shared" si="6"/>
        <v>1</v>
      </c>
      <c r="F22" s="121">
        <f>VLOOKUP($B$3,'Data for Bill Impacts'!$A$3:$Y$15,22,0)</f>
        <v>7.0000000000000001E-3</v>
      </c>
      <c r="G22" s="22">
        <f t="shared" si="7"/>
        <v>7.0000000000000001E-3</v>
      </c>
      <c r="H22" s="22">
        <f t="shared" si="1"/>
        <v>0</v>
      </c>
      <c r="I22" s="23">
        <f t="shared" ref="I22:I51" si="8">IF(ISERROR(H22/ABS(D22)),"N/A",(H22/ABS(D22)))</f>
        <v>0</v>
      </c>
      <c r="J22" s="23">
        <f t="shared" si="4"/>
        <v>5.1902919268491019E-5</v>
      </c>
      <c r="K22" s="108">
        <f t="shared" si="3"/>
        <v>5.1016143365947485E-5</v>
      </c>
    </row>
    <row r="23" spans="1:11" x14ac:dyDescent="0.2">
      <c r="A23" s="107" t="s">
        <v>39</v>
      </c>
      <c r="B23" s="73">
        <f>IF($B$9="kWh",$B$4,$B$5)</f>
        <v>755</v>
      </c>
      <c r="C23" s="78">
        <f>VLOOKUP($B$3,'Data for Bill Impacts'!$A$3:$Y$15,10,0)</f>
        <v>4.7000000000000002E-3</v>
      </c>
      <c r="D23" s="22">
        <f t="shared" si="5"/>
        <v>3.5485000000000002</v>
      </c>
      <c r="E23" s="73">
        <f t="shared" si="6"/>
        <v>755</v>
      </c>
      <c r="F23" s="125">
        <f>VLOOKUP($B$3,'Data for Bill Impacts'!$A$3:$Y$15,19,0)</f>
        <v>0</v>
      </c>
      <c r="G23" s="22">
        <f t="shared" si="7"/>
        <v>0</v>
      </c>
      <c r="H23" s="22">
        <f t="shared" si="1"/>
        <v>-3.5485000000000002</v>
      </c>
      <c r="I23" s="23">
        <f t="shared" si="8"/>
        <v>-1</v>
      </c>
      <c r="J23" s="23">
        <f t="shared" si="4"/>
        <v>0</v>
      </c>
      <c r="K23" s="108">
        <f t="shared" si="3"/>
        <v>0</v>
      </c>
    </row>
    <row r="24" spans="1:11" x14ac:dyDescent="0.2">
      <c r="A24" s="107" t="s">
        <v>121</v>
      </c>
      <c r="B24" s="73">
        <f>IF($B$9="kWh",$B$4,$B$5)</f>
        <v>755</v>
      </c>
      <c r="C24" s="125">
        <f>VLOOKUP($B$3,'Data for Bill Impacts'!$A$3:$Y$15,14,0)</f>
        <v>3.0000000000000004E-5</v>
      </c>
      <c r="D24" s="22">
        <f t="shared" si="5"/>
        <v>2.2650000000000003E-2</v>
      </c>
      <c r="E24" s="73">
        <f>B24</f>
        <v>755</v>
      </c>
      <c r="F24" s="125">
        <f>VLOOKUP($B$3,'Data for Bill Impacts'!$A$3:$Y$15,23,0)</f>
        <v>3.0000000000000004E-5</v>
      </c>
      <c r="G24" s="22">
        <f t="shared" si="7"/>
        <v>2.2650000000000003E-2</v>
      </c>
      <c r="H24" s="22">
        <f>G24-D24</f>
        <v>0</v>
      </c>
      <c r="I24" s="23">
        <f t="shared" si="8"/>
        <v>0</v>
      </c>
      <c r="J24" s="23">
        <f t="shared" si="4"/>
        <v>1.6794301734733168E-4</v>
      </c>
      <c r="K24" s="108">
        <f t="shared" si="3"/>
        <v>1.650736638912444E-4</v>
      </c>
    </row>
    <row r="25" spans="1:11" s="1" customFormat="1" x14ac:dyDescent="0.2">
      <c r="A25" s="110" t="s">
        <v>72</v>
      </c>
      <c r="B25" s="74"/>
      <c r="C25" s="35"/>
      <c r="D25" s="35">
        <f>SUM(D19:D24)</f>
        <v>34.808149999999998</v>
      </c>
      <c r="E25" s="73"/>
      <c r="F25" s="35"/>
      <c r="G25" s="35">
        <f>SUM(G19:G24)</f>
        <v>35.879649999999998</v>
      </c>
      <c r="H25" s="35">
        <f t="shared" si="1"/>
        <v>1.0715000000000003</v>
      </c>
      <c r="I25" s="36">
        <f t="shared" si="8"/>
        <v>3.0783020643153986E-2</v>
      </c>
      <c r="J25" s="36">
        <f t="shared" si="4"/>
        <v>0.26603693961881625</v>
      </c>
      <c r="K25" s="111">
        <f t="shared" si="3"/>
        <v>0.2614916240457168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5.8576151745868442E-3</v>
      </c>
      <c r="K26" s="108">
        <f t="shared" si="3"/>
        <v>5.7575361798712166E-3</v>
      </c>
    </row>
    <row r="27" spans="1:11" s="1" customFormat="1" x14ac:dyDescent="0.2">
      <c r="A27" s="119" t="s">
        <v>75</v>
      </c>
      <c r="B27" s="120">
        <f>B8-B4</f>
        <v>43.034999999999968</v>
      </c>
      <c r="C27" s="172">
        <f>IF(B4&gt;B7,C13,C12)</f>
        <v>0.106</v>
      </c>
      <c r="D27" s="22">
        <f>B27*C27</f>
        <v>4.5617099999999962</v>
      </c>
      <c r="E27" s="73">
        <f>B27</f>
        <v>43.034999999999968</v>
      </c>
      <c r="F27" s="172">
        <f>C27</f>
        <v>0.106</v>
      </c>
      <c r="G27" s="22">
        <f>E27*F27</f>
        <v>4.5617099999999962</v>
      </c>
      <c r="H27" s="22">
        <f t="shared" si="1"/>
        <v>0</v>
      </c>
      <c r="I27" s="23">
        <f t="shared" si="8"/>
        <v>0</v>
      </c>
      <c r="J27" s="23">
        <f t="shared" ref="J27:J46" si="9">G27/$G$46</f>
        <v>3.3823723693752569E-2</v>
      </c>
      <c r="K27" s="108">
        <f t="shared" ref="K27:K41" si="10">G27/$G$51</f>
        <v>3.3245835907696586E-2</v>
      </c>
    </row>
    <row r="28" spans="1:11" s="1" customFormat="1" x14ac:dyDescent="0.2">
      <c r="A28" s="119" t="s">
        <v>74</v>
      </c>
      <c r="B28" s="120">
        <f>B8-B4</f>
        <v>43.034999999999968</v>
      </c>
      <c r="C28" s="172">
        <f>0.65*C15+0.17*C16+0.18*C17</f>
        <v>9.7519999999999996E-2</v>
      </c>
      <c r="D28" s="22">
        <f>B28*C28</f>
        <v>4.1967731999999964</v>
      </c>
      <c r="E28" s="73">
        <f>B28</f>
        <v>43.034999999999968</v>
      </c>
      <c r="F28" s="172">
        <f>C28</f>
        <v>9.7519999999999996E-2</v>
      </c>
      <c r="G28" s="22">
        <f>E28*F28</f>
        <v>4.1967731999999964</v>
      </c>
      <c r="H28" s="22">
        <f t="shared" si="1"/>
        <v>0</v>
      </c>
      <c r="I28" s="23">
        <f t="shared" si="8"/>
        <v>0</v>
      </c>
      <c r="J28" s="23">
        <f t="shared" si="9"/>
        <v>3.1117825798252362E-2</v>
      </c>
      <c r="K28" s="108">
        <f t="shared" si="10"/>
        <v>3.0586169035080858E-2</v>
      </c>
    </row>
    <row r="29" spans="1:11" s="1" customFormat="1" x14ac:dyDescent="0.2">
      <c r="A29" s="110" t="s">
        <v>78</v>
      </c>
      <c r="B29" s="74"/>
      <c r="C29" s="35"/>
      <c r="D29" s="35">
        <f>SUM(D25,D26:D27)</f>
        <v>40.159859999999995</v>
      </c>
      <c r="E29" s="73"/>
      <c r="F29" s="35"/>
      <c r="G29" s="35">
        <f>SUM(G25,G26:G27)</f>
        <v>41.231359999999995</v>
      </c>
      <c r="H29" s="35">
        <f t="shared" si="1"/>
        <v>1.0715000000000003</v>
      </c>
      <c r="I29" s="36">
        <f t="shared" si="8"/>
        <v>2.6680869903430951E-2</v>
      </c>
      <c r="J29" s="36">
        <f t="shared" si="9"/>
        <v>0.30571827848715566</v>
      </c>
      <c r="K29" s="111">
        <f t="shared" si="10"/>
        <v>0.30049499613328462</v>
      </c>
    </row>
    <row r="30" spans="1:11" s="1" customFormat="1" x14ac:dyDescent="0.2">
      <c r="A30" s="110" t="s">
        <v>77</v>
      </c>
      <c r="B30" s="74"/>
      <c r="C30" s="35"/>
      <c r="D30" s="35">
        <f>SUM(D25,D26,D28)</f>
        <v>39.794923199999992</v>
      </c>
      <c r="E30" s="73"/>
      <c r="F30" s="35"/>
      <c r="G30" s="35">
        <f>SUM(G25,G26,G28)</f>
        <v>40.866423199999993</v>
      </c>
      <c r="H30" s="35">
        <f t="shared" si="1"/>
        <v>1.0715000000000003</v>
      </c>
      <c r="I30" s="36">
        <f t="shared" si="8"/>
        <v>2.6925545115764931E-2</v>
      </c>
      <c r="J30" s="36">
        <f t="shared" si="9"/>
        <v>0.30301238059165542</v>
      </c>
      <c r="K30" s="111">
        <f t="shared" si="10"/>
        <v>0.29783532926066886</v>
      </c>
    </row>
    <row r="31" spans="1:11" x14ac:dyDescent="0.2">
      <c r="A31" s="107" t="s">
        <v>40</v>
      </c>
      <c r="B31" s="73">
        <f>B8</f>
        <v>798.03499999999997</v>
      </c>
      <c r="C31" s="125">
        <f>VLOOKUP($B$3,'Data for Bill Impacts'!$A$3:$Y$15,15,0)</f>
        <v>7.8279999999999999E-3</v>
      </c>
      <c r="D31" s="22">
        <f>B31*C31</f>
        <v>6.2470179799999999</v>
      </c>
      <c r="E31" s="73">
        <f t="shared" si="6"/>
        <v>798.03499999999997</v>
      </c>
      <c r="F31" s="125">
        <f>VLOOKUP($B$3,'Data for Bill Impacts'!$A$3:$Y$15,24,0)</f>
        <v>7.8279999999999999E-3</v>
      </c>
      <c r="G31" s="22">
        <f>E31*F31</f>
        <v>6.2470179799999999</v>
      </c>
      <c r="H31" s="22">
        <f t="shared" si="1"/>
        <v>0</v>
      </c>
      <c r="I31" s="23">
        <f t="shared" si="8"/>
        <v>0</v>
      </c>
      <c r="J31" s="23">
        <f t="shared" si="9"/>
        <v>4.6319781412107408E-2</v>
      </c>
      <c r="K31" s="108">
        <f t="shared" si="10"/>
        <v>4.5528394982475948E-2</v>
      </c>
    </row>
    <row r="32" spans="1:11" x14ac:dyDescent="0.2">
      <c r="A32" s="107" t="s">
        <v>41</v>
      </c>
      <c r="B32" s="73">
        <f>B8</f>
        <v>798.03499999999997</v>
      </c>
      <c r="C32" s="125">
        <f>VLOOKUP($B$3,'Data for Bill Impacts'!$A$3:$Y$15,16,0)</f>
        <v>6.4380000000000001E-3</v>
      </c>
      <c r="D32" s="22">
        <f>B32*C32</f>
        <v>5.1377493300000001</v>
      </c>
      <c r="E32" s="73">
        <f t="shared" si="6"/>
        <v>798.03499999999997</v>
      </c>
      <c r="F32" s="125">
        <f>VLOOKUP($B$3,'Data for Bill Impacts'!$A$3:$Y$15,25,0)</f>
        <v>6.4380000000000001E-3</v>
      </c>
      <c r="G32" s="22">
        <f>E32*F32</f>
        <v>5.1377493300000001</v>
      </c>
      <c r="H32" s="22">
        <f t="shared" si="1"/>
        <v>0</v>
      </c>
      <c r="I32" s="23">
        <f t="shared" si="8"/>
        <v>0</v>
      </c>
      <c r="J32" s="23">
        <f t="shared" si="9"/>
        <v>3.8094884099533405E-2</v>
      </c>
      <c r="K32" s="108">
        <f t="shared" si="10"/>
        <v>3.744402234251152E-2</v>
      </c>
    </row>
    <row r="33" spans="1:11" s="1" customFormat="1" x14ac:dyDescent="0.2">
      <c r="A33" s="110" t="s">
        <v>76</v>
      </c>
      <c r="B33" s="74"/>
      <c r="C33" s="35"/>
      <c r="D33" s="35">
        <f>SUM(D31:D32)</f>
        <v>11.384767310000001</v>
      </c>
      <c r="E33" s="73"/>
      <c r="F33" s="35"/>
      <c r="G33" s="35">
        <f>SUM(G31:G32)</f>
        <v>11.384767310000001</v>
      </c>
      <c r="H33" s="35">
        <f t="shared" si="1"/>
        <v>0</v>
      </c>
      <c r="I33" s="36">
        <f t="shared" si="8"/>
        <v>0</v>
      </c>
      <c r="J33" s="36">
        <f t="shared" si="9"/>
        <v>8.4414665511640813E-2</v>
      </c>
      <c r="K33" s="111">
        <f t="shared" si="10"/>
        <v>8.2972417324987474E-2</v>
      </c>
    </row>
    <row r="34" spans="1:11" s="1" customFormat="1" x14ac:dyDescent="0.2">
      <c r="A34" s="110" t="s">
        <v>91</v>
      </c>
      <c r="B34" s="74"/>
      <c r="C34" s="35"/>
      <c r="D34" s="35">
        <f>D29+D33</f>
        <v>51.544627309999996</v>
      </c>
      <c r="E34" s="73"/>
      <c r="F34" s="35"/>
      <c r="G34" s="35">
        <f>G29+G33</f>
        <v>52.616127309999996</v>
      </c>
      <c r="H34" s="35">
        <f t="shared" si="1"/>
        <v>1.0715000000000003</v>
      </c>
      <c r="I34" s="36">
        <f t="shared" si="8"/>
        <v>2.0787811570656605E-2</v>
      </c>
      <c r="J34" s="36">
        <f t="shared" si="9"/>
        <v>0.3901329439987965</v>
      </c>
      <c r="K34" s="111">
        <f t="shared" si="10"/>
        <v>0.38346741345827207</v>
      </c>
    </row>
    <row r="35" spans="1:11" s="1" customFormat="1" x14ac:dyDescent="0.2">
      <c r="A35" s="110" t="s">
        <v>92</v>
      </c>
      <c r="B35" s="74"/>
      <c r="C35" s="35"/>
      <c r="D35" s="35">
        <f>D30+D33</f>
        <v>51.179690509999993</v>
      </c>
      <c r="E35" s="73"/>
      <c r="F35" s="35"/>
      <c r="G35" s="35">
        <f>G30+G33</f>
        <v>52.251190509999994</v>
      </c>
      <c r="H35" s="35">
        <f t="shared" si="1"/>
        <v>1.0715000000000003</v>
      </c>
      <c r="I35" s="36">
        <f t="shared" si="8"/>
        <v>2.0936039067892372E-2</v>
      </c>
      <c r="J35" s="36">
        <f t="shared" si="9"/>
        <v>0.38742704610329626</v>
      </c>
      <c r="K35" s="111">
        <f t="shared" si="10"/>
        <v>0.38080774658565636</v>
      </c>
    </row>
    <row r="36" spans="1:11" x14ac:dyDescent="0.2">
      <c r="A36" s="107" t="s">
        <v>42</v>
      </c>
      <c r="B36" s="73">
        <f>B8</f>
        <v>798.03499999999997</v>
      </c>
      <c r="C36" s="34">
        <v>3.5999999999999999E-3</v>
      </c>
      <c r="D36" s="22">
        <f>B36*C36</f>
        <v>2.8729259999999996</v>
      </c>
      <c r="E36" s="73">
        <f t="shared" si="6"/>
        <v>798.03499999999997</v>
      </c>
      <c r="F36" s="34">
        <v>3.5999999999999999E-3</v>
      </c>
      <c r="G36" s="22">
        <f>E36*F36</f>
        <v>2.8729259999999996</v>
      </c>
      <c r="H36" s="22">
        <f t="shared" si="1"/>
        <v>0</v>
      </c>
      <c r="I36" s="23">
        <f t="shared" si="8"/>
        <v>0</v>
      </c>
      <c r="J36" s="23">
        <f t="shared" si="9"/>
        <v>2.1301892320335546E-2</v>
      </c>
      <c r="K36" s="108">
        <f t="shared" si="10"/>
        <v>2.0937943527965432E-2</v>
      </c>
    </row>
    <row r="37" spans="1:11" x14ac:dyDescent="0.2">
      <c r="A37" s="107" t="s">
        <v>43</v>
      </c>
      <c r="B37" s="73">
        <f>B8</f>
        <v>798.03499999999997</v>
      </c>
      <c r="C37" s="34">
        <v>2.0999999999999999E-3</v>
      </c>
      <c r="D37" s="22">
        <f>B37*C37</f>
        <v>1.6758734999999998</v>
      </c>
      <c r="E37" s="73">
        <f t="shared" si="6"/>
        <v>798.03499999999997</v>
      </c>
      <c r="F37" s="34">
        <v>2.0999999999999999E-3</v>
      </c>
      <c r="G37" s="22">
        <f>E37*F37</f>
        <v>1.6758734999999998</v>
      </c>
      <c r="H37" s="22">
        <f>G37-D37</f>
        <v>0</v>
      </c>
      <c r="I37" s="23">
        <f t="shared" si="8"/>
        <v>0</v>
      </c>
      <c r="J37" s="23">
        <f t="shared" si="9"/>
        <v>1.2426103853529068E-2</v>
      </c>
      <c r="K37" s="108">
        <f t="shared" si="10"/>
        <v>1.221380039131317E-2</v>
      </c>
    </row>
    <row r="38" spans="1:11" x14ac:dyDescent="0.2">
      <c r="A38" s="107" t="s">
        <v>96</v>
      </c>
      <c r="B38" s="73">
        <f>B8</f>
        <v>798.03499999999997</v>
      </c>
      <c r="C38" s="34">
        <v>0</v>
      </c>
      <c r="D38" s="22">
        <f>B38*C38</f>
        <v>0</v>
      </c>
      <c r="E38" s="73">
        <f t="shared" si="6"/>
        <v>798.03499999999997</v>
      </c>
      <c r="F38" s="34">
        <v>0</v>
      </c>
      <c r="G38" s="22">
        <f>E38*F38</f>
        <v>0</v>
      </c>
      <c r="H38" s="22">
        <f>G38-D38</f>
        <v>0</v>
      </c>
      <c r="I38" s="23" t="str">
        <f t="shared" si="8"/>
        <v>N/A</v>
      </c>
      <c r="J38" s="23">
        <f t="shared" si="9"/>
        <v>0</v>
      </c>
      <c r="K38" s="108">
        <f t="shared" si="10"/>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1.8536756881603936E-3</v>
      </c>
      <c r="K39" s="108">
        <f t="shared" si="10"/>
        <v>1.8220051202124101E-3</v>
      </c>
    </row>
    <row r="40" spans="1:11" s="1" customFormat="1" x14ac:dyDescent="0.2">
      <c r="A40" s="110" t="s">
        <v>45</v>
      </c>
      <c r="B40" s="74"/>
      <c r="C40" s="35"/>
      <c r="D40" s="35">
        <f>SUM(D36:D39)</f>
        <v>4.7987994999999994</v>
      </c>
      <c r="E40" s="73"/>
      <c r="F40" s="35"/>
      <c r="G40" s="35">
        <f>SUM(G36:G39)</f>
        <v>4.7987994999999994</v>
      </c>
      <c r="H40" s="35">
        <f t="shared" si="1"/>
        <v>0</v>
      </c>
      <c r="I40" s="36">
        <f t="shared" si="8"/>
        <v>0</v>
      </c>
      <c r="J40" s="36">
        <f t="shared" si="9"/>
        <v>3.5581671862025002E-2</v>
      </c>
      <c r="K40" s="111">
        <f t="shared" si="10"/>
        <v>3.4973749039491013E-2</v>
      </c>
    </row>
    <row r="41" spans="1:11" s="1" customFormat="1" ht="13.5" thickBot="1" x14ac:dyDescent="0.25">
      <c r="A41" s="112" t="s">
        <v>46</v>
      </c>
      <c r="B41" s="113">
        <f>B4</f>
        <v>755</v>
      </c>
      <c r="C41" s="114">
        <v>0</v>
      </c>
      <c r="D41" s="115">
        <f>B41*C41</f>
        <v>0</v>
      </c>
      <c r="E41" s="116">
        <f t="shared" si="6"/>
        <v>755</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127.37342681</v>
      </c>
      <c r="E42" s="38"/>
      <c r="F42" s="39"/>
      <c r="G42" s="39">
        <f>SUM(G14,G25,G26,G27,G33,G40,G41)</f>
        <v>128.44492681</v>
      </c>
      <c r="H42" s="39">
        <f t="shared" si="1"/>
        <v>1.0715000000000003</v>
      </c>
      <c r="I42" s="40">
        <f t="shared" si="8"/>
        <v>8.4122726916842101E-3</v>
      </c>
      <c r="J42" s="40">
        <f t="shared" si="9"/>
        <v>0.95238095238095255</v>
      </c>
      <c r="K42" s="41"/>
    </row>
    <row r="43" spans="1:11" x14ac:dyDescent="0.2">
      <c r="A43" s="153" t="s">
        <v>102</v>
      </c>
      <c r="B43" s="43"/>
      <c r="C43" s="26">
        <v>0.13</v>
      </c>
      <c r="D43" s="26">
        <f>D42*C43</f>
        <v>16.558545485300002</v>
      </c>
      <c r="E43" s="26"/>
      <c r="F43" s="26">
        <f>C43</f>
        <v>0.13</v>
      </c>
      <c r="G43" s="26">
        <f>G42*F43</f>
        <v>16.697840485299999</v>
      </c>
      <c r="H43" s="26">
        <f t="shared" si="1"/>
        <v>0.13929499999999706</v>
      </c>
      <c r="I43" s="44">
        <f t="shared" si="8"/>
        <v>8.4122726916840279E-3</v>
      </c>
      <c r="J43" s="44">
        <f t="shared" si="9"/>
        <v>0.12380952380952381</v>
      </c>
      <c r="K43" s="45"/>
    </row>
    <row r="44" spans="1:11" s="1" customFormat="1" x14ac:dyDescent="0.2">
      <c r="A44" s="46" t="s">
        <v>103</v>
      </c>
      <c r="B44" s="24"/>
      <c r="C44" s="25"/>
      <c r="D44" s="25">
        <f>SUM(D42:D43)</f>
        <v>143.9319722953</v>
      </c>
      <c r="E44" s="25"/>
      <c r="F44" s="25"/>
      <c r="G44" s="25">
        <f>SUM(G42:G43)</f>
        <v>145.14276729529999</v>
      </c>
      <c r="H44" s="25">
        <f t="shared" si="1"/>
        <v>1.2107949999999903</v>
      </c>
      <c r="I44" s="27">
        <f t="shared" si="8"/>
        <v>8.4122726916841389E-3</v>
      </c>
      <c r="J44" s="27">
        <f t="shared" si="9"/>
        <v>1.0761904761904764</v>
      </c>
      <c r="K44" s="47"/>
    </row>
    <row r="45" spans="1:11" x14ac:dyDescent="0.2">
      <c r="A45" s="42" t="s">
        <v>104</v>
      </c>
      <c r="B45" s="43"/>
      <c r="C45" s="26">
        <v>-0.08</v>
      </c>
      <c r="D45" s="26">
        <f>D42*C45</f>
        <v>-10.189874144799999</v>
      </c>
      <c r="E45" s="26"/>
      <c r="F45" s="26">
        <f>C45</f>
        <v>-0.08</v>
      </c>
      <c r="G45" s="26">
        <f>G42*F45</f>
        <v>-10.275594144799999</v>
      </c>
      <c r="H45" s="26">
        <f t="shared" si="1"/>
        <v>-8.572000000000024E-2</v>
      </c>
      <c r="I45" s="44">
        <f t="shared" si="8"/>
        <v>-8.4122726916842309E-3</v>
      </c>
      <c r="J45" s="44">
        <f t="shared" si="9"/>
        <v>-7.6190476190476197E-2</v>
      </c>
      <c r="K45" s="45"/>
    </row>
    <row r="46" spans="1:11" s="1" customFormat="1" ht="13.5" thickBot="1" x14ac:dyDescent="0.25">
      <c r="A46" s="48" t="s">
        <v>105</v>
      </c>
      <c r="B46" s="49"/>
      <c r="C46" s="50"/>
      <c r="D46" s="50">
        <f>SUM(D44:D45)</f>
        <v>133.7420981505</v>
      </c>
      <c r="E46" s="50"/>
      <c r="F46" s="50"/>
      <c r="G46" s="50">
        <f>SUM(G44:G45)</f>
        <v>134.86717315049998</v>
      </c>
      <c r="H46" s="50">
        <f t="shared" si="1"/>
        <v>1.1250749999999812</v>
      </c>
      <c r="I46" s="51">
        <f t="shared" si="8"/>
        <v>8.4122726916840661E-3</v>
      </c>
      <c r="J46" s="51">
        <f t="shared" si="9"/>
        <v>1</v>
      </c>
      <c r="K46" s="52"/>
    </row>
    <row r="47" spans="1:11" x14ac:dyDescent="0.2">
      <c r="A47" s="53" t="s">
        <v>106</v>
      </c>
      <c r="B47" s="54"/>
      <c r="C47" s="55"/>
      <c r="D47" s="55">
        <f>SUM(D18,D25,D26,D28,D33,D40,D41)</f>
        <v>129.60609001</v>
      </c>
      <c r="E47" s="55"/>
      <c r="F47" s="55"/>
      <c r="G47" s="55">
        <f>SUM(G18,G25,G26,G28,G33,G40,G41)</f>
        <v>130.67759000999999</v>
      </c>
      <c r="H47" s="55">
        <f>G47-D47</f>
        <v>1.0714999999999861</v>
      </c>
      <c r="I47" s="56">
        <f t="shared" si="8"/>
        <v>8.2673584236459298E-3</v>
      </c>
      <c r="J47" s="56"/>
      <c r="K47" s="57">
        <f>G47/$G$51</f>
        <v>0.95238095238095233</v>
      </c>
    </row>
    <row r="48" spans="1:11" x14ac:dyDescent="0.2">
      <c r="A48" s="154" t="s">
        <v>102</v>
      </c>
      <c r="B48" s="59"/>
      <c r="C48" s="31">
        <v>0.13</v>
      </c>
      <c r="D48" s="31">
        <f>D47*C48</f>
        <v>16.848791701300001</v>
      </c>
      <c r="E48" s="31"/>
      <c r="F48" s="31">
        <f>C48</f>
        <v>0.13</v>
      </c>
      <c r="G48" s="31">
        <f>G47*F48</f>
        <v>16.988086701299999</v>
      </c>
      <c r="H48" s="31">
        <f>G48-D48</f>
        <v>0.13929499999999706</v>
      </c>
      <c r="I48" s="32">
        <f t="shared" si="8"/>
        <v>8.2673584236458621E-3</v>
      </c>
      <c r="J48" s="32"/>
      <c r="K48" s="60">
        <f>G48/$G$51</f>
        <v>0.1238095238095238</v>
      </c>
    </row>
    <row r="49" spans="1:11" x14ac:dyDescent="0.2">
      <c r="A49" s="61" t="s">
        <v>107</v>
      </c>
      <c r="B49" s="29"/>
      <c r="C49" s="30"/>
      <c r="D49" s="30">
        <f>SUM(D47:D48)</f>
        <v>146.4548817113</v>
      </c>
      <c r="E49" s="30"/>
      <c r="F49" s="30"/>
      <c r="G49" s="30">
        <f>SUM(G47:G48)</f>
        <v>147.66567671129999</v>
      </c>
      <c r="H49" s="30">
        <f>G49-D49</f>
        <v>1.2107949999999903</v>
      </c>
      <c r="I49" s="33">
        <f t="shared" si="8"/>
        <v>8.2673584236459714E-3</v>
      </c>
      <c r="J49" s="33"/>
      <c r="K49" s="62">
        <f>G49/$G$51</f>
        <v>1.0761904761904761</v>
      </c>
    </row>
    <row r="50" spans="1:11" x14ac:dyDescent="0.2">
      <c r="A50" s="58" t="s">
        <v>104</v>
      </c>
      <c r="B50" s="59"/>
      <c r="C50" s="31">
        <v>-0.08</v>
      </c>
      <c r="D50" s="31">
        <f>D47*C50</f>
        <v>-10.368487200800001</v>
      </c>
      <c r="E50" s="31"/>
      <c r="F50" s="31">
        <f>C50</f>
        <v>-0.08</v>
      </c>
      <c r="G50" s="31">
        <f>G47*F50</f>
        <v>-10.454207200799999</v>
      </c>
      <c r="H50" s="31">
        <f>G50-D50</f>
        <v>-8.5719999999998464E-2</v>
      </c>
      <c r="I50" s="32">
        <f t="shared" si="8"/>
        <v>-8.2673584236458882E-3</v>
      </c>
      <c r="J50" s="32"/>
      <c r="K50" s="60">
        <f>G50/$G$51</f>
        <v>-7.6190476190476183E-2</v>
      </c>
    </row>
    <row r="51" spans="1:11" ht="13.5" thickBot="1" x14ac:dyDescent="0.25">
      <c r="A51" s="63" t="s">
        <v>116</v>
      </c>
      <c r="B51" s="64"/>
      <c r="C51" s="65"/>
      <c r="D51" s="65">
        <f>SUM(D49:D50)</f>
        <v>136.08639451050001</v>
      </c>
      <c r="E51" s="65"/>
      <c r="F51" s="65"/>
      <c r="G51" s="65">
        <f>SUM(G49:G50)</f>
        <v>137.2114695105</v>
      </c>
      <c r="H51" s="65">
        <f>G51-D51</f>
        <v>1.1250749999999812</v>
      </c>
      <c r="I51" s="66">
        <f t="shared" si="8"/>
        <v>8.2673584236458986E-3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0.499984740745262"/>
    <pageSetUpPr fitToPage="1"/>
  </sheetPr>
  <dimension ref="A1:K68"/>
  <sheetViews>
    <sheetView tabSelected="1" view="pageLayout" topLeftCell="A7"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120</v>
      </c>
      <c r="B1" s="189"/>
      <c r="C1" s="189"/>
      <c r="D1" s="189"/>
      <c r="E1" s="189"/>
      <c r="F1" s="189"/>
      <c r="G1" s="189"/>
      <c r="H1" s="189"/>
      <c r="I1" s="189"/>
      <c r="J1" s="189"/>
      <c r="K1" s="190"/>
    </row>
    <row r="3" spans="1:11" ht="12" customHeight="1" x14ac:dyDescent="0.2">
      <c r="A3" s="13" t="s">
        <v>13</v>
      </c>
      <c r="B3" s="13" t="s">
        <v>0</v>
      </c>
    </row>
    <row r="4" spans="1:11" x14ac:dyDescent="0.2">
      <c r="A4" s="15" t="s">
        <v>62</v>
      </c>
      <c r="B4" s="15">
        <v>1400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7">
        <f>B4*B6</f>
        <v>1479.8</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0.24260126013775385</v>
      </c>
      <c r="K12" s="106"/>
    </row>
    <row r="13" spans="1:11" x14ac:dyDescent="0.2">
      <c r="A13" s="107" t="s">
        <v>32</v>
      </c>
      <c r="B13" s="73">
        <f>IF(B4&gt;B7,(B4)-B7,0)</f>
        <v>800</v>
      </c>
      <c r="C13" s="21">
        <v>0.106</v>
      </c>
      <c r="D13" s="22">
        <f>B13*C13</f>
        <v>84.8</v>
      </c>
      <c r="E13" s="73">
        <f>B13</f>
        <v>800</v>
      </c>
      <c r="F13" s="21">
        <f>C13</f>
        <v>0.106</v>
      </c>
      <c r="G13" s="22">
        <f>E13*F13</f>
        <v>84.8</v>
      </c>
      <c r="H13" s="22">
        <f t="shared" ref="H13:H46" si="1">G13-D13</f>
        <v>0</v>
      </c>
      <c r="I13" s="23">
        <f t="shared" si="0"/>
        <v>0</v>
      </c>
      <c r="J13" s="23">
        <f>G13/$G$46</f>
        <v>0.37678730512237224</v>
      </c>
      <c r="K13" s="108"/>
    </row>
    <row r="14" spans="1:11" s="1" customFormat="1" x14ac:dyDescent="0.2">
      <c r="A14" s="46" t="s">
        <v>33</v>
      </c>
      <c r="B14" s="24"/>
      <c r="C14" s="25"/>
      <c r="D14" s="25">
        <f>SUM(D12:D13)</f>
        <v>139.4</v>
      </c>
      <c r="E14" s="76"/>
      <c r="F14" s="25"/>
      <c r="G14" s="25">
        <f>SUM(G12:G13)</f>
        <v>139.4</v>
      </c>
      <c r="H14" s="25">
        <f t="shared" si="1"/>
        <v>0</v>
      </c>
      <c r="I14" s="27">
        <f t="shared" si="0"/>
        <v>0</v>
      </c>
      <c r="J14" s="27">
        <f>G14/$G$46</f>
        <v>0.61938856526012609</v>
      </c>
      <c r="K14" s="108"/>
    </row>
    <row r="15" spans="1:11" s="1" customFormat="1" x14ac:dyDescent="0.2">
      <c r="A15" s="109" t="s">
        <v>34</v>
      </c>
      <c r="B15" s="75">
        <f>B4*0.65</f>
        <v>910</v>
      </c>
      <c r="C15" s="28">
        <v>7.6999999999999999E-2</v>
      </c>
      <c r="D15" s="22">
        <f>B15*C15</f>
        <v>70.069999999999993</v>
      </c>
      <c r="E15" s="73">
        <f t="shared" ref="E15:F17" si="2">B15</f>
        <v>910</v>
      </c>
      <c r="F15" s="28">
        <f t="shared" si="2"/>
        <v>7.6999999999999999E-2</v>
      </c>
      <c r="G15" s="22">
        <f>E15*F15</f>
        <v>70.069999999999993</v>
      </c>
      <c r="H15" s="22">
        <f t="shared" si="1"/>
        <v>0</v>
      </c>
      <c r="I15" s="23">
        <f t="shared" si="0"/>
        <v>0</v>
      </c>
      <c r="J15" s="23"/>
      <c r="K15" s="108">
        <f t="shared" ref="K15:K26" si="3">G15/$G$51</f>
        <v>0.31657962520186872</v>
      </c>
    </row>
    <row r="16" spans="1:11" s="1" customFormat="1" x14ac:dyDescent="0.2">
      <c r="A16" s="109" t="s">
        <v>35</v>
      </c>
      <c r="B16" s="75">
        <f>B4*0.17</f>
        <v>238.00000000000003</v>
      </c>
      <c r="C16" s="28">
        <v>0.113</v>
      </c>
      <c r="D16" s="22">
        <f>B16*C16</f>
        <v>26.894000000000005</v>
      </c>
      <c r="E16" s="73">
        <f t="shared" si="2"/>
        <v>238.00000000000003</v>
      </c>
      <c r="F16" s="28">
        <f t="shared" si="2"/>
        <v>0.113</v>
      </c>
      <c r="G16" s="22">
        <f>E16*F16</f>
        <v>26.894000000000005</v>
      </c>
      <c r="H16" s="22">
        <f t="shared" si="1"/>
        <v>0</v>
      </c>
      <c r="I16" s="23">
        <f t="shared" si="0"/>
        <v>0</v>
      </c>
      <c r="J16" s="23"/>
      <c r="K16" s="108">
        <f t="shared" si="3"/>
        <v>0.12150838361893906</v>
      </c>
    </row>
    <row r="17" spans="1:11" s="1" customFormat="1" x14ac:dyDescent="0.2">
      <c r="A17" s="109" t="s">
        <v>36</v>
      </c>
      <c r="B17" s="75">
        <f>B4*0.18</f>
        <v>252</v>
      </c>
      <c r="C17" s="28">
        <v>0.157</v>
      </c>
      <c r="D17" s="22">
        <f>B17*C17</f>
        <v>39.564</v>
      </c>
      <c r="E17" s="73">
        <f t="shared" si="2"/>
        <v>252</v>
      </c>
      <c r="F17" s="28">
        <f t="shared" si="2"/>
        <v>0.157</v>
      </c>
      <c r="G17" s="22">
        <f>E17*F17</f>
        <v>39.564</v>
      </c>
      <c r="H17" s="22">
        <f t="shared" si="1"/>
        <v>0</v>
      </c>
      <c r="I17" s="23">
        <f t="shared" si="0"/>
        <v>0</v>
      </c>
      <c r="J17" s="23"/>
      <c r="K17" s="108">
        <f t="shared" si="3"/>
        <v>0.17875205211198425</v>
      </c>
    </row>
    <row r="18" spans="1:11" s="1" customFormat="1" x14ac:dyDescent="0.2">
      <c r="A18" s="61" t="s">
        <v>37</v>
      </c>
      <c r="B18" s="29"/>
      <c r="C18" s="30"/>
      <c r="D18" s="30">
        <f>SUM(D15:D17)</f>
        <v>136.52799999999999</v>
      </c>
      <c r="E18" s="77"/>
      <c r="F18" s="30"/>
      <c r="G18" s="30">
        <f>SUM(G15:G17)</f>
        <v>136.52799999999999</v>
      </c>
      <c r="H18" s="31">
        <f t="shared" si="1"/>
        <v>0</v>
      </c>
      <c r="I18" s="32">
        <f t="shared" si="0"/>
        <v>0</v>
      </c>
      <c r="J18" s="33">
        <f t="shared" ref="J18:J26" si="4">G18/$G$46</f>
        <v>0.60662756124701933</v>
      </c>
      <c r="K18" s="62">
        <f t="shared" si="3"/>
        <v>0.61684006093279198</v>
      </c>
    </row>
    <row r="19" spans="1:11" x14ac:dyDescent="0.2">
      <c r="A19" s="107" t="s">
        <v>38</v>
      </c>
      <c r="B19" s="73">
        <v>1</v>
      </c>
      <c r="C19" s="78">
        <f>VLOOKUP($B$3,'Data for Bill Impacts'!$A$3:$Y$15,7,0)</f>
        <v>31.23</v>
      </c>
      <c r="D19" s="22">
        <f t="shared" ref="D19:D24" si="5">B19*C19</f>
        <v>31.23</v>
      </c>
      <c r="E19" s="73">
        <f t="shared" ref="E19:E41" si="6">B19</f>
        <v>1</v>
      </c>
      <c r="F19" s="78">
        <f>VLOOKUP($B$3,'Data for Bill Impacts'!$A$3:$Y$15,17,0)</f>
        <v>35.85</v>
      </c>
      <c r="G19" s="22">
        <f t="shared" ref="G19:G24" si="7">E19*F19</f>
        <v>35.85</v>
      </c>
      <c r="H19" s="22">
        <f t="shared" si="1"/>
        <v>4.620000000000001</v>
      </c>
      <c r="I19" s="23">
        <f>IF(ISERROR(H19/ABS(D19)),"N/A",(H19/ABS(D19)))</f>
        <v>0.14793467819404421</v>
      </c>
      <c r="J19" s="23">
        <f t="shared" si="4"/>
        <v>0.15929038783770103</v>
      </c>
      <c r="K19" s="108">
        <f t="shared" si="3"/>
        <v>0.16197202174235759</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7.0000000000000001E-3</v>
      </c>
      <c r="D22" s="22">
        <f t="shared" si="5"/>
        <v>7.0000000000000001E-3</v>
      </c>
      <c r="E22" s="73">
        <f t="shared" si="6"/>
        <v>1</v>
      </c>
      <c r="F22" s="121">
        <f>VLOOKUP($B$3,'Data for Bill Impacts'!$A$3:$Y$15,22,0)</f>
        <v>7.0000000000000001E-3</v>
      </c>
      <c r="G22" s="22">
        <f t="shared" si="7"/>
        <v>7.0000000000000001E-3</v>
      </c>
      <c r="H22" s="22">
        <f t="shared" si="1"/>
        <v>0</v>
      </c>
      <c r="I22" s="23">
        <f t="shared" ref="I22:I51" si="8">IF(ISERROR(H22/ABS(D22)),"N/A",(H22/ABS(D22)))</f>
        <v>0</v>
      </c>
      <c r="J22" s="23">
        <f t="shared" si="4"/>
        <v>3.1102725658686387E-5</v>
      </c>
      <c r="K22" s="108">
        <f t="shared" si="3"/>
        <v>3.1626336184002876E-5</v>
      </c>
    </row>
    <row r="23" spans="1:11" x14ac:dyDescent="0.2">
      <c r="A23" s="107" t="s">
        <v>39</v>
      </c>
      <c r="B23" s="73">
        <f>IF($B$9="kWh",$B$4,$B$5)</f>
        <v>1400</v>
      </c>
      <c r="C23" s="78">
        <f>VLOOKUP($B$3,'Data for Bill Impacts'!$A$3:$Y$15,10,0)</f>
        <v>4.7000000000000002E-3</v>
      </c>
      <c r="D23" s="22">
        <f t="shared" si="5"/>
        <v>6.58</v>
      </c>
      <c r="E23" s="73">
        <f t="shared" si="6"/>
        <v>1400</v>
      </c>
      <c r="F23" s="125">
        <f>VLOOKUP($B$3,'Data for Bill Impacts'!$A$3:$Y$15,19,0)</f>
        <v>0</v>
      </c>
      <c r="G23" s="22">
        <f t="shared" si="7"/>
        <v>0</v>
      </c>
      <c r="H23" s="22">
        <f t="shared" si="1"/>
        <v>-6.58</v>
      </c>
      <c r="I23" s="23">
        <f t="shared" si="8"/>
        <v>-1</v>
      </c>
      <c r="J23" s="23">
        <f t="shared" si="4"/>
        <v>0</v>
      </c>
      <c r="K23" s="108">
        <f t="shared" si="3"/>
        <v>0</v>
      </c>
    </row>
    <row r="24" spans="1:11" x14ac:dyDescent="0.2">
      <c r="A24" s="107" t="s">
        <v>121</v>
      </c>
      <c r="B24" s="73">
        <f>IF($B$9="kWh",$B$4,$B$5)</f>
        <v>1400</v>
      </c>
      <c r="C24" s="125">
        <f>VLOOKUP($B$3,'Data for Bill Impacts'!$A$3:$Y$15,14,0)</f>
        <v>3.0000000000000004E-5</v>
      </c>
      <c r="D24" s="22">
        <f t="shared" si="5"/>
        <v>4.2000000000000003E-2</v>
      </c>
      <c r="E24" s="73">
        <f>B24</f>
        <v>1400</v>
      </c>
      <c r="F24" s="125">
        <f>VLOOKUP($B$3,'Data for Bill Impacts'!$A$3:$Y$15,23,0)</f>
        <v>3.0000000000000004E-5</v>
      </c>
      <c r="G24" s="22">
        <f t="shared" si="7"/>
        <v>4.2000000000000003E-2</v>
      </c>
      <c r="H24" s="22">
        <f>G24-D24</f>
        <v>0</v>
      </c>
      <c r="I24" s="23">
        <f t="shared" si="8"/>
        <v>0</v>
      </c>
      <c r="J24" s="23">
        <f t="shared" si="4"/>
        <v>1.8661635395211834E-4</v>
      </c>
      <c r="K24" s="108">
        <f t="shared" si="3"/>
        <v>1.8975801710401725E-4</v>
      </c>
    </row>
    <row r="25" spans="1:11" s="1" customFormat="1" x14ac:dyDescent="0.2">
      <c r="A25" s="110" t="s">
        <v>72</v>
      </c>
      <c r="B25" s="74"/>
      <c r="C25" s="35"/>
      <c r="D25" s="35">
        <f>SUM(D19:D24)</f>
        <v>37.859000000000002</v>
      </c>
      <c r="E25" s="73"/>
      <c r="F25" s="35"/>
      <c r="G25" s="35">
        <f>SUM(G19:G24)</f>
        <v>35.899000000000001</v>
      </c>
      <c r="H25" s="35">
        <f t="shared" si="1"/>
        <v>-1.9600000000000009</v>
      </c>
      <c r="I25" s="36">
        <f t="shared" si="8"/>
        <v>-5.1771045194009373E-2</v>
      </c>
      <c r="J25" s="36">
        <f t="shared" si="4"/>
        <v>0.15950810691731182</v>
      </c>
      <c r="K25" s="111">
        <f t="shared" si="3"/>
        <v>0.16219340609564559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3.5101647529088924E-3</v>
      </c>
      <c r="K26" s="108">
        <f t="shared" si="3"/>
        <v>3.5692579407660386E-3</v>
      </c>
    </row>
    <row r="27" spans="1:11" s="1" customFormat="1" x14ac:dyDescent="0.2">
      <c r="A27" s="119" t="s">
        <v>75</v>
      </c>
      <c r="B27" s="120">
        <f>B8-B4</f>
        <v>79.799999999999955</v>
      </c>
      <c r="C27" s="172">
        <f>IF(B4&gt;B7,C13,C12)</f>
        <v>0.106</v>
      </c>
      <c r="D27" s="22">
        <f>B27*C27</f>
        <v>8.4587999999999948</v>
      </c>
      <c r="E27" s="73">
        <f>B27</f>
        <v>79.799999999999955</v>
      </c>
      <c r="F27" s="172">
        <f>C27</f>
        <v>0.106</v>
      </c>
      <c r="G27" s="22">
        <f>E27*F27</f>
        <v>8.4587999999999948</v>
      </c>
      <c r="H27" s="22">
        <f t="shared" si="1"/>
        <v>0</v>
      </c>
      <c r="I27" s="23">
        <f t="shared" si="8"/>
        <v>0</v>
      </c>
      <c r="J27" s="23">
        <f t="shared" ref="J27:J46" si="9">G27/$G$46</f>
        <v>3.7584533685956607E-2</v>
      </c>
      <c r="K27" s="108">
        <f t="shared" ref="K27:K41" si="10">G27/$G$51</f>
        <v>3.8217264644749047E-2</v>
      </c>
    </row>
    <row r="28" spans="1:11" s="1" customFormat="1" x14ac:dyDescent="0.2">
      <c r="A28" s="119" t="s">
        <v>74</v>
      </c>
      <c r="B28" s="120">
        <f>B8-B4</f>
        <v>79.799999999999955</v>
      </c>
      <c r="C28" s="172">
        <f>0.65*C15+0.17*C16+0.18*C17</f>
        <v>9.7519999999999996E-2</v>
      </c>
      <c r="D28" s="22">
        <f>B28*C28</f>
        <v>7.7820959999999948</v>
      </c>
      <c r="E28" s="73">
        <f>B28</f>
        <v>79.799999999999955</v>
      </c>
      <c r="F28" s="172">
        <f>C28</f>
        <v>9.7519999999999996E-2</v>
      </c>
      <c r="G28" s="22">
        <f>E28*F28</f>
        <v>7.7820959999999948</v>
      </c>
      <c r="H28" s="22">
        <f t="shared" si="1"/>
        <v>0</v>
      </c>
      <c r="I28" s="23">
        <f t="shared" si="8"/>
        <v>0</v>
      </c>
      <c r="J28" s="23">
        <f t="shared" si="9"/>
        <v>3.457777099108008E-2</v>
      </c>
      <c r="K28" s="108">
        <f t="shared" si="10"/>
        <v>3.5159883473169125E-2</v>
      </c>
    </row>
    <row r="29" spans="1:11" s="1" customFormat="1" x14ac:dyDescent="0.2">
      <c r="A29" s="110" t="s">
        <v>78</v>
      </c>
      <c r="B29" s="74"/>
      <c r="C29" s="35"/>
      <c r="D29" s="35">
        <f>SUM(D25,D26:D27)</f>
        <v>47.107799999999997</v>
      </c>
      <c r="E29" s="73"/>
      <c r="F29" s="35"/>
      <c r="G29" s="35">
        <f>SUM(G25,G26:G27)</f>
        <v>45.147799999999997</v>
      </c>
      <c r="H29" s="35">
        <f t="shared" si="1"/>
        <v>-1.9600000000000009</v>
      </c>
      <c r="I29" s="36">
        <f t="shared" si="8"/>
        <v>-4.1606697829234242E-2</v>
      </c>
      <c r="J29" s="36">
        <f t="shared" si="9"/>
        <v>0.20060280535617733</v>
      </c>
      <c r="K29" s="111">
        <f t="shared" si="10"/>
        <v>0.20397992868116069</v>
      </c>
    </row>
    <row r="30" spans="1:11" s="1" customFormat="1" x14ac:dyDescent="0.2">
      <c r="A30" s="110" t="s">
        <v>77</v>
      </c>
      <c r="B30" s="74"/>
      <c r="C30" s="35"/>
      <c r="D30" s="35">
        <f>SUM(D25,D26,D28)</f>
        <v>46.431095999999997</v>
      </c>
      <c r="E30" s="73"/>
      <c r="F30" s="35"/>
      <c r="G30" s="35">
        <f>SUM(G25,G26,G28)</f>
        <v>44.471095999999996</v>
      </c>
      <c r="H30" s="35">
        <f t="shared" si="1"/>
        <v>-1.9600000000000009</v>
      </c>
      <c r="I30" s="36">
        <f t="shared" si="8"/>
        <v>-4.2213089262420192E-2</v>
      </c>
      <c r="J30" s="36">
        <f t="shared" si="9"/>
        <v>0.19759604266130079</v>
      </c>
      <c r="K30" s="111">
        <f t="shared" si="10"/>
        <v>0.20092254750958077</v>
      </c>
    </row>
    <row r="31" spans="1:11" x14ac:dyDescent="0.2">
      <c r="A31" s="107" t="s">
        <v>40</v>
      </c>
      <c r="B31" s="73">
        <f>B8</f>
        <v>1479.8</v>
      </c>
      <c r="C31" s="125">
        <f>VLOOKUP($B$3,'Data for Bill Impacts'!$A$3:$Y$15,15,0)</f>
        <v>7.8279999999999999E-3</v>
      </c>
      <c r="D31" s="22">
        <f>B31*C31</f>
        <v>11.583874399999999</v>
      </c>
      <c r="E31" s="73">
        <f t="shared" si="6"/>
        <v>1479.8</v>
      </c>
      <c r="F31" s="125">
        <f>VLOOKUP($B$3,'Data for Bill Impacts'!$A$3:$Y$15,24,0)</f>
        <v>7.8279999999999999E-3</v>
      </c>
      <c r="G31" s="22">
        <f>E31*F31</f>
        <v>11.583874399999999</v>
      </c>
      <c r="H31" s="22">
        <f t="shared" si="1"/>
        <v>0</v>
      </c>
      <c r="I31" s="23">
        <f t="shared" si="8"/>
        <v>0</v>
      </c>
      <c r="J31" s="23">
        <f t="shared" si="9"/>
        <v>5.1470009646840051E-2</v>
      </c>
      <c r="K31" s="108">
        <f t="shared" si="10"/>
        <v>5.2336500869666368E-2</v>
      </c>
    </row>
    <row r="32" spans="1:11" x14ac:dyDescent="0.2">
      <c r="A32" s="107" t="s">
        <v>41</v>
      </c>
      <c r="B32" s="73">
        <f>B8</f>
        <v>1479.8</v>
      </c>
      <c r="C32" s="125">
        <f>VLOOKUP($B$3,'Data for Bill Impacts'!$A$3:$Y$15,16,0)</f>
        <v>6.4380000000000001E-3</v>
      </c>
      <c r="D32" s="22">
        <f>B32*C32</f>
        <v>9.5269524000000008</v>
      </c>
      <c r="E32" s="73">
        <f t="shared" si="6"/>
        <v>1479.8</v>
      </c>
      <c r="F32" s="125">
        <f>VLOOKUP($B$3,'Data for Bill Impacts'!$A$3:$Y$15,25,0)</f>
        <v>6.4380000000000001E-3</v>
      </c>
      <c r="G32" s="22">
        <f>E32*F32</f>
        <v>9.5269524000000008</v>
      </c>
      <c r="H32" s="22">
        <f t="shared" si="1"/>
        <v>0</v>
      </c>
      <c r="I32" s="23">
        <f t="shared" si="8"/>
        <v>0</v>
      </c>
      <c r="J32" s="23">
        <f t="shared" si="9"/>
        <v>4.2330598122937699E-2</v>
      </c>
      <c r="K32" s="108">
        <f t="shared" si="10"/>
        <v>4.3043228487341864E-2</v>
      </c>
    </row>
    <row r="33" spans="1:11" s="1" customFormat="1" x14ac:dyDescent="0.2">
      <c r="A33" s="110" t="s">
        <v>76</v>
      </c>
      <c r="B33" s="74"/>
      <c r="C33" s="35"/>
      <c r="D33" s="35">
        <f>SUM(D31:D32)</f>
        <v>21.110826799999998</v>
      </c>
      <c r="E33" s="73"/>
      <c r="F33" s="35"/>
      <c r="G33" s="35">
        <f>SUM(G31:G32)</f>
        <v>21.110826799999998</v>
      </c>
      <c r="H33" s="35">
        <f t="shared" si="1"/>
        <v>0</v>
      </c>
      <c r="I33" s="36">
        <f t="shared" si="8"/>
        <v>0</v>
      </c>
      <c r="J33" s="36">
        <f t="shared" si="9"/>
        <v>9.380060776977775E-2</v>
      </c>
      <c r="K33" s="111">
        <f t="shared" si="10"/>
        <v>9.5379729357008225E-2</v>
      </c>
    </row>
    <row r="34" spans="1:11" s="1" customFormat="1" x14ac:dyDescent="0.2">
      <c r="A34" s="110" t="s">
        <v>91</v>
      </c>
      <c r="B34" s="74"/>
      <c r="C34" s="35"/>
      <c r="D34" s="35">
        <f>D29+D33</f>
        <v>68.218626799999996</v>
      </c>
      <c r="E34" s="73"/>
      <c r="F34" s="35"/>
      <c r="G34" s="35">
        <f>G29+G33</f>
        <v>66.258626800000002</v>
      </c>
      <c r="H34" s="35">
        <f t="shared" si="1"/>
        <v>-1.9599999999999937</v>
      </c>
      <c r="I34" s="36">
        <f t="shared" si="8"/>
        <v>-2.8731155872518881E-2</v>
      </c>
      <c r="J34" s="36">
        <f t="shared" si="9"/>
        <v>0.29440341312595508</v>
      </c>
      <c r="K34" s="111">
        <f t="shared" si="10"/>
        <v>0.29935965803816894</v>
      </c>
    </row>
    <row r="35" spans="1:11" s="1" customFormat="1" x14ac:dyDescent="0.2">
      <c r="A35" s="110" t="s">
        <v>92</v>
      </c>
      <c r="B35" s="74"/>
      <c r="C35" s="35"/>
      <c r="D35" s="35">
        <f>D30+D33</f>
        <v>67.541922799999995</v>
      </c>
      <c r="E35" s="73"/>
      <c r="F35" s="35"/>
      <c r="G35" s="35">
        <f>G30+G33</f>
        <v>65.581922800000001</v>
      </c>
      <c r="H35" s="35">
        <f t="shared" si="1"/>
        <v>-1.9599999999999937</v>
      </c>
      <c r="I35" s="36">
        <f t="shared" si="8"/>
        <v>-2.9019013950843487E-2</v>
      </c>
      <c r="J35" s="36">
        <f t="shared" si="9"/>
        <v>0.29139665043107854</v>
      </c>
      <c r="K35" s="111">
        <f t="shared" si="10"/>
        <v>0.296302276866589</v>
      </c>
    </row>
    <row r="36" spans="1:11" x14ac:dyDescent="0.2">
      <c r="A36" s="107" t="s">
        <v>42</v>
      </c>
      <c r="B36" s="73">
        <f>B8</f>
        <v>1479.8</v>
      </c>
      <c r="C36" s="34">
        <v>3.5999999999999999E-3</v>
      </c>
      <c r="D36" s="22">
        <f>B36*C36</f>
        <v>5.32728</v>
      </c>
      <c r="E36" s="73">
        <f t="shared" si="6"/>
        <v>1479.8</v>
      </c>
      <c r="F36" s="34">
        <v>3.5999999999999999E-3</v>
      </c>
      <c r="G36" s="22">
        <f>E36*F36</f>
        <v>5.32728</v>
      </c>
      <c r="H36" s="22">
        <f t="shared" si="1"/>
        <v>0</v>
      </c>
      <c r="I36" s="23">
        <f t="shared" si="8"/>
        <v>0</v>
      </c>
      <c r="J36" s="23">
        <f t="shared" si="9"/>
        <v>2.3670418335286689E-2</v>
      </c>
      <c r="K36" s="108">
        <f t="shared" si="10"/>
        <v>2.4068906889473548E-2</v>
      </c>
    </row>
    <row r="37" spans="1:11" x14ac:dyDescent="0.2">
      <c r="A37" s="107" t="s">
        <v>43</v>
      </c>
      <c r="B37" s="73">
        <f>B8</f>
        <v>1479.8</v>
      </c>
      <c r="C37" s="34">
        <v>2.0999999999999999E-3</v>
      </c>
      <c r="D37" s="22">
        <f>B37*C37</f>
        <v>3.1075799999999996</v>
      </c>
      <c r="E37" s="73">
        <f t="shared" si="6"/>
        <v>1479.8</v>
      </c>
      <c r="F37" s="34">
        <v>2.0999999999999999E-3</v>
      </c>
      <c r="G37" s="22">
        <f>E37*F37</f>
        <v>3.1075799999999996</v>
      </c>
      <c r="H37" s="22">
        <f>G37-D37</f>
        <v>0</v>
      </c>
      <c r="I37" s="23">
        <f t="shared" si="8"/>
        <v>0</v>
      </c>
      <c r="J37" s="23">
        <f t="shared" si="9"/>
        <v>1.3807744028917233E-2</v>
      </c>
      <c r="K37" s="108">
        <f t="shared" si="10"/>
        <v>1.4040195685526233E-2</v>
      </c>
    </row>
    <row r="38" spans="1:11" x14ac:dyDescent="0.2">
      <c r="A38" s="107" t="s">
        <v>96</v>
      </c>
      <c r="B38" s="73">
        <f>B8</f>
        <v>1479.8</v>
      </c>
      <c r="C38" s="34">
        <v>0</v>
      </c>
      <c r="D38" s="22">
        <f>B38*C38</f>
        <v>0</v>
      </c>
      <c r="E38" s="73">
        <f t="shared" si="6"/>
        <v>1479.8</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1.1108116306673709E-3</v>
      </c>
      <c r="K39" s="108">
        <f t="shared" si="10"/>
        <v>1.1295120065715311E-3</v>
      </c>
    </row>
    <row r="40" spans="1:11" s="1" customFormat="1" x14ac:dyDescent="0.2">
      <c r="A40" s="110" t="s">
        <v>45</v>
      </c>
      <c r="B40" s="74"/>
      <c r="C40" s="35"/>
      <c r="D40" s="35">
        <f>SUM(D36:D39)</f>
        <v>8.6848600000000005</v>
      </c>
      <c r="E40" s="73"/>
      <c r="F40" s="35"/>
      <c r="G40" s="35">
        <f>SUM(G36:G39)</f>
        <v>8.6848600000000005</v>
      </c>
      <c r="H40" s="35">
        <f t="shared" si="1"/>
        <v>0</v>
      </c>
      <c r="I40" s="36">
        <f t="shared" si="8"/>
        <v>0</v>
      </c>
      <c r="J40" s="36">
        <f t="shared" si="9"/>
        <v>3.8588973994871295E-2</v>
      </c>
      <c r="K40" s="111">
        <f t="shared" si="10"/>
        <v>3.9238614581571317E-2</v>
      </c>
    </row>
    <row r="41" spans="1:11" s="1" customFormat="1" ht="13.5" thickBot="1" x14ac:dyDescent="0.25">
      <c r="A41" s="112" t="s">
        <v>46</v>
      </c>
      <c r="B41" s="113">
        <f>B4</f>
        <v>1400</v>
      </c>
      <c r="C41" s="114">
        <v>0</v>
      </c>
      <c r="D41" s="115">
        <f>B41*C41</f>
        <v>0</v>
      </c>
      <c r="E41" s="116">
        <f t="shared" si="6"/>
        <v>1400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216.30348680000003</v>
      </c>
      <c r="E42" s="38"/>
      <c r="F42" s="39"/>
      <c r="G42" s="39">
        <f>SUM(G14,G25,G26,G27,G33,G40,G41)</f>
        <v>214.34348679999999</v>
      </c>
      <c r="H42" s="39">
        <f t="shared" si="1"/>
        <v>-1.9600000000000364</v>
      </c>
      <c r="I42" s="40">
        <f t="shared" si="8"/>
        <v>-9.0613426024533043E-3</v>
      </c>
      <c r="J42" s="40">
        <f t="shared" si="9"/>
        <v>0.95238095238095244</v>
      </c>
      <c r="K42" s="41"/>
    </row>
    <row r="43" spans="1:11" x14ac:dyDescent="0.2">
      <c r="A43" s="153" t="s">
        <v>102</v>
      </c>
      <c r="B43" s="43"/>
      <c r="C43" s="26">
        <v>0.13</v>
      </c>
      <c r="D43" s="26">
        <f>D42*C43</f>
        <v>28.119453284000006</v>
      </c>
      <c r="E43" s="26"/>
      <c r="F43" s="26">
        <f>C43</f>
        <v>0.13</v>
      </c>
      <c r="G43" s="26">
        <f>G42*F43</f>
        <v>27.864653283999999</v>
      </c>
      <c r="H43" s="26">
        <f t="shared" si="1"/>
        <v>-0.25480000000000658</v>
      </c>
      <c r="I43" s="44">
        <f t="shared" si="8"/>
        <v>-9.0613426024533702E-3</v>
      </c>
      <c r="J43" s="44">
        <f t="shared" si="9"/>
        <v>0.12380952380952381</v>
      </c>
      <c r="K43" s="45"/>
    </row>
    <row r="44" spans="1:11" s="1" customFormat="1" x14ac:dyDescent="0.2">
      <c r="A44" s="46" t="s">
        <v>103</v>
      </c>
      <c r="B44" s="24"/>
      <c r="C44" s="25"/>
      <c r="D44" s="25">
        <f>SUM(D42:D43)</f>
        <v>244.42294008400003</v>
      </c>
      <c r="E44" s="25"/>
      <c r="F44" s="25"/>
      <c r="G44" s="25">
        <f>SUM(G42:G43)</f>
        <v>242.20814008399998</v>
      </c>
      <c r="H44" s="25">
        <f t="shared" si="1"/>
        <v>-2.2148000000000536</v>
      </c>
      <c r="I44" s="27">
        <f t="shared" si="8"/>
        <v>-9.0613426024533563E-3</v>
      </c>
      <c r="J44" s="27">
        <f t="shared" si="9"/>
        <v>1.0761904761904761</v>
      </c>
      <c r="K44" s="47"/>
    </row>
    <row r="45" spans="1:11" x14ac:dyDescent="0.2">
      <c r="A45" s="42" t="s">
        <v>104</v>
      </c>
      <c r="B45" s="43"/>
      <c r="C45" s="26">
        <v>-0.08</v>
      </c>
      <c r="D45" s="26">
        <f>D42*C45</f>
        <v>-17.304278944000004</v>
      </c>
      <c r="E45" s="26"/>
      <c r="F45" s="26">
        <f>C45</f>
        <v>-0.08</v>
      </c>
      <c r="G45" s="26">
        <f>G42*F45</f>
        <v>-17.147478944</v>
      </c>
      <c r="H45" s="26">
        <f t="shared" si="1"/>
        <v>0.15680000000000405</v>
      </c>
      <c r="I45" s="44">
        <f t="shared" si="8"/>
        <v>9.0613426024533702E-3</v>
      </c>
      <c r="J45" s="44">
        <f t="shared" si="9"/>
        <v>-7.6190476190476197E-2</v>
      </c>
      <c r="K45" s="45"/>
    </row>
    <row r="46" spans="1:11" s="1" customFormat="1" ht="13.5" thickBot="1" x14ac:dyDescent="0.25">
      <c r="A46" s="48" t="s">
        <v>105</v>
      </c>
      <c r="B46" s="49"/>
      <c r="C46" s="50"/>
      <c r="D46" s="50">
        <f>SUM(D44:D45)</f>
        <v>227.11866114000003</v>
      </c>
      <c r="E46" s="50"/>
      <c r="F46" s="50"/>
      <c r="G46" s="50">
        <f>SUM(G44:G45)</f>
        <v>225.06066113999998</v>
      </c>
      <c r="H46" s="50">
        <f t="shared" si="1"/>
        <v>-2.0580000000000496</v>
      </c>
      <c r="I46" s="51">
        <f t="shared" si="8"/>
        <v>-9.0613426024533546E-3</v>
      </c>
      <c r="J46" s="51">
        <f t="shared" si="9"/>
        <v>1</v>
      </c>
      <c r="K46" s="52"/>
    </row>
    <row r="47" spans="1:11" x14ac:dyDescent="0.2">
      <c r="A47" s="53" t="s">
        <v>106</v>
      </c>
      <c r="B47" s="54"/>
      <c r="C47" s="55"/>
      <c r="D47" s="55">
        <f>SUM(D18,D25,D26,D28,D33,D40,D41)</f>
        <v>212.75478279999999</v>
      </c>
      <c r="E47" s="55"/>
      <c r="F47" s="55"/>
      <c r="G47" s="55">
        <f>SUM(G18,G25,G26,G28,G33,G40,G41)</f>
        <v>210.79478280000001</v>
      </c>
      <c r="H47" s="55">
        <f>G47-D47</f>
        <v>-1.9599999999999795</v>
      </c>
      <c r="I47" s="56">
        <f t="shared" si="8"/>
        <v>-9.2124838473900562E-3</v>
      </c>
      <c r="J47" s="56"/>
      <c r="K47" s="57">
        <f>G47/$G$51</f>
        <v>0.95238095238095244</v>
      </c>
    </row>
    <row r="48" spans="1:11" x14ac:dyDescent="0.2">
      <c r="A48" s="58" t="s">
        <v>102</v>
      </c>
      <c r="B48" s="59"/>
      <c r="C48" s="31">
        <v>0.13</v>
      </c>
      <c r="D48" s="31">
        <f>D47*C48</f>
        <v>27.658121764000001</v>
      </c>
      <c r="E48" s="31"/>
      <c r="F48" s="31">
        <f>C48</f>
        <v>0.13</v>
      </c>
      <c r="G48" s="31">
        <f>G47*F48</f>
        <v>27.403321764000001</v>
      </c>
      <c r="H48" s="31">
        <f>G48-D48</f>
        <v>-0.25479999999999947</v>
      </c>
      <c r="I48" s="32">
        <f t="shared" si="8"/>
        <v>-9.2124838473901325E-3</v>
      </c>
      <c r="J48" s="32"/>
      <c r="K48" s="60">
        <f>G48/$G$51</f>
        <v>0.12380952380952381</v>
      </c>
    </row>
    <row r="49" spans="1:11" x14ac:dyDescent="0.2">
      <c r="A49" s="61" t="s">
        <v>107</v>
      </c>
      <c r="B49" s="29"/>
      <c r="C49" s="30"/>
      <c r="D49" s="30">
        <f>SUM(D47:D48)</f>
        <v>240.41290456399997</v>
      </c>
      <c r="E49" s="30"/>
      <c r="F49" s="30"/>
      <c r="G49" s="30">
        <f>SUM(G47:G48)</f>
        <v>238.198104564</v>
      </c>
      <c r="H49" s="30">
        <f>G49-D49</f>
        <v>-2.2147999999999683</v>
      </c>
      <c r="I49" s="33">
        <f t="shared" si="8"/>
        <v>-9.2124838473900215E-3</v>
      </c>
      <c r="J49" s="33"/>
      <c r="K49" s="62">
        <f>G49/$G$51</f>
        <v>1.0761904761904761</v>
      </c>
    </row>
    <row r="50" spans="1:11" x14ac:dyDescent="0.2">
      <c r="A50" s="58" t="s">
        <v>104</v>
      </c>
      <c r="B50" s="59"/>
      <c r="C50" s="31">
        <v>-0.08</v>
      </c>
      <c r="D50" s="31">
        <f>D47*C50</f>
        <v>-17.020382624</v>
      </c>
      <c r="E50" s="31"/>
      <c r="F50" s="31">
        <f>C50</f>
        <v>-0.08</v>
      </c>
      <c r="G50" s="31">
        <f>G47*F50</f>
        <v>-16.863582623999999</v>
      </c>
      <c r="H50" s="31">
        <f>G50-D50</f>
        <v>0.15680000000000049</v>
      </c>
      <c r="I50" s="32">
        <f t="shared" si="8"/>
        <v>9.2124838473901811E-3</v>
      </c>
      <c r="J50" s="32"/>
      <c r="K50" s="60">
        <f>G50/$G$51</f>
        <v>-7.6190476190476183E-2</v>
      </c>
    </row>
    <row r="51" spans="1:11" ht="13.5" thickBot="1" x14ac:dyDescent="0.25">
      <c r="A51" s="63" t="s">
        <v>116</v>
      </c>
      <c r="B51" s="64"/>
      <c r="C51" s="65"/>
      <c r="D51" s="65">
        <f>SUM(D49:D50)</f>
        <v>223.39252193999997</v>
      </c>
      <c r="E51" s="65"/>
      <c r="F51" s="65"/>
      <c r="G51" s="65">
        <f>SUM(G49:G50)</f>
        <v>221.33452194</v>
      </c>
      <c r="H51" s="65">
        <f>G51-D51</f>
        <v>-2.0579999999999643</v>
      </c>
      <c r="I51" s="66">
        <f t="shared" si="8"/>
        <v>-9.2124838473899937E-3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tint="0.499984740745262"/>
    <pageSetUpPr fitToPage="1"/>
  </sheetPr>
  <dimension ref="A1:K68"/>
  <sheetViews>
    <sheetView tabSelected="1" view="pageLayout" topLeftCell="A13"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117</v>
      </c>
      <c r="B1" s="189"/>
      <c r="C1" s="189"/>
      <c r="D1" s="189"/>
      <c r="E1" s="189"/>
      <c r="F1" s="189"/>
      <c r="G1" s="189"/>
      <c r="H1" s="189"/>
      <c r="I1" s="189"/>
      <c r="J1" s="189"/>
      <c r="K1" s="190"/>
    </row>
    <row r="3" spans="1:11" x14ac:dyDescent="0.2">
      <c r="A3" s="13" t="s">
        <v>13</v>
      </c>
      <c r="B3" s="13" t="s">
        <v>1</v>
      </c>
    </row>
    <row r="4" spans="1:11" x14ac:dyDescent="0.2">
      <c r="A4" s="15" t="s">
        <v>62</v>
      </c>
      <c r="B4" s="15">
        <v>400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7">
        <f>B4*B6</f>
        <v>430.40000000000003</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9.0999999999999998E-2</v>
      </c>
      <c r="D12" s="104">
        <f>B12*C12</f>
        <v>36.4</v>
      </c>
      <c r="E12" s="102">
        <f>B12</f>
        <v>400</v>
      </c>
      <c r="F12" s="103">
        <f>C12</f>
        <v>9.0999999999999998E-2</v>
      </c>
      <c r="G12" s="104">
        <f>E12*F12</f>
        <v>36.4</v>
      </c>
      <c r="H12" s="104">
        <f>G12-D12</f>
        <v>0</v>
      </c>
      <c r="I12" s="105">
        <f t="shared" ref="I12:I18" si="0">IF(ISERROR(H12/ABS(D12)),"N/A",(H12/ABS(D12)))</f>
        <v>0</v>
      </c>
      <c r="J12" s="105">
        <f>G12/$G$46</f>
        <v>0.34043752601368238</v>
      </c>
      <c r="K12" s="106"/>
    </row>
    <row r="13" spans="1:11" x14ac:dyDescent="0.2">
      <c r="A13" s="107" t="s">
        <v>32</v>
      </c>
      <c r="B13" s="73">
        <f>IF(B4&gt;B7,(B4)-B7,0)</f>
        <v>0</v>
      </c>
      <c r="C13" s="21">
        <v>0.106</v>
      </c>
      <c r="D13" s="22">
        <f>B13*C13</f>
        <v>0</v>
      </c>
      <c r="E13" s="73">
        <f>B13</f>
        <v>0</v>
      </c>
      <c r="F13" s="21">
        <f>C13</f>
        <v>0.106</v>
      </c>
      <c r="G13" s="22">
        <f>E13*F13</f>
        <v>0</v>
      </c>
      <c r="H13" s="22">
        <f t="shared" ref="H13:H46" si="1">G13-D13</f>
        <v>0</v>
      </c>
      <c r="I13" s="23" t="str">
        <f t="shared" si="0"/>
        <v>N/A</v>
      </c>
      <c r="J13" s="23">
        <f>G13/$G$46</f>
        <v>0</v>
      </c>
      <c r="K13" s="108"/>
    </row>
    <row r="14" spans="1:11" s="1" customFormat="1" x14ac:dyDescent="0.2">
      <c r="A14" s="46" t="s">
        <v>33</v>
      </c>
      <c r="B14" s="24"/>
      <c r="C14" s="25"/>
      <c r="D14" s="25">
        <f>SUM(D12:D13)</f>
        <v>36.4</v>
      </c>
      <c r="E14" s="76"/>
      <c r="F14" s="25"/>
      <c r="G14" s="25">
        <f>SUM(G12:G13)</f>
        <v>36.4</v>
      </c>
      <c r="H14" s="25">
        <f t="shared" si="1"/>
        <v>0</v>
      </c>
      <c r="I14" s="27">
        <f t="shared" si="0"/>
        <v>0</v>
      </c>
      <c r="J14" s="27">
        <f>G14/$G$46</f>
        <v>0.34043752601368238</v>
      </c>
      <c r="K14" s="108"/>
    </row>
    <row r="15" spans="1:11" s="1" customFormat="1" x14ac:dyDescent="0.2">
      <c r="A15" s="109" t="s">
        <v>34</v>
      </c>
      <c r="B15" s="75">
        <f>B4*0.65</f>
        <v>260</v>
      </c>
      <c r="C15" s="28">
        <v>7.6999999999999999E-2</v>
      </c>
      <c r="D15" s="22">
        <f>B15*C15</f>
        <v>20.02</v>
      </c>
      <c r="E15" s="73">
        <f t="shared" ref="E15:F17" si="2">B15</f>
        <v>260</v>
      </c>
      <c r="F15" s="28">
        <f t="shared" si="2"/>
        <v>7.6999999999999999E-2</v>
      </c>
      <c r="G15" s="22">
        <f>E15*F15</f>
        <v>20.02</v>
      </c>
      <c r="H15" s="22">
        <f t="shared" si="1"/>
        <v>0</v>
      </c>
      <c r="I15" s="23">
        <f t="shared" si="0"/>
        <v>0</v>
      </c>
      <c r="J15" s="23"/>
      <c r="K15" s="108">
        <f t="shared" ref="K15:K26" si="3">G15/$G$51</f>
        <v>0.18221907490377823</v>
      </c>
    </row>
    <row r="16" spans="1:11" s="1" customFormat="1" x14ac:dyDescent="0.2">
      <c r="A16" s="109" t="s">
        <v>35</v>
      </c>
      <c r="B16" s="75">
        <f>B4*0.17</f>
        <v>68</v>
      </c>
      <c r="C16" s="28">
        <v>0.113</v>
      </c>
      <c r="D16" s="22">
        <f>B16*C16</f>
        <v>7.6840000000000002</v>
      </c>
      <c r="E16" s="73">
        <f t="shared" si="2"/>
        <v>68</v>
      </c>
      <c r="F16" s="28">
        <f t="shared" si="2"/>
        <v>0.113</v>
      </c>
      <c r="G16" s="22">
        <f>E16*F16</f>
        <v>7.6840000000000002</v>
      </c>
      <c r="H16" s="22">
        <f t="shared" si="1"/>
        <v>0</v>
      </c>
      <c r="I16" s="23">
        <f t="shared" si="0"/>
        <v>0</v>
      </c>
      <c r="J16" s="23"/>
      <c r="K16" s="108">
        <f t="shared" si="3"/>
        <v>6.9938629948083517E-2</v>
      </c>
    </row>
    <row r="17" spans="1:11" s="1" customFormat="1" x14ac:dyDescent="0.2">
      <c r="A17" s="109" t="s">
        <v>36</v>
      </c>
      <c r="B17" s="75">
        <f>B4*0.18</f>
        <v>72</v>
      </c>
      <c r="C17" s="28">
        <v>0.157</v>
      </c>
      <c r="D17" s="22">
        <f>B17*C17</f>
        <v>11.304</v>
      </c>
      <c r="E17" s="73">
        <f t="shared" si="2"/>
        <v>72</v>
      </c>
      <c r="F17" s="28">
        <f t="shared" si="2"/>
        <v>0.157</v>
      </c>
      <c r="G17" s="22">
        <f>E17*F17</f>
        <v>11.304</v>
      </c>
      <c r="H17" s="22">
        <f t="shared" si="1"/>
        <v>0</v>
      </c>
      <c r="I17" s="23">
        <f t="shared" si="0"/>
        <v>0</v>
      </c>
      <c r="J17" s="23"/>
      <c r="K17" s="108">
        <f t="shared" si="3"/>
        <v>0.10288733380181364</v>
      </c>
    </row>
    <row r="18" spans="1:11" s="1" customFormat="1" x14ac:dyDescent="0.2">
      <c r="A18" s="61" t="s">
        <v>37</v>
      </c>
      <c r="B18" s="29"/>
      <c r="C18" s="30"/>
      <c r="D18" s="30">
        <f>SUM(D15:D17)</f>
        <v>39.008000000000003</v>
      </c>
      <c r="E18" s="77"/>
      <c r="F18" s="30"/>
      <c r="G18" s="30">
        <f>SUM(G15:G17)</f>
        <v>39.008000000000003</v>
      </c>
      <c r="H18" s="31">
        <f t="shared" si="1"/>
        <v>0</v>
      </c>
      <c r="I18" s="32">
        <f t="shared" si="0"/>
        <v>0</v>
      </c>
      <c r="J18" s="33">
        <f t="shared" ref="J18:J26" si="4">G18/$G$46</f>
        <v>0.36482931359180559</v>
      </c>
      <c r="K18" s="62">
        <f t="shared" si="3"/>
        <v>0.35504503865367543</v>
      </c>
    </row>
    <row r="19" spans="1:11" x14ac:dyDescent="0.2">
      <c r="A19" s="107" t="s">
        <v>38</v>
      </c>
      <c r="B19" s="73">
        <v>1</v>
      </c>
      <c r="C19" s="78">
        <f>VLOOKUP($B$3,'Data for Bill Impacts'!$A$3:$Y$15,7,0)</f>
        <v>42.19</v>
      </c>
      <c r="D19" s="22">
        <f t="shared" ref="D19:D24" si="5">B19*C19</f>
        <v>42.19</v>
      </c>
      <c r="E19" s="73">
        <f t="shared" ref="E19:E41" si="6">B19</f>
        <v>1</v>
      </c>
      <c r="F19" s="121">
        <f>VLOOKUP($B$3,'Data for Bill Impacts'!$A$3:$Y$15,17,0)</f>
        <v>47.06</v>
      </c>
      <c r="G19" s="22">
        <f t="shared" ref="G19:G24" si="7">E19*F19</f>
        <v>47.06</v>
      </c>
      <c r="H19" s="22">
        <f t="shared" si="1"/>
        <v>4.8700000000000045</v>
      </c>
      <c r="I19" s="23">
        <f>IF(ISERROR(H19/ABS(D19)),"N/A",(H19/ABS(D19)))</f>
        <v>0.11543019672908283</v>
      </c>
      <c r="J19" s="23">
        <f t="shared" si="4"/>
        <v>0.44013708720340367</v>
      </c>
      <c r="K19" s="108">
        <f t="shared" si="3"/>
        <v>0.42833315009849171</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4.0000000000000001E-3</v>
      </c>
      <c r="D22" s="22">
        <f t="shared" si="5"/>
        <v>4.0000000000000001E-3</v>
      </c>
      <c r="E22" s="73">
        <f t="shared" si="6"/>
        <v>1</v>
      </c>
      <c r="F22" s="121">
        <f>VLOOKUP($B$3,'Data for Bill Impacts'!$A$3:$Y$15,22,0)</f>
        <v>4.0000000000000001E-3</v>
      </c>
      <c r="G22" s="22">
        <f t="shared" si="7"/>
        <v>4.0000000000000001E-3</v>
      </c>
      <c r="H22" s="22">
        <f t="shared" si="1"/>
        <v>0</v>
      </c>
      <c r="I22" s="23">
        <f t="shared" ref="I22:I51" si="8">IF(ISERROR(H22/ABS(D22)),"N/A",(H22/ABS(D22)))</f>
        <v>0</v>
      </c>
      <c r="J22" s="23">
        <f t="shared" si="4"/>
        <v>3.7410717144360703E-5</v>
      </c>
      <c r="K22" s="108">
        <f t="shared" si="3"/>
        <v>3.6407407573182464E-5</v>
      </c>
    </row>
    <row r="23" spans="1:11" x14ac:dyDescent="0.2">
      <c r="A23" s="107" t="s">
        <v>39</v>
      </c>
      <c r="B23" s="73">
        <f>IF($B$9="kWh",$B$4,$B$5)</f>
        <v>400</v>
      </c>
      <c r="C23" s="78">
        <f>VLOOKUP($B$3,'Data for Bill Impacts'!$A$3:$Y$15,10,0)</f>
        <v>1.9300000000000001E-2</v>
      </c>
      <c r="D23" s="22">
        <f t="shared" si="5"/>
        <v>7.7200000000000006</v>
      </c>
      <c r="E23" s="73">
        <f t="shared" si="6"/>
        <v>400</v>
      </c>
      <c r="F23" s="125">
        <f>VLOOKUP($B$3,'Data for Bill Impacts'!$A$3:$Y$15,19,0)</f>
        <v>1.6E-2</v>
      </c>
      <c r="G23" s="22">
        <f t="shared" si="7"/>
        <v>6.4</v>
      </c>
      <c r="H23" s="22">
        <f t="shared" si="1"/>
        <v>-1.3200000000000003</v>
      </c>
      <c r="I23" s="23">
        <f t="shared" si="8"/>
        <v>-0.17098445595854925</v>
      </c>
      <c r="J23" s="23">
        <f t="shared" si="4"/>
        <v>5.9857147430977128E-2</v>
      </c>
      <c r="K23" s="108">
        <f t="shared" si="3"/>
        <v>5.8251852117091947E-2</v>
      </c>
    </row>
    <row r="24" spans="1:11" x14ac:dyDescent="0.2">
      <c r="A24" s="107" t="s">
        <v>121</v>
      </c>
      <c r="B24" s="73">
        <f>IF($B$9="kWh",$B$4,$B$5)</f>
        <v>400</v>
      </c>
      <c r="C24" s="125">
        <f>VLOOKUP($B$3,'Data for Bill Impacts'!$A$3:$Y$15,14,0)</f>
        <v>2.0000000000000002E-5</v>
      </c>
      <c r="D24" s="22">
        <f t="shared" si="5"/>
        <v>8.0000000000000002E-3</v>
      </c>
      <c r="E24" s="73">
        <f>B24</f>
        <v>400</v>
      </c>
      <c r="F24" s="125">
        <f>VLOOKUP($B$3,'Data for Bill Impacts'!$A$3:$Y$15,23,0)</f>
        <v>2.0000000000000002E-5</v>
      </c>
      <c r="G24" s="22">
        <f t="shared" si="7"/>
        <v>8.0000000000000002E-3</v>
      </c>
      <c r="H24" s="22">
        <f>G24-D24</f>
        <v>0</v>
      </c>
      <c r="I24" s="23">
        <f t="shared" si="8"/>
        <v>0</v>
      </c>
      <c r="J24" s="23">
        <f t="shared" si="4"/>
        <v>7.4821434288721407E-5</v>
      </c>
      <c r="K24" s="108">
        <f t="shared" si="3"/>
        <v>7.2814815146364929E-5</v>
      </c>
    </row>
    <row r="25" spans="1:11" s="1" customFormat="1" x14ac:dyDescent="0.2">
      <c r="A25" s="110" t="s">
        <v>72</v>
      </c>
      <c r="B25" s="74"/>
      <c r="C25" s="35"/>
      <c r="D25" s="35">
        <f>SUM(D19:D24)</f>
        <v>49.921999999999997</v>
      </c>
      <c r="E25" s="73"/>
      <c r="F25" s="35"/>
      <c r="G25" s="35">
        <f>SUM(G19:G24)</f>
        <v>53.472000000000001</v>
      </c>
      <c r="H25" s="35">
        <f t="shared" si="1"/>
        <v>3.5500000000000043</v>
      </c>
      <c r="I25" s="36">
        <f t="shared" si="8"/>
        <v>7.1110933055566775E-2</v>
      </c>
      <c r="J25" s="36">
        <f t="shared" si="4"/>
        <v>0.50010646678581394</v>
      </c>
      <c r="K25" s="111">
        <f t="shared" si="3"/>
        <v>0.48669422443830318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7.3886166360112391E-3</v>
      </c>
      <c r="K26" s="108">
        <f t="shared" si="3"/>
        <v>7.1904629957035369E-3</v>
      </c>
    </row>
    <row r="27" spans="1:11" s="1" customFormat="1" x14ac:dyDescent="0.2">
      <c r="A27" s="119" t="s">
        <v>75</v>
      </c>
      <c r="B27" s="120">
        <f>B8-B4</f>
        <v>30.400000000000034</v>
      </c>
      <c r="C27" s="172">
        <f>IF(B4&gt;B7,C13,C12)</f>
        <v>9.0999999999999998E-2</v>
      </c>
      <c r="D27" s="22">
        <f>B27*C27</f>
        <v>2.7664000000000031</v>
      </c>
      <c r="E27" s="73">
        <f>B27</f>
        <v>30.400000000000034</v>
      </c>
      <c r="F27" s="172">
        <f>C27</f>
        <v>9.0999999999999998E-2</v>
      </c>
      <c r="G27" s="22">
        <f>E27*F27</f>
        <v>2.7664000000000031</v>
      </c>
      <c r="H27" s="22">
        <f t="shared" si="1"/>
        <v>0</v>
      </c>
      <c r="I27" s="23">
        <f t="shared" si="8"/>
        <v>0</v>
      </c>
      <c r="J27" s="23">
        <f t="shared" ref="J27:J46" si="9">G27/$G$46</f>
        <v>2.587325197703989E-2</v>
      </c>
      <c r="K27" s="108">
        <f t="shared" ref="K27:K41" si="10">G27/$G$51</f>
        <v>2.517936307761302E-2</v>
      </c>
    </row>
    <row r="28" spans="1:11" s="1" customFormat="1" x14ac:dyDescent="0.2">
      <c r="A28" s="119" t="s">
        <v>74</v>
      </c>
      <c r="B28" s="120">
        <f>B8-B4</f>
        <v>30.400000000000034</v>
      </c>
      <c r="C28" s="172">
        <f>0.65*C15+0.17*C16+0.18*C17</f>
        <v>9.7519999999999996E-2</v>
      </c>
      <c r="D28" s="22">
        <f>B28*C28</f>
        <v>2.9646080000000032</v>
      </c>
      <c r="E28" s="73">
        <f>B28</f>
        <v>30.400000000000034</v>
      </c>
      <c r="F28" s="172">
        <f>C28</f>
        <v>9.7519999999999996E-2</v>
      </c>
      <c r="G28" s="22">
        <f>E28*F28</f>
        <v>2.9646080000000032</v>
      </c>
      <c r="H28" s="22">
        <f t="shared" si="1"/>
        <v>0</v>
      </c>
      <c r="I28" s="23">
        <f t="shared" si="8"/>
        <v>0</v>
      </c>
      <c r="J28" s="23">
        <f t="shared" si="9"/>
        <v>2.7727027832977254E-2</v>
      </c>
      <c r="K28" s="108">
        <f t="shared" si="10"/>
        <v>2.6983422937679358E-2</v>
      </c>
    </row>
    <row r="29" spans="1:11" s="1" customFormat="1" x14ac:dyDescent="0.2">
      <c r="A29" s="110" t="s">
        <v>78</v>
      </c>
      <c r="B29" s="74"/>
      <c r="C29" s="35"/>
      <c r="D29" s="35">
        <f>SUM(D25,D26:D27)</f>
        <v>53.478400000000001</v>
      </c>
      <c r="E29" s="73"/>
      <c r="F29" s="35"/>
      <c r="G29" s="35">
        <f>SUM(G25,G26:G27)</f>
        <v>57.028400000000005</v>
      </c>
      <c r="H29" s="35">
        <f t="shared" si="1"/>
        <v>3.5500000000000043</v>
      </c>
      <c r="I29" s="36">
        <f t="shared" si="8"/>
        <v>6.6381941120153262E-2</v>
      </c>
      <c r="J29" s="36">
        <f t="shared" si="9"/>
        <v>0.53336833539886497</v>
      </c>
      <c r="K29" s="111">
        <f t="shared" si="10"/>
        <v>0.51906405051161975</v>
      </c>
    </row>
    <row r="30" spans="1:11" s="1" customFormat="1" x14ac:dyDescent="0.2">
      <c r="A30" s="110" t="s">
        <v>77</v>
      </c>
      <c r="B30" s="74"/>
      <c r="C30" s="35"/>
      <c r="D30" s="35">
        <f>SUM(D25,D26,D28)</f>
        <v>53.676608000000002</v>
      </c>
      <c r="E30" s="73"/>
      <c r="F30" s="35"/>
      <c r="G30" s="35">
        <f>SUM(G25,G26,G28)</f>
        <v>57.226608000000006</v>
      </c>
      <c r="H30" s="35">
        <f t="shared" si="1"/>
        <v>3.5500000000000043</v>
      </c>
      <c r="I30" s="36">
        <f t="shared" si="8"/>
        <v>6.6136816991118438E-2</v>
      </c>
      <c r="J30" s="36">
        <f t="shared" si="9"/>
        <v>0.53522211125480235</v>
      </c>
      <c r="K30" s="111">
        <f t="shared" si="10"/>
        <v>0.52086811037168612</v>
      </c>
    </row>
    <row r="31" spans="1:11" x14ac:dyDescent="0.2">
      <c r="A31" s="107" t="s">
        <v>40</v>
      </c>
      <c r="B31" s="73">
        <f>B8</f>
        <v>430.40000000000003</v>
      </c>
      <c r="C31" s="125">
        <f>VLOOKUP($B$3,'Data for Bill Impacts'!$A$3:$Y$15,15,0)</f>
        <v>7.2069999999999999E-3</v>
      </c>
      <c r="D31" s="22">
        <f>B31*C31</f>
        <v>3.1018928000000003</v>
      </c>
      <c r="E31" s="73">
        <f t="shared" si="6"/>
        <v>430.40000000000003</v>
      </c>
      <c r="F31" s="125">
        <f>VLOOKUP($B$3,'Data for Bill Impacts'!$A$3:$Y$15,24,0)</f>
        <v>7.2069999999999999E-3</v>
      </c>
      <c r="G31" s="22">
        <f>E31*F31</f>
        <v>3.1018928000000003</v>
      </c>
      <c r="H31" s="22">
        <f t="shared" si="1"/>
        <v>0</v>
      </c>
      <c r="I31" s="23">
        <f t="shared" si="8"/>
        <v>0</v>
      </c>
      <c r="J31" s="23">
        <f t="shared" si="9"/>
        <v>2.9011008538232259E-2</v>
      </c>
      <c r="K31" s="108">
        <f t="shared" si="10"/>
        <v>2.8232968854480043E-2</v>
      </c>
    </row>
    <row r="32" spans="1:11" x14ac:dyDescent="0.2">
      <c r="A32" s="107" t="s">
        <v>41</v>
      </c>
      <c r="B32" s="73">
        <f>B8</f>
        <v>430.40000000000003</v>
      </c>
      <c r="C32" s="125">
        <f>VLOOKUP($B$3,'Data for Bill Impacts'!$A$3:$Y$15,16,0)</f>
        <v>6.0319999999999992E-3</v>
      </c>
      <c r="D32" s="22">
        <f>B32*C32</f>
        <v>2.5961727999999997</v>
      </c>
      <c r="E32" s="73">
        <f t="shared" si="6"/>
        <v>430.40000000000003</v>
      </c>
      <c r="F32" s="125">
        <f>VLOOKUP($B$3,'Data for Bill Impacts'!$A$3:$Y$15,25,0)</f>
        <v>6.0319999999999992E-3</v>
      </c>
      <c r="G32" s="22">
        <f>E32*F32</f>
        <v>2.5961727999999997</v>
      </c>
      <c r="H32" s="22">
        <f t="shared" si="1"/>
        <v>0</v>
      </c>
      <c r="I32" s="23">
        <f t="shared" si="8"/>
        <v>0</v>
      </c>
      <c r="J32" s="23">
        <f t="shared" si="9"/>
        <v>2.4281171569670731E-2</v>
      </c>
      <c r="K32" s="108">
        <f t="shared" si="10"/>
        <v>2.3629980315002578E-2</v>
      </c>
    </row>
    <row r="33" spans="1:11" s="1" customFormat="1" x14ac:dyDescent="0.2">
      <c r="A33" s="110" t="s">
        <v>76</v>
      </c>
      <c r="B33" s="74"/>
      <c r="C33" s="35"/>
      <c r="D33" s="35">
        <f>SUM(D31:D32)</f>
        <v>5.6980655999999996</v>
      </c>
      <c r="E33" s="73"/>
      <c r="F33" s="35"/>
      <c r="G33" s="35">
        <f>SUM(G31:G32)</f>
        <v>5.6980655999999996</v>
      </c>
      <c r="H33" s="35">
        <f t="shared" si="1"/>
        <v>0</v>
      </c>
      <c r="I33" s="36">
        <f t="shared" si="8"/>
        <v>0</v>
      </c>
      <c r="J33" s="36">
        <f t="shared" si="9"/>
        <v>5.3292180107902987E-2</v>
      </c>
      <c r="K33" s="111">
        <f t="shared" si="10"/>
        <v>5.1862949169482614E-2</v>
      </c>
    </row>
    <row r="34" spans="1:11" s="1" customFormat="1" x14ac:dyDescent="0.2">
      <c r="A34" s="110" t="s">
        <v>91</v>
      </c>
      <c r="B34" s="74"/>
      <c r="C34" s="35"/>
      <c r="D34" s="35">
        <f>D29+D33</f>
        <v>59.1764656</v>
      </c>
      <c r="E34" s="73"/>
      <c r="F34" s="35"/>
      <c r="G34" s="35">
        <f>G29+G33</f>
        <v>62.726465600000004</v>
      </c>
      <c r="H34" s="35">
        <f t="shared" si="1"/>
        <v>3.5500000000000043</v>
      </c>
      <c r="I34" s="36">
        <f t="shared" si="8"/>
        <v>5.9990064698963778E-2</v>
      </c>
      <c r="J34" s="36">
        <f t="shared" si="9"/>
        <v>0.58666051550676801</v>
      </c>
      <c r="K34" s="111">
        <f t="shared" si="10"/>
        <v>0.57092699968110239</v>
      </c>
    </row>
    <row r="35" spans="1:11" s="1" customFormat="1" x14ac:dyDescent="0.2">
      <c r="A35" s="110" t="s">
        <v>92</v>
      </c>
      <c r="B35" s="74"/>
      <c r="C35" s="35"/>
      <c r="D35" s="35">
        <f>D30+D33</f>
        <v>59.374673600000001</v>
      </c>
      <c r="E35" s="73"/>
      <c r="F35" s="35"/>
      <c r="G35" s="35">
        <f>G30+G33</f>
        <v>62.924673600000006</v>
      </c>
      <c r="H35" s="35">
        <f t="shared" si="1"/>
        <v>3.5500000000000043</v>
      </c>
      <c r="I35" s="36">
        <f t="shared" si="8"/>
        <v>5.9789802364488352E-2</v>
      </c>
      <c r="J35" s="36">
        <f t="shared" si="9"/>
        <v>0.58851429136270539</v>
      </c>
      <c r="K35" s="111">
        <f t="shared" si="10"/>
        <v>0.57273105954116865</v>
      </c>
    </row>
    <row r="36" spans="1:11" x14ac:dyDescent="0.2">
      <c r="A36" s="107" t="s">
        <v>42</v>
      </c>
      <c r="B36" s="73">
        <f>B8</f>
        <v>430.40000000000003</v>
      </c>
      <c r="C36" s="34">
        <v>3.5999999999999999E-3</v>
      </c>
      <c r="D36" s="22">
        <f>B36*C36</f>
        <v>1.5494400000000002</v>
      </c>
      <c r="E36" s="73">
        <f t="shared" si="6"/>
        <v>430.40000000000003</v>
      </c>
      <c r="F36" s="34">
        <v>3.5999999999999999E-3</v>
      </c>
      <c r="G36" s="22">
        <f>E36*F36</f>
        <v>1.5494400000000002</v>
      </c>
      <c r="H36" s="22">
        <f t="shared" si="1"/>
        <v>0</v>
      </c>
      <c r="I36" s="23">
        <f t="shared" si="8"/>
        <v>0</v>
      </c>
      <c r="J36" s="23">
        <f t="shared" si="9"/>
        <v>1.4491415393039563E-2</v>
      </c>
      <c r="K36" s="108">
        <f t="shared" si="10"/>
        <v>1.4102773397547961E-2</v>
      </c>
    </row>
    <row r="37" spans="1:11" x14ac:dyDescent="0.2">
      <c r="A37" s="107" t="s">
        <v>43</v>
      </c>
      <c r="B37" s="73">
        <f>B8</f>
        <v>430.40000000000003</v>
      </c>
      <c r="C37" s="34">
        <v>2.0999999999999999E-3</v>
      </c>
      <c r="D37" s="22">
        <f>B37*C37</f>
        <v>0.90383999999999998</v>
      </c>
      <c r="E37" s="73">
        <f t="shared" si="6"/>
        <v>430.40000000000003</v>
      </c>
      <c r="F37" s="34">
        <v>2.0999999999999999E-3</v>
      </c>
      <c r="G37" s="22">
        <f>E37*F37</f>
        <v>0.90383999999999998</v>
      </c>
      <c r="H37" s="22">
        <f>G37-D37</f>
        <v>0</v>
      </c>
      <c r="I37" s="23">
        <f t="shared" si="8"/>
        <v>0</v>
      </c>
      <c r="J37" s="23">
        <f t="shared" si="9"/>
        <v>8.4533256459397438E-3</v>
      </c>
      <c r="K37" s="108">
        <f t="shared" si="10"/>
        <v>8.2266178152363093E-3</v>
      </c>
    </row>
    <row r="38" spans="1:11" x14ac:dyDescent="0.2">
      <c r="A38" s="107" t="s">
        <v>96</v>
      </c>
      <c r="B38" s="73">
        <f>B8</f>
        <v>430.40000000000003</v>
      </c>
      <c r="C38" s="34">
        <v>0</v>
      </c>
      <c r="D38" s="22">
        <f>B38*C38</f>
        <v>0</v>
      </c>
      <c r="E38" s="73">
        <f t="shared" si="6"/>
        <v>430.40000000000003</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2.3381698215225438E-3</v>
      </c>
      <c r="K39" s="108">
        <f t="shared" si="10"/>
        <v>2.2754629733239039E-3</v>
      </c>
    </row>
    <row r="40" spans="1:11" s="1" customFormat="1" x14ac:dyDescent="0.2">
      <c r="A40" s="110" t="s">
        <v>45</v>
      </c>
      <c r="B40" s="74"/>
      <c r="C40" s="35"/>
      <c r="D40" s="35">
        <f>SUM(D36:D39)</f>
        <v>2.7032800000000003</v>
      </c>
      <c r="E40" s="73"/>
      <c r="F40" s="35"/>
      <c r="G40" s="35">
        <f>SUM(G36:G39)</f>
        <v>2.7032800000000003</v>
      </c>
      <c r="H40" s="35">
        <f t="shared" si="1"/>
        <v>0</v>
      </c>
      <c r="I40" s="36">
        <f t="shared" si="8"/>
        <v>0</v>
      </c>
      <c r="J40" s="36">
        <f t="shared" si="9"/>
        <v>2.5282910860501853E-2</v>
      </c>
      <c r="K40" s="111">
        <f t="shared" si="10"/>
        <v>2.4604854186108176E-2</v>
      </c>
    </row>
    <row r="41" spans="1:11" s="1" customFormat="1" ht="13.5" thickBot="1" x14ac:dyDescent="0.25">
      <c r="A41" s="112" t="s">
        <v>46</v>
      </c>
      <c r="B41" s="113">
        <f>B4</f>
        <v>400</v>
      </c>
      <c r="C41" s="114">
        <v>0</v>
      </c>
      <c r="D41" s="115">
        <f>B41*C41</f>
        <v>0</v>
      </c>
      <c r="E41" s="116">
        <f t="shared" si="6"/>
        <v>400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98.279745600000012</v>
      </c>
      <c r="E42" s="38"/>
      <c r="F42" s="39"/>
      <c r="G42" s="39">
        <f>SUM(G14,G25,G26,G27,G33,G40,G41)</f>
        <v>101.82974560000002</v>
      </c>
      <c r="H42" s="39">
        <f t="shared" si="1"/>
        <v>3.5500000000000114</v>
      </c>
      <c r="I42" s="40">
        <f t="shared" si="8"/>
        <v>3.6121379622293316E-2</v>
      </c>
      <c r="J42" s="40">
        <f t="shared" si="9"/>
        <v>0.95238095238095244</v>
      </c>
      <c r="K42" s="41"/>
    </row>
    <row r="43" spans="1:11" x14ac:dyDescent="0.2">
      <c r="A43" s="153" t="s">
        <v>102</v>
      </c>
      <c r="B43" s="43"/>
      <c r="C43" s="26">
        <v>0.13</v>
      </c>
      <c r="D43" s="26">
        <f>D42*C43</f>
        <v>12.776366928000002</v>
      </c>
      <c r="E43" s="26"/>
      <c r="F43" s="26">
        <f>C43</f>
        <v>0.13</v>
      </c>
      <c r="G43" s="26">
        <f>G42*F43</f>
        <v>13.237866928000004</v>
      </c>
      <c r="H43" s="26">
        <f t="shared" si="1"/>
        <v>0.46150000000000269</v>
      </c>
      <c r="I43" s="44">
        <f t="shared" si="8"/>
        <v>3.6121379622293406E-2</v>
      </c>
      <c r="J43" s="44">
        <f t="shared" si="9"/>
        <v>0.12380952380952383</v>
      </c>
      <c r="K43" s="45"/>
    </row>
    <row r="44" spans="1:11" s="1" customFormat="1" x14ac:dyDescent="0.2">
      <c r="A44" s="46" t="s">
        <v>103</v>
      </c>
      <c r="B44" s="24"/>
      <c r="C44" s="25"/>
      <c r="D44" s="25">
        <f>SUM(D42:D43)</f>
        <v>111.05611252800001</v>
      </c>
      <c r="E44" s="25"/>
      <c r="F44" s="25"/>
      <c r="G44" s="25">
        <f>SUM(G42:G43)</f>
        <v>115.06761252800003</v>
      </c>
      <c r="H44" s="25">
        <f t="shared" si="1"/>
        <v>4.0115000000000123</v>
      </c>
      <c r="I44" s="27">
        <f t="shared" si="8"/>
        <v>3.6121379622293309E-2</v>
      </c>
      <c r="J44" s="27">
        <f t="shared" si="9"/>
        <v>1.0761904761904761</v>
      </c>
      <c r="K44" s="47"/>
    </row>
    <row r="45" spans="1:11" x14ac:dyDescent="0.2">
      <c r="A45" s="42" t="s">
        <v>104</v>
      </c>
      <c r="B45" s="43"/>
      <c r="C45" s="26">
        <v>-0.08</v>
      </c>
      <c r="D45" s="26">
        <f>D42*C45</f>
        <v>-7.862379648000001</v>
      </c>
      <c r="E45" s="26"/>
      <c r="F45" s="26">
        <f>C45</f>
        <v>-0.08</v>
      </c>
      <c r="G45" s="26">
        <f>G42*F45</f>
        <v>-8.1463796480000017</v>
      </c>
      <c r="H45" s="26">
        <f t="shared" si="1"/>
        <v>-0.2840000000000007</v>
      </c>
      <c r="I45" s="44">
        <f t="shared" si="8"/>
        <v>-3.6121379622293288E-2</v>
      </c>
      <c r="J45" s="44">
        <f t="shared" si="9"/>
        <v>-7.6190476190476197E-2</v>
      </c>
      <c r="K45" s="45"/>
    </row>
    <row r="46" spans="1:11" s="1" customFormat="1" ht="13.5" thickBot="1" x14ac:dyDescent="0.25">
      <c r="A46" s="48" t="s">
        <v>105</v>
      </c>
      <c r="B46" s="49"/>
      <c r="C46" s="50"/>
      <c r="D46" s="50">
        <f>SUM(D44:D45)</f>
        <v>103.19373288000001</v>
      </c>
      <c r="E46" s="50"/>
      <c r="F46" s="50"/>
      <c r="G46" s="50">
        <f>SUM(G44:G45)</f>
        <v>106.92123288000002</v>
      </c>
      <c r="H46" s="50">
        <f t="shared" si="1"/>
        <v>3.7275000000000063</v>
      </c>
      <c r="I46" s="51">
        <f t="shared" si="8"/>
        <v>3.6121379622293261E-2</v>
      </c>
      <c r="J46" s="51">
        <f t="shared" si="9"/>
        <v>1</v>
      </c>
      <c r="K46" s="52"/>
    </row>
    <row r="47" spans="1:11" x14ac:dyDescent="0.2">
      <c r="A47" s="53" t="s">
        <v>106</v>
      </c>
      <c r="B47" s="54"/>
      <c r="C47" s="55"/>
      <c r="D47" s="55">
        <f>SUM(D18,D25,D26,D28,D33,D40,D41)</f>
        <v>101.08595360000001</v>
      </c>
      <c r="E47" s="55"/>
      <c r="F47" s="55"/>
      <c r="G47" s="55">
        <f>SUM(G18,G25,G26,G28,G33,G40,G41)</f>
        <v>104.63595360000002</v>
      </c>
      <c r="H47" s="55">
        <f>G47-D47</f>
        <v>3.5500000000000114</v>
      </c>
      <c r="I47" s="56">
        <f t="shared" si="8"/>
        <v>3.5118627995017609E-2</v>
      </c>
      <c r="J47" s="56"/>
      <c r="K47" s="57">
        <f>G47/$G$51</f>
        <v>0.95238095238095244</v>
      </c>
    </row>
    <row r="48" spans="1:11" x14ac:dyDescent="0.2">
      <c r="A48" s="154" t="s">
        <v>102</v>
      </c>
      <c r="B48" s="59"/>
      <c r="C48" s="31">
        <v>0.13</v>
      </c>
      <c r="D48" s="31">
        <f>D47*C48</f>
        <v>13.141173968000002</v>
      </c>
      <c r="E48" s="31"/>
      <c r="F48" s="31">
        <f>C48</f>
        <v>0.13</v>
      </c>
      <c r="G48" s="31">
        <f>G47*F48</f>
        <v>13.602673968000003</v>
      </c>
      <c r="H48" s="31">
        <f>G48-D48</f>
        <v>0.46150000000000091</v>
      </c>
      <c r="I48" s="32">
        <f t="shared" si="8"/>
        <v>3.5118627995017561E-2</v>
      </c>
      <c r="J48" s="32"/>
      <c r="K48" s="60">
        <f>G48/$G$51</f>
        <v>0.12380952380952381</v>
      </c>
    </row>
    <row r="49" spans="1:11" x14ac:dyDescent="0.2">
      <c r="A49" s="61" t="s">
        <v>107</v>
      </c>
      <c r="B49" s="29"/>
      <c r="C49" s="30"/>
      <c r="D49" s="30">
        <f>SUM(D47:D48)</f>
        <v>114.22712756800001</v>
      </c>
      <c r="E49" s="30"/>
      <c r="F49" s="30"/>
      <c r="G49" s="30">
        <f>SUM(G47:G48)</f>
        <v>118.23862756800003</v>
      </c>
      <c r="H49" s="30">
        <f>G49-D49</f>
        <v>4.0115000000000123</v>
      </c>
      <c r="I49" s="33">
        <f t="shared" si="8"/>
        <v>3.5118627995017603E-2</v>
      </c>
      <c r="J49" s="33"/>
      <c r="K49" s="62">
        <f>G49/$G$51</f>
        <v>1.0761904761904761</v>
      </c>
    </row>
    <row r="50" spans="1:11" x14ac:dyDescent="0.2">
      <c r="A50" s="58" t="s">
        <v>104</v>
      </c>
      <c r="B50" s="59"/>
      <c r="C50" s="31">
        <v>-0.08</v>
      </c>
      <c r="D50" s="31">
        <f>D47*C50</f>
        <v>-8.0868762880000009</v>
      </c>
      <c r="E50" s="31"/>
      <c r="F50" s="31">
        <f>C50</f>
        <v>-0.08</v>
      </c>
      <c r="G50" s="31">
        <f>G47*F50</f>
        <v>-8.3708762880000016</v>
      </c>
      <c r="H50" s="31">
        <f>G50-D50</f>
        <v>-0.2840000000000007</v>
      </c>
      <c r="I50" s="32">
        <f t="shared" si="8"/>
        <v>-3.5118627995017582E-2</v>
      </c>
      <c r="J50" s="32"/>
      <c r="K50" s="60">
        <f>G50/$G$51</f>
        <v>-7.6190476190476183E-2</v>
      </c>
    </row>
    <row r="51" spans="1:11" ht="13.5" thickBot="1" x14ac:dyDescent="0.25">
      <c r="A51" s="63" t="s">
        <v>116</v>
      </c>
      <c r="B51" s="64"/>
      <c r="C51" s="65"/>
      <c r="D51" s="65">
        <f>SUM(D49:D50)</f>
        <v>106.14025128000002</v>
      </c>
      <c r="E51" s="65"/>
      <c r="F51" s="65"/>
      <c r="G51" s="65">
        <f>SUM(G49:G50)</f>
        <v>109.86775128000002</v>
      </c>
      <c r="H51" s="65">
        <f>G51-D51</f>
        <v>3.7275000000000063</v>
      </c>
      <c r="I51" s="66">
        <f t="shared" si="8"/>
        <v>3.5118627995017554E-2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K68"/>
  <sheetViews>
    <sheetView tabSelected="1" view="pageLayout"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118</v>
      </c>
      <c r="B1" s="189"/>
      <c r="C1" s="189"/>
      <c r="D1" s="189"/>
      <c r="E1" s="189"/>
      <c r="F1" s="189"/>
      <c r="G1" s="189"/>
      <c r="H1" s="189"/>
      <c r="I1" s="189"/>
      <c r="J1" s="189"/>
      <c r="K1" s="190"/>
    </row>
    <row r="3" spans="1:11" x14ac:dyDescent="0.2">
      <c r="A3" s="13" t="s">
        <v>13</v>
      </c>
      <c r="B3" s="13" t="s">
        <v>1</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7">
        <f>B4*B6</f>
        <v>807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0.34222960733239571</v>
      </c>
      <c r="K12" s="106"/>
    </row>
    <row r="13" spans="1:11" x14ac:dyDescent="0.2">
      <c r="A13" s="107" t="s">
        <v>32</v>
      </c>
      <c r="B13" s="73">
        <f>IF(B4&gt;B7,(B4)-B7,0)</f>
        <v>150</v>
      </c>
      <c r="C13" s="21">
        <v>0.106</v>
      </c>
      <c r="D13" s="22">
        <f>B13*C13</f>
        <v>15.9</v>
      </c>
      <c r="E13" s="73">
        <f>B13</f>
        <v>150</v>
      </c>
      <c r="F13" s="21">
        <f>C13</f>
        <v>0.106</v>
      </c>
      <c r="G13" s="22">
        <f>E13*F13</f>
        <v>15.9</v>
      </c>
      <c r="H13" s="22">
        <f t="shared" ref="H13:H46" si="1">G13-D13</f>
        <v>0</v>
      </c>
      <c r="I13" s="23">
        <f t="shared" si="0"/>
        <v>0</v>
      </c>
      <c r="J13" s="23">
        <f>G13/$G$46</f>
        <v>9.9660270267126219E-2</v>
      </c>
      <c r="K13" s="108"/>
    </row>
    <row r="14" spans="1:11" s="1" customFormat="1" x14ac:dyDescent="0.2">
      <c r="A14" s="46" t="s">
        <v>33</v>
      </c>
      <c r="B14" s="24"/>
      <c r="C14" s="25"/>
      <c r="D14" s="25">
        <f>SUM(D12:D13)</f>
        <v>70.5</v>
      </c>
      <c r="E14" s="76"/>
      <c r="F14" s="25"/>
      <c r="G14" s="25">
        <f>SUM(G12:G13)</f>
        <v>70.5</v>
      </c>
      <c r="H14" s="25">
        <f t="shared" si="1"/>
        <v>0</v>
      </c>
      <c r="I14" s="27">
        <f t="shared" si="0"/>
        <v>0</v>
      </c>
      <c r="J14" s="27">
        <f>G14/$G$46</f>
        <v>0.44188987759952192</v>
      </c>
      <c r="K14" s="108"/>
    </row>
    <row r="15" spans="1:11" s="1" customFormat="1" x14ac:dyDescent="0.2">
      <c r="A15" s="109" t="s">
        <v>34</v>
      </c>
      <c r="B15" s="75">
        <f>B4*0.65</f>
        <v>487.5</v>
      </c>
      <c r="C15" s="28">
        <v>7.6999999999999999E-2</v>
      </c>
      <c r="D15" s="22">
        <f>B15*C15</f>
        <v>37.537500000000001</v>
      </c>
      <c r="E15" s="73">
        <f t="shared" ref="E15:F17" si="2">B15</f>
        <v>487.5</v>
      </c>
      <c r="F15" s="28">
        <f t="shared" si="2"/>
        <v>7.6999999999999999E-2</v>
      </c>
      <c r="G15" s="22">
        <f>E15*F15</f>
        <v>37.537500000000001</v>
      </c>
      <c r="H15" s="22">
        <f t="shared" si="1"/>
        <v>0</v>
      </c>
      <c r="I15" s="23">
        <f t="shared" si="0"/>
        <v>0</v>
      </c>
      <c r="J15" s="23"/>
      <c r="K15" s="108">
        <f t="shared" ref="K15:K26" si="3">G15/$G$51</f>
        <v>0.23199008564574289</v>
      </c>
    </row>
    <row r="16" spans="1:11" s="1" customFormat="1" x14ac:dyDescent="0.2">
      <c r="A16" s="109" t="s">
        <v>35</v>
      </c>
      <c r="B16" s="75">
        <f>B4*0.17</f>
        <v>127.50000000000001</v>
      </c>
      <c r="C16" s="28">
        <v>0.113</v>
      </c>
      <c r="D16" s="22">
        <f>B16*C16</f>
        <v>14.407500000000002</v>
      </c>
      <c r="E16" s="73">
        <f t="shared" si="2"/>
        <v>127.50000000000001</v>
      </c>
      <c r="F16" s="28">
        <f t="shared" si="2"/>
        <v>0.113</v>
      </c>
      <c r="G16" s="22">
        <f>E16*F16</f>
        <v>14.407500000000002</v>
      </c>
      <c r="H16" s="22">
        <f t="shared" si="1"/>
        <v>0</v>
      </c>
      <c r="I16" s="23">
        <f t="shared" si="0"/>
        <v>0</v>
      </c>
      <c r="J16" s="23"/>
      <c r="K16" s="108">
        <f t="shared" si="3"/>
        <v>8.9041549355738686E-2</v>
      </c>
    </row>
    <row r="17" spans="1:11" s="1" customFormat="1" x14ac:dyDescent="0.2">
      <c r="A17" s="109" t="s">
        <v>36</v>
      </c>
      <c r="B17" s="75">
        <f>B4*0.18</f>
        <v>135</v>
      </c>
      <c r="C17" s="28">
        <v>0.157</v>
      </c>
      <c r="D17" s="22">
        <f>B17*C17</f>
        <v>21.195</v>
      </c>
      <c r="E17" s="73">
        <f t="shared" si="2"/>
        <v>135</v>
      </c>
      <c r="F17" s="28">
        <f t="shared" si="2"/>
        <v>0.157</v>
      </c>
      <c r="G17" s="22">
        <f>E17*F17</f>
        <v>21.195</v>
      </c>
      <c r="H17" s="22">
        <f t="shared" si="1"/>
        <v>0</v>
      </c>
      <c r="I17" s="23">
        <f t="shared" si="0"/>
        <v>0</v>
      </c>
      <c r="J17" s="23"/>
      <c r="K17" s="108">
        <f t="shared" si="3"/>
        <v>0.13098980660037352</v>
      </c>
    </row>
    <row r="18" spans="1:11" s="1" customFormat="1" x14ac:dyDescent="0.2">
      <c r="A18" s="61" t="s">
        <v>37</v>
      </c>
      <c r="B18" s="29"/>
      <c r="C18" s="30"/>
      <c r="D18" s="30">
        <f>SUM(D15:D17)</f>
        <v>73.140000000000015</v>
      </c>
      <c r="E18" s="77"/>
      <c r="F18" s="30"/>
      <c r="G18" s="30">
        <f>SUM(G15:G17)</f>
        <v>73.140000000000015</v>
      </c>
      <c r="H18" s="31">
        <f t="shared" si="1"/>
        <v>0</v>
      </c>
      <c r="I18" s="32">
        <f t="shared" si="0"/>
        <v>0</v>
      </c>
      <c r="J18" s="33">
        <f t="shared" ref="J18:J26" si="4">G18/$G$46</f>
        <v>0.45843724322878071</v>
      </c>
      <c r="K18" s="62">
        <f t="shared" si="3"/>
        <v>0.45202144160185515</v>
      </c>
    </row>
    <row r="19" spans="1:11" x14ac:dyDescent="0.2">
      <c r="A19" s="107" t="s">
        <v>38</v>
      </c>
      <c r="B19" s="73">
        <v>1</v>
      </c>
      <c r="C19" s="78">
        <f>VLOOKUP($B$3,'Data for Bill Impacts'!$A$3:$Y$15,7,0)</f>
        <v>42.19</v>
      </c>
      <c r="D19" s="22">
        <f t="shared" ref="D19:D24" si="5">B19*C19</f>
        <v>42.19</v>
      </c>
      <c r="E19" s="73">
        <f t="shared" ref="E19:E41" si="6">B19</f>
        <v>1</v>
      </c>
      <c r="F19" s="121">
        <f>VLOOKUP($B$3,'Data for Bill Impacts'!$A$3:$Y$15,17,0)</f>
        <v>47.06</v>
      </c>
      <c r="G19" s="22">
        <f t="shared" ref="G19:G24" si="7">E19*F19</f>
        <v>47.06</v>
      </c>
      <c r="H19" s="22">
        <f t="shared" si="1"/>
        <v>4.8700000000000045</v>
      </c>
      <c r="I19" s="23">
        <f>IF(ISERROR(H19/ABS(D19)),"N/A",(H19/ABS(D19)))</f>
        <v>0.11543019672908283</v>
      </c>
      <c r="J19" s="23">
        <f t="shared" si="4"/>
        <v>0.29496932822458866</v>
      </c>
      <c r="K19" s="108">
        <f t="shared" si="3"/>
        <v>0.29084125022946816</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4.0000000000000001E-3</v>
      </c>
      <c r="D22" s="22">
        <f t="shared" si="5"/>
        <v>4.0000000000000001E-3</v>
      </c>
      <c r="E22" s="73">
        <f t="shared" si="6"/>
        <v>1</v>
      </c>
      <c r="F22" s="121">
        <f>VLOOKUP($B$3,'Data for Bill Impacts'!$A$3:$Y$15,22,0)</f>
        <v>4.0000000000000001E-3</v>
      </c>
      <c r="G22" s="22">
        <f t="shared" si="7"/>
        <v>4.0000000000000001E-3</v>
      </c>
      <c r="H22" s="22">
        <f t="shared" si="1"/>
        <v>0</v>
      </c>
      <c r="I22" s="23">
        <f t="shared" ref="I22:I51" si="8">IF(ISERROR(H22/ABS(D22)),"N/A",(H22/ABS(D22)))</f>
        <v>0</v>
      </c>
      <c r="J22" s="23">
        <f t="shared" si="4"/>
        <v>2.5071766104937414E-5</v>
      </c>
      <c r="K22" s="108">
        <f t="shared" si="3"/>
        <v>2.4720888247298611E-5</v>
      </c>
    </row>
    <row r="23" spans="1:11" x14ac:dyDescent="0.2">
      <c r="A23" s="107" t="s">
        <v>39</v>
      </c>
      <c r="B23" s="73">
        <f>IF($B$9="kWh",$B$4,$B$5)</f>
        <v>750</v>
      </c>
      <c r="C23" s="78">
        <f>VLOOKUP($B$3,'Data for Bill Impacts'!$A$3:$Y$15,10,0)</f>
        <v>1.9300000000000001E-2</v>
      </c>
      <c r="D23" s="22">
        <f t="shared" si="5"/>
        <v>14.475000000000001</v>
      </c>
      <c r="E23" s="73">
        <f t="shared" si="6"/>
        <v>750</v>
      </c>
      <c r="F23" s="125">
        <f>VLOOKUP($B$3,'Data for Bill Impacts'!$A$3:$Y$15,19,0)</f>
        <v>1.6E-2</v>
      </c>
      <c r="G23" s="22">
        <f t="shared" si="7"/>
        <v>12</v>
      </c>
      <c r="H23" s="22">
        <f t="shared" si="1"/>
        <v>-2.4750000000000014</v>
      </c>
      <c r="I23" s="23">
        <f t="shared" si="8"/>
        <v>-0.1709844559585493</v>
      </c>
      <c r="J23" s="23">
        <f t="shared" si="4"/>
        <v>7.5215298314812232E-2</v>
      </c>
      <c r="K23" s="108">
        <f t="shared" si="3"/>
        <v>7.4162664741895826E-2</v>
      </c>
    </row>
    <row r="24" spans="1:11" x14ac:dyDescent="0.2">
      <c r="A24" s="107" t="s">
        <v>121</v>
      </c>
      <c r="B24" s="73">
        <f>IF($B$9="kWh",$B$4,$B$5)</f>
        <v>750</v>
      </c>
      <c r="C24" s="125">
        <f>VLOOKUP($B$3,'Data for Bill Impacts'!$A$3:$Y$15,14,0)</f>
        <v>2.0000000000000002E-5</v>
      </c>
      <c r="D24" s="22">
        <f t="shared" si="5"/>
        <v>1.5000000000000001E-2</v>
      </c>
      <c r="E24" s="73">
        <f>B24</f>
        <v>750</v>
      </c>
      <c r="F24" s="125">
        <f>VLOOKUP($B$3,'Data for Bill Impacts'!$A$3:$Y$15,23,0)</f>
        <v>2.0000000000000002E-5</v>
      </c>
      <c r="G24" s="22">
        <f t="shared" si="7"/>
        <v>1.5000000000000001E-2</v>
      </c>
      <c r="H24" s="22">
        <f>G24-D24</f>
        <v>0</v>
      </c>
      <c r="I24" s="23">
        <f t="shared" si="8"/>
        <v>0</v>
      </c>
      <c r="J24" s="23">
        <f t="shared" si="4"/>
        <v>9.4019122893515306E-5</v>
      </c>
      <c r="K24" s="108">
        <f t="shared" si="3"/>
        <v>9.2703330927369786E-5</v>
      </c>
    </row>
    <row r="25" spans="1:11" s="1" customFormat="1" x14ac:dyDescent="0.2">
      <c r="A25" s="110" t="s">
        <v>72</v>
      </c>
      <c r="B25" s="74"/>
      <c r="C25" s="35"/>
      <c r="D25" s="35">
        <f>SUM(D19:D24)</f>
        <v>56.683999999999997</v>
      </c>
      <c r="E25" s="73"/>
      <c r="F25" s="35"/>
      <c r="G25" s="35">
        <f>SUM(G19:G24)</f>
        <v>59.079000000000001</v>
      </c>
      <c r="H25" s="35">
        <f t="shared" si="1"/>
        <v>2.3950000000000031</v>
      </c>
      <c r="I25" s="36">
        <f t="shared" si="8"/>
        <v>4.2251781807917638E-2</v>
      </c>
      <c r="J25" s="36">
        <f t="shared" si="4"/>
        <v>0.37030371742839935</v>
      </c>
      <c r="K25" s="111">
        <f t="shared" si="3"/>
        <v>0.36512133919053863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4.9516738057251396E-3</v>
      </c>
      <c r="K26" s="108">
        <f t="shared" si="3"/>
        <v>4.8823754288414758E-3</v>
      </c>
    </row>
    <row r="27" spans="1:11" s="1" customFormat="1" x14ac:dyDescent="0.2">
      <c r="A27" s="119" t="s">
        <v>75</v>
      </c>
      <c r="B27" s="120">
        <f>B8-B4</f>
        <v>57</v>
      </c>
      <c r="C27" s="172">
        <f>IF(B4&gt;B7,C13,C12)</f>
        <v>0.106</v>
      </c>
      <c r="D27" s="22">
        <f>B27*C27</f>
        <v>6.0419999999999998</v>
      </c>
      <c r="E27" s="73">
        <f>B27</f>
        <v>57</v>
      </c>
      <c r="F27" s="172">
        <f>C27</f>
        <v>0.106</v>
      </c>
      <c r="G27" s="22">
        <f>E27*F27</f>
        <v>6.0419999999999998</v>
      </c>
      <c r="H27" s="22">
        <f t="shared" si="1"/>
        <v>0</v>
      </c>
      <c r="I27" s="23">
        <f t="shared" si="8"/>
        <v>0</v>
      </c>
      <c r="J27" s="23">
        <f t="shared" ref="J27:J46" si="9">G27/$G$46</f>
        <v>3.7870902701507961E-2</v>
      </c>
      <c r="K27" s="108">
        <f t="shared" ref="K27:K41" si="10">G27/$G$51</f>
        <v>3.7340901697544546E-2</v>
      </c>
    </row>
    <row r="28" spans="1:11" s="1" customFormat="1" x14ac:dyDescent="0.2">
      <c r="A28" s="119" t="s">
        <v>74</v>
      </c>
      <c r="B28" s="120">
        <f>B8-B4</f>
        <v>57</v>
      </c>
      <c r="C28" s="172">
        <f>0.65*C15+0.17*C16+0.18*C17</f>
        <v>9.7519999999999996E-2</v>
      </c>
      <c r="D28" s="22">
        <f>B28*C28</f>
        <v>5.5586399999999996</v>
      </c>
      <c r="E28" s="73">
        <f>B28</f>
        <v>57</v>
      </c>
      <c r="F28" s="172">
        <f>C28</f>
        <v>9.7519999999999996E-2</v>
      </c>
      <c r="G28" s="22">
        <f>E28*F28</f>
        <v>5.5586399999999996</v>
      </c>
      <c r="H28" s="22">
        <f t="shared" si="1"/>
        <v>0</v>
      </c>
      <c r="I28" s="23">
        <f t="shared" si="8"/>
        <v>0</v>
      </c>
      <c r="J28" s="23">
        <f t="shared" si="9"/>
        <v>3.4841230485387321E-2</v>
      </c>
      <c r="K28" s="108">
        <f t="shared" si="10"/>
        <v>3.4353629561740984E-2</v>
      </c>
    </row>
    <row r="29" spans="1:11" s="1" customFormat="1" x14ac:dyDescent="0.2">
      <c r="A29" s="110" t="s">
        <v>78</v>
      </c>
      <c r="B29" s="74"/>
      <c r="C29" s="35"/>
      <c r="D29" s="35">
        <f>SUM(D25,D26:D27)</f>
        <v>63.515999999999998</v>
      </c>
      <c r="E29" s="73"/>
      <c r="F29" s="35"/>
      <c r="G29" s="35">
        <f>SUM(G25,G26:G27)</f>
        <v>65.911000000000001</v>
      </c>
      <c r="H29" s="35">
        <f t="shared" si="1"/>
        <v>2.3950000000000031</v>
      </c>
      <c r="I29" s="36">
        <f t="shared" si="8"/>
        <v>3.7707034448013148E-2</v>
      </c>
      <c r="J29" s="36">
        <f t="shared" si="9"/>
        <v>0.41312629393563244</v>
      </c>
      <c r="K29" s="111">
        <f t="shared" si="10"/>
        <v>0.40734461631692465</v>
      </c>
    </row>
    <row r="30" spans="1:11" s="1" customFormat="1" x14ac:dyDescent="0.2">
      <c r="A30" s="110" t="s">
        <v>77</v>
      </c>
      <c r="B30" s="74"/>
      <c r="C30" s="35"/>
      <c r="D30" s="35">
        <f>SUM(D25,D26,D28)</f>
        <v>63.032639999999994</v>
      </c>
      <c r="E30" s="73"/>
      <c r="F30" s="35"/>
      <c r="G30" s="35">
        <f>SUM(G25,G26,G28)</f>
        <v>65.427639999999997</v>
      </c>
      <c r="H30" s="35">
        <f t="shared" si="1"/>
        <v>2.3950000000000031</v>
      </c>
      <c r="I30" s="36">
        <f t="shared" si="8"/>
        <v>3.7996187372129793E-2</v>
      </c>
      <c r="J30" s="36">
        <f t="shared" si="9"/>
        <v>0.41009662171951178</v>
      </c>
      <c r="K30" s="111">
        <f t="shared" si="10"/>
        <v>0.40435734418112107</v>
      </c>
    </row>
    <row r="31" spans="1:11" x14ac:dyDescent="0.2">
      <c r="A31" s="107" t="s">
        <v>40</v>
      </c>
      <c r="B31" s="73">
        <f>B8</f>
        <v>807</v>
      </c>
      <c r="C31" s="125">
        <f>VLOOKUP($B$3,'Data for Bill Impacts'!$A$3:$Y$15,15,0)</f>
        <v>7.2069999999999999E-3</v>
      </c>
      <c r="D31" s="22">
        <f>B31*C31</f>
        <v>5.8160489999999996</v>
      </c>
      <c r="E31" s="73">
        <f t="shared" si="6"/>
        <v>807</v>
      </c>
      <c r="F31" s="125">
        <f>VLOOKUP($B$3,'Data for Bill Impacts'!$A$3:$Y$15,24,0)</f>
        <v>7.2069999999999999E-3</v>
      </c>
      <c r="G31" s="22">
        <f>E31*F31</f>
        <v>5.8160489999999996</v>
      </c>
      <c r="H31" s="22">
        <f t="shared" si="1"/>
        <v>0</v>
      </c>
      <c r="I31" s="23">
        <f t="shared" si="8"/>
        <v>0</v>
      </c>
      <c r="J31" s="23">
        <f t="shared" si="9"/>
        <v>3.6454655045713782E-2</v>
      </c>
      <c r="K31" s="108">
        <f t="shared" si="10"/>
        <v>3.5944474342453202E-2</v>
      </c>
    </row>
    <row r="32" spans="1:11" x14ac:dyDescent="0.2">
      <c r="A32" s="107" t="s">
        <v>41</v>
      </c>
      <c r="B32" s="73">
        <f>B8</f>
        <v>807</v>
      </c>
      <c r="C32" s="125">
        <f>VLOOKUP($B$3,'Data for Bill Impacts'!$A$3:$Y$15,16,0)</f>
        <v>6.0319999999999992E-3</v>
      </c>
      <c r="D32" s="22">
        <f>B32*C32</f>
        <v>4.8678239999999997</v>
      </c>
      <c r="E32" s="73">
        <f t="shared" si="6"/>
        <v>807</v>
      </c>
      <c r="F32" s="125">
        <f>VLOOKUP($B$3,'Data for Bill Impacts'!$A$3:$Y$15,25,0)</f>
        <v>6.0319999999999992E-3</v>
      </c>
      <c r="G32" s="22">
        <f>E32*F32</f>
        <v>4.8678239999999997</v>
      </c>
      <c r="H32" s="22">
        <f t="shared" si="1"/>
        <v>0</v>
      </c>
      <c r="I32" s="23">
        <f t="shared" si="8"/>
        <v>0</v>
      </c>
      <c r="J32" s="23">
        <f t="shared" si="9"/>
        <v>3.0511236192000211E-2</v>
      </c>
      <c r="K32" s="108">
        <f t="shared" si="10"/>
        <v>3.0084233277879523E-2</v>
      </c>
    </row>
    <row r="33" spans="1:11" s="1" customFormat="1" x14ac:dyDescent="0.2">
      <c r="A33" s="110" t="s">
        <v>76</v>
      </c>
      <c r="B33" s="74"/>
      <c r="C33" s="35"/>
      <c r="D33" s="35">
        <f>SUM(D31:D32)</f>
        <v>10.683872999999998</v>
      </c>
      <c r="E33" s="73"/>
      <c r="F33" s="35"/>
      <c r="G33" s="35">
        <f>SUM(G31:G32)</f>
        <v>10.683872999999998</v>
      </c>
      <c r="H33" s="35">
        <f t="shared" si="1"/>
        <v>0</v>
      </c>
      <c r="I33" s="36">
        <f t="shared" si="8"/>
        <v>0</v>
      </c>
      <c r="J33" s="36">
        <f t="shared" si="9"/>
        <v>6.6965891237713987E-2</v>
      </c>
      <c r="K33" s="111">
        <f t="shared" si="10"/>
        <v>6.6028707620332722E-2</v>
      </c>
    </row>
    <row r="34" spans="1:11" s="1" customFormat="1" x14ac:dyDescent="0.2">
      <c r="A34" s="110" t="s">
        <v>91</v>
      </c>
      <c r="B34" s="74"/>
      <c r="C34" s="35"/>
      <c r="D34" s="35">
        <f>D29+D33</f>
        <v>74.199872999999997</v>
      </c>
      <c r="E34" s="73"/>
      <c r="F34" s="35"/>
      <c r="G34" s="35">
        <f>G29+G33</f>
        <v>76.594873000000007</v>
      </c>
      <c r="H34" s="35">
        <f t="shared" si="1"/>
        <v>2.3950000000000102</v>
      </c>
      <c r="I34" s="36">
        <f t="shared" si="8"/>
        <v>3.2277683278514643E-2</v>
      </c>
      <c r="J34" s="36">
        <f t="shared" si="9"/>
        <v>0.48009218517334651</v>
      </c>
      <c r="K34" s="111">
        <f t="shared" si="10"/>
        <v>0.47337332393725745</v>
      </c>
    </row>
    <row r="35" spans="1:11" s="1" customFormat="1" x14ac:dyDescent="0.2">
      <c r="A35" s="110" t="s">
        <v>92</v>
      </c>
      <c r="B35" s="74"/>
      <c r="C35" s="35"/>
      <c r="D35" s="35">
        <f>D30+D33</f>
        <v>73.716512999999992</v>
      </c>
      <c r="E35" s="73"/>
      <c r="F35" s="35"/>
      <c r="G35" s="35">
        <f>G30+G33</f>
        <v>76.111513000000002</v>
      </c>
      <c r="H35" s="35">
        <f t="shared" si="1"/>
        <v>2.3950000000000102</v>
      </c>
      <c r="I35" s="36">
        <f t="shared" si="8"/>
        <v>3.2489328408683828E-2</v>
      </c>
      <c r="J35" s="36">
        <f t="shared" si="9"/>
        <v>0.47706251295722585</v>
      </c>
      <c r="K35" s="111">
        <f t="shared" si="10"/>
        <v>0.47038605180145382</v>
      </c>
    </row>
    <row r="36" spans="1:11" x14ac:dyDescent="0.2">
      <c r="A36" s="107" t="s">
        <v>42</v>
      </c>
      <c r="B36" s="73">
        <f>B8</f>
        <v>807</v>
      </c>
      <c r="C36" s="34">
        <v>3.5999999999999999E-3</v>
      </c>
      <c r="D36" s="22">
        <f>B36*C36</f>
        <v>2.9051999999999998</v>
      </c>
      <c r="E36" s="73">
        <f t="shared" si="6"/>
        <v>807</v>
      </c>
      <c r="F36" s="34">
        <v>3.5999999999999999E-3</v>
      </c>
      <c r="G36" s="22">
        <f>E36*F36</f>
        <v>2.9051999999999998</v>
      </c>
      <c r="H36" s="22">
        <f t="shared" si="1"/>
        <v>0</v>
      </c>
      <c r="I36" s="23">
        <f t="shared" si="8"/>
        <v>0</v>
      </c>
      <c r="J36" s="23">
        <f t="shared" si="9"/>
        <v>1.8209623722016042E-2</v>
      </c>
      <c r="K36" s="108">
        <f t="shared" si="10"/>
        <v>1.7954781134012977E-2</v>
      </c>
    </row>
    <row r="37" spans="1:11" x14ac:dyDescent="0.2">
      <c r="A37" s="107" t="s">
        <v>43</v>
      </c>
      <c r="B37" s="73">
        <f>B8</f>
        <v>807</v>
      </c>
      <c r="C37" s="34">
        <v>2.0999999999999999E-3</v>
      </c>
      <c r="D37" s="22">
        <f>B37*C37</f>
        <v>1.6946999999999999</v>
      </c>
      <c r="E37" s="73">
        <f t="shared" si="6"/>
        <v>807</v>
      </c>
      <c r="F37" s="34">
        <v>2.0999999999999999E-3</v>
      </c>
      <c r="G37" s="22">
        <f>E37*F37</f>
        <v>1.6946999999999999</v>
      </c>
      <c r="H37" s="22">
        <f>G37-D37</f>
        <v>0</v>
      </c>
      <c r="I37" s="23">
        <f t="shared" si="8"/>
        <v>0</v>
      </c>
      <c r="J37" s="23">
        <f t="shared" si="9"/>
        <v>1.0622280504509357E-2</v>
      </c>
      <c r="K37" s="108">
        <f t="shared" si="10"/>
        <v>1.0473622328174238E-2</v>
      </c>
    </row>
    <row r="38" spans="1:11" x14ac:dyDescent="0.2">
      <c r="A38" s="107" t="s">
        <v>96</v>
      </c>
      <c r="B38" s="73">
        <f>B8</f>
        <v>807</v>
      </c>
      <c r="C38" s="34">
        <v>0</v>
      </c>
      <c r="D38" s="22">
        <f>B38*C38</f>
        <v>0</v>
      </c>
      <c r="E38" s="73">
        <f t="shared" si="6"/>
        <v>807</v>
      </c>
      <c r="F38" s="34">
        <v>0</v>
      </c>
      <c r="G38" s="22">
        <f>E38*F38</f>
        <v>0</v>
      </c>
      <c r="H38" s="22">
        <f>G38-D38</f>
        <v>0</v>
      </c>
      <c r="I38" s="23" t="str">
        <f t="shared" si="8"/>
        <v>N/A</v>
      </c>
      <c r="J38" s="23">
        <f>G38/$G$46</f>
        <v>0</v>
      </c>
      <c r="K38" s="108">
        <f>G38/$G$51</f>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1.5669853815585882E-3</v>
      </c>
      <c r="K39" s="108">
        <f t="shared" si="10"/>
        <v>1.545055515456163E-3</v>
      </c>
    </row>
    <row r="40" spans="1:11" s="1" customFormat="1" x14ac:dyDescent="0.2">
      <c r="A40" s="110" t="s">
        <v>45</v>
      </c>
      <c r="B40" s="74"/>
      <c r="C40" s="35"/>
      <c r="D40" s="35">
        <f>SUM(D36:D39)</f>
        <v>4.8498999999999999</v>
      </c>
      <c r="E40" s="73"/>
      <c r="F40" s="35"/>
      <c r="G40" s="35">
        <f>SUM(G36:G39)</f>
        <v>4.8498999999999999</v>
      </c>
      <c r="H40" s="35">
        <f t="shared" si="1"/>
        <v>0</v>
      </c>
      <c r="I40" s="36">
        <f t="shared" si="8"/>
        <v>0</v>
      </c>
      <c r="J40" s="36">
        <f t="shared" si="9"/>
        <v>3.0398889608083988E-2</v>
      </c>
      <c r="K40" s="111">
        <f t="shared" si="10"/>
        <v>2.9973458977643381E-2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149.54977299999999</v>
      </c>
      <c r="E42" s="38"/>
      <c r="F42" s="39"/>
      <c r="G42" s="39">
        <f>SUM(G14,G25,G26,G27,G33,G40,G41)</f>
        <v>151.944773</v>
      </c>
      <c r="H42" s="39">
        <f t="shared" si="1"/>
        <v>2.3950000000000102</v>
      </c>
      <c r="I42" s="40">
        <f t="shared" si="8"/>
        <v>1.6014735107622066E-2</v>
      </c>
      <c r="J42" s="40">
        <f t="shared" si="9"/>
        <v>0.95238095238095233</v>
      </c>
      <c r="K42" s="41"/>
    </row>
    <row r="43" spans="1:11" x14ac:dyDescent="0.2">
      <c r="A43" s="153" t="s">
        <v>102</v>
      </c>
      <c r="B43" s="43"/>
      <c r="C43" s="26">
        <v>0.13</v>
      </c>
      <c r="D43" s="26">
        <f>D42*C43</f>
        <v>19.44147049</v>
      </c>
      <c r="E43" s="26"/>
      <c r="F43" s="26">
        <f>C43</f>
        <v>0.13</v>
      </c>
      <c r="G43" s="26">
        <f>G42*F43</f>
        <v>19.752820490000001</v>
      </c>
      <c r="H43" s="26">
        <f t="shared" si="1"/>
        <v>0.3113500000000009</v>
      </c>
      <c r="I43" s="44">
        <f t="shared" si="8"/>
        <v>1.6014735107622042E-2</v>
      </c>
      <c r="J43" s="44">
        <f t="shared" si="9"/>
        <v>0.12380952380952381</v>
      </c>
      <c r="K43" s="45"/>
    </row>
    <row r="44" spans="1:11" s="1" customFormat="1" x14ac:dyDescent="0.2">
      <c r="A44" s="46" t="s">
        <v>103</v>
      </c>
      <c r="B44" s="24"/>
      <c r="C44" s="25"/>
      <c r="D44" s="25">
        <f>SUM(D42:D43)</f>
        <v>168.99124348999999</v>
      </c>
      <c r="E44" s="25"/>
      <c r="F44" s="25"/>
      <c r="G44" s="25">
        <f>SUM(G42:G43)</f>
        <v>171.69759349</v>
      </c>
      <c r="H44" s="25">
        <f t="shared" si="1"/>
        <v>2.7063500000000147</v>
      </c>
      <c r="I44" s="27">
        <f t="shared" si="8"/>
        <v>1.6014735107622084E-2</v>
      </c>
      <c r="J44" s="27">
        <f t="shared" si="9"/>
        <v>1.0761904761904761</v>
      </c>
      <c r="K44" s="47"/>
    </row>
    <row r="45" spans="1:11" x14ac:dyDescent="0.2">
      <c r="A45" s="42" t="s">
        <v>104</v>
      </c>
      <c r="B45" s="43"/>
      <c r="C45" s="26">
        <v>-0.08</v>
      </c>
      <c r="D45" s="26">
        <f>D42*C45</f>
        <v>-11.963981839999999</v>
      </c>
      <c r="E45" s="26"/>
      <c r="F45" s="26">
        <f>C45</f>
        <v>-0.08</v>
      </c>
      <c r="G45" s="26">
        <f>G42*F45</f>
        <v>-12.15558184</v>
      </c>
      <c r="H45" s="26">
        <f t="shared" si="1"/>
        <v>-0.1916000000000011</v>
      </c>
      <c r="I45" s="44">
        <f t="shared" si="8"/>
        <v>-1.601473510762209E-2</v>
      </c>
      <c r="J45" s="44">
        <f t="shared" si="9"/>
        <v>-7.6190476190476183E-2</v>
      </c>
      <c r="K45" s="45"/>
    </row>
    <row r="46" spans="1:11" s="1" customFormat="1" ht="13.5" thickBot="1" x14ac:dyDescent="0.25">
      <c r="A46" s="48" t="s">
        <v>105</v>
      </c>
      <c r="B46" s="49"/>
      <c r="C46" s="50"/>
      <c r="D46" s="50">
        <f>SUM(D44:D45)</f>
        <v>157.02726164999999</v>
      </c>
      <c r="E46" s="50"/>
      <c r="F46" s="50"/>
      <c r="G46" s="50">
        <f>SUM(G44:G45)</f>
        <v>159.54201165000001</v>
      </c>
      <c r="H46" s="50">
        <f t="shared" si="1"/>
        <v>2.5147500000000207</v>
      </c>
      <c r="I46" s="51">
        <f t="shared" si="8"/>
        <v>1.6014735107622129E-2</v>
      </c>
      <c r="J46" s="51">
        <f t="shared" si="9"/>
        <v>1</v>
      </c>
      <c r="K46" s="52"/>
    </row>
    <row r="47" spans="1:11" x14ac:dyDescent="0.2">
      <c r="A47" s="53" t="s">
        <v>106</v>
      </c>
      <c r="B47" s="54"/>
      <c r="C47" s="55"/>
      <c r="D47" s="55">
        <f>SUM(D18,D25,D26,D28,D33,D40,D41)</f>
        <v>151.706413</v>
      </c>
      <c r="E47" s="55"/>
      <c r="F47" s="55"/>
      <c r="G47" s="55">
        <f>SUM(G18,G25,G26,G28,G33,G40,G41)</f>
        <v>154.10141300000001</v>
      </c>
      <c r="H47" s="55">
        <f>G47-D47</f>
        <v>2.3950000000000102</v>
      </c>
      <c r="I47" s="56">
        <f t="shared" si="8"/>
        <v>1.5787071572247971E-2</v>
      </c>
      <c r="J47" s="56"/>
      <c r="K47" s="57">
        <f>G47/$G$51</f>
        <v>0.95238095238095233</v>
      </c>
    </row>
    <row r="48" spans="1:11" x14ac:dyDescent="0.2">
      <c r="A48" s="58" t="s">
        <v>102</v>
      </c>
      <c r="B48" s="59"/>
      <c r="C48" s="31">
        <v>0.13</v>
      </c>
      <c r="D48" s="31">
        <f>D47*C48</f>
        <v>19.72183369</v>
      </c>
      <c r="E48" s="31"/>
      <c r="F48" s="31">
        <f>C48</f>
        <v>0.13</v>
      </c>
      <c r="G48" s="31">
        <f>G47*F48</f>
        <v>20.033183690000001</v>
      </c>
      <c r="H48" s="31">
        <f>G48-D48</f>
        <v>0.3113500000000009</v>
      </c>
      <c r="I48" s="32">
        <f t="shared" si="8"/>
        <v>1.578707157224795E-2</v>
      </c>
      <c r="J48" s="32"/>
      <c r="K48" s="60">
        <f>G48/$G$51</f>
        <v>0.1238095238095238</v>
      </c>
    </row>
    <row r="49" spans="1:11" x14ac:dyDescent="0.2">
      <c r="A49" s="61" t="s">
        <v>107</v>
      </c>
      <c r="B49" s="29"/>
      <c r="C49" s="30"/>
      <c r="D49" s="30">
        <f>SUM(D47:D48)</f>
        <v>171.42824669000001</v>
      </c>
      <c r="E49" s="30"/>
      <c r="F49" s="30"/>
      <c r="G49" s="30">
        <f>SUM(G47:G48)</f>
        <v>174.13459669000002</v>
      </c>
      <c r="H49" s="30">
        <f>G49-D49</f>
        <v>2.7063500000000147</v>
      </c>
      <c r="I49" s="33">
        <f t="shared" si="8"/>
        <v>1.5787071572247988E-2</v>
      </c>
      <c r="J49" s="33"/>
      <c r="K49" s="62">
        <f>G49/$G$51</f>
        <v>1.0761904761904761</v>
      </c>
    </row>
    <row r="50" spans="1:11" x14ac:dyDescent="0.2">
      <c r="A50" s="58" t="s">
        <v>104</v>
      </c>
      <c r="B50" s="59"/>
      <c r="C50" s="31">
        <v>-0.08</v>
      </c>
      <c r="D50" s="31">
        <f>D47*C50</f>
        <v>-12.136513040000001</v>
      </c>
      <c r="E50" s="31"/>
      <c r="F50" s="31">
        <f>C50</f>
        <v>-0.08</v>
      </c>
      <c r="G50" s="31">
        <f>G47*F50</f>
        <v>-12.328113040000002</v>
      </c>
      <c r="H50" s="31">
        <f>G50-D50</f>
        <v>-0.1916000000000011</v>
      </c>
      <c r="I50" s="32">
        <f t="shared" si="8"/>
        <v>-1.5787071572247995E-2</v>
      </c>
      <c r="J50" s="32"/>
      <c r="K50" s="60">
        <f>G50/$G$51</f>
        <v>-7.6190476190476197E-2</v>
      </c>
    </row>
    <row r="51" spans="1:11" ht="13.5" thickBot="1" x14ac:dyDescent="0.25">
      <c r="A51" s="63" t="s">
        <v>116</v>
      </c>
      <c r="B51" s="64"/>
      <c r="C51" s="65"/>
      <c r="D51" s="65">
        <f>SUM(D49:D50)</f>
        <v>159.29173365</v>
      </c>
      <c r="E51" s="65"/>
      <c r="F51" s="65"/>
      <c r="G51" s="65">
        <f>SUM(G49:G50)</f>
        <v>161.80648365000002</v>
      </c>
      <c r="H51" s="65">
        <f>G51-D51</f>
        <v>2.5147500000000207</v>
      </c>
      <c r="I51" s="66">
        <f t="shared" si="8"/>
        <v>1.5787071572248033E-2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0.499984740745262"/>
    <pageSetUpPr fitToPage="1"/>
  </sheetPr>
  <dimension ref="A1:K68"/>
  <sheetViews>
    <sheetView tabSelected="1" view="pageLayout" topLeftCell="A10" zoomScaleNormal="100" zoomScaleSheetLayoutView="100" workbookViewId="0">
      <selection activeCell="N13" sqref="N1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8" t="s">
        <v>119</v>
      </c>
      <c r="B1" s="189"/>
      <c r="C1" s="189"/>
      <c r="D1" s="189"/>
      <c r="E1" s="189"/>
      <c r="F1" s="189"/>
      <c r="G1" s="189"/>
      <c r="H1" s="189"/>
      <c r="I1" s="189"/>
      <c r="J1" s="189"/>
      <c r="K1" s="190"/>
    </row>
    <row r="3" spans="1:11" x14ac:dyDescent="0.2">
      <c r="A3" s="13" t="s">
        <v>13</v>
      </c>
      <c r="B3" s="13" t="s">
        <v>1</v>
      </c>
    </row>
    <row r="4" spans="1:11" x14ac:dyDescent="0.2">
      <c r="A4" s="15" t="s">
        <v>62</v>
      </c>
      <c r="B4" s="15">
        <f>VLOOKUP(B3,'Data for Bill Impacts'!A19:D31,3,FALSE)</f>
        <v>920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7">
        <f>B4*B6</f>
        <v>989.92000000000007</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0.29292141616999201</v>
      </c>
      <c r="K12" s="106"/>
    </row>
    <row r="13" spans="1:11" x14ac:dyDescent="0.2">
      <c r="A13" s="107" t="s">
        <v>32</v>
      </c>
      <c r="B13" s="73">
        <f>IF(B4&gt;B7,(B4)-B7,0)</f>
        <v>320</v>
      </c>
      <c r="C13" s="21">
        <v>0.106</v>
      </c>
      <c r="D13" s="22">
        <f>B13*C13</f>
        <v>33.92</v>
      </c>
      <c r="E13" s="73">
        <f>B13</f>
        <v>320</v>
      </c>
      <c r="F13" s="21">
        <f>C13</f>
        <v>0.106</v>
      </c>
      <c r="G13" s="22">
        <f>E13*F13</f>
        <v>33.92</v>
      </c>
      <c r="H13" s="22">
        <f t="shared" ref="H13:H46" si="1">G13-D13</f>
        <v>0</v>
      </c>
      <c r="I13" s="23">
        <f t="shared" si="0"/>
        <v>0</v>
      </c>
      <c r="J13" s="23">
        <f>G13/$G$46</f>
        <v>0.18197608858033201</v>
      </c>
      <c r="K13" s="108"/>
    </row>
    <row r="14" spans="1:11" s="1" customFormat="1" x14ac:dyDescent="0.2">
      <c r="A14" s="46" t="s">
        <v>33</v>
      </c>
      <c r="B14" s="24"/>
      <c r="C14" s="25"/>
      <c r="D14" s="25">
        <f>SUM(D12:D13)</f>
        <v>88.52000000000001</v>
      </c>
      <c r="E14" s="76"/>
      <c r="F14" s="25"/>
      <c r="G14" s="25">
        <f>SUM(G12:G13)</f>
        <v>88.52000000000001</v>
      </c>
      <c r="H14" s="25">
        <f t="shared" si="1"/>
        <v>0</v>
      </c>
      <c r="I14" s="27">
        <f t="shared" si="0"/>
        <v>0</v>
      </c>
      <c r="J14" s="27">
        <f>G14/$G$46</f>
        <v>0.47489750475032405</v>
      </c>
      <c r="K14" s="108"/>
    </row>
    <row r="15" spans="1:11" s="1" customFormat="1" x14ac:dyDescent="0.2">
      <c r="A15" s="109" t="s">
        <v>34</v>
      </c>
      <c r="B15" s="75">
        <f>B4*0.65</f>
        <v>598</v>
      </c>
      <c r="C15" s="28">
        <v>7.6999999999999999E-2</v>
      </c>
      <c r="D15" s="22">
        <f>B15*C15</f>
        <v>46.045999999999999</v>
      </c>
      <c r="E15" s="73">
        <f t="shared" ref="E15:F17" si="2">B15</f>
        <v>598</v>
      </c>
      <c r="F15" s="28">
        <f t="shared" si="2"/>
        <v>7.6999999999999999E-2</v>
      </c>
      <c r="G15" s="22">
        <f>E15*F15</f>
        <v>46.045999999999999</v>
      </c>
      <c r="H15" s="22">
        <f t="shared" si="1"/>
        <v>0</v>
      </c>
      <c r="I15" s="23">
        <f t="shared" si="0"/>
        <v>0</v>
      </c>
      <c r="J15" s="23"/>
      <c r="K15" s="108">
        <f t="shared" ref="K15:K26" si="3">G15/$G$51</f>
        <v>0.24619070602649715</v>
      </c>
    </row>
    <row r="16" spans="1:11" s="1" customFormat="1" x14ac:dyDescent="0.2">
      <c r="A16" s="109" t="s">
        <v>35</v>
      </c>
      <c r="B16" s="75">
        <f>B4*0.17</f>
        <v>156.4</v>
      </c>
      <c r="C16" s="28">
        <v>0.113</v>
      </c>
      <c r="D16" s="22">
        <f>B16*C16</f>
        <v>17.673200000000001</v>
      </c>
      <c r="E16" s="73">
        <f t="shared" si="2"/>
        <v>156.4</v>
      </c>
      <c r="F16" s="28">
        <f t="shared" si="2"/>
        <v>0.113</v>
      </c>
      <c r="G16" s="22">
        <f>E16*F16</f>
        <v>17.673200000000001</v>
      </c>
      <c r="H16" s="22">
        <f t="shared" si="1"/>
        <v>0</v>
      </c>
      <c r="I16" s="23">
        <f t="shared" si="0"/>
        <v>0</v>
      </c>
      <c r="J16" s="23"/>
      <c r="K16" s="108">
        <f t="shared" si="3"/>
        <v>9.4491977278102102E-2</v>
      </c>
    </row>
    <row r="17" spans="1:11" s="1" customFormat="1" x14ac:dyDescent="0.2">
      <c r="A17" s="109" t="s">
        <v>36</v>
      </c>
      <c r="B17" s="75">
        <f>B4*0.18</f>
        <v>165.6</v>
      </c>
      <c r="C17" s="28">
        <v>0.157</v>
      </c>
      <c r="D17" s="22">
        <f>B17*C17</f>
        <v>25.999199999999998</v>
      </c>
      <c r="E17" s="73">
        <f t="shared" si="2"/>
        <v>165.6</v>
      </c>
      <c r="F17" s="28">
        <f t="shared" si="2"/>
        <v>0.157</v>
      </c>
      <c r="G17" s="22">
        <f>E17*F17</f>
        <v>25.999199999999998</v>
      </c>
      <c r="H17" s="22">
        <f t="shared" si="1"/>
        <v>0</v>
      </c>
      <c r="I17" s="23">
        <f t="shared" si="0"/>
        <v>0</v>
      </c>
      <c r="J17" s="23"/>
      <c r="K17" s="108">
        <f t="shared" si="3"/>
        <v>0.13900797906710907</v>
      </c>
    </row>
    <row r="18" spans="1:11" s="1" customFormat="1" x14ac:dyDescent="0.2">
      <c r="A18" s="61" t="s">
        <v>37</v>
      </c>
      <c r="B18" s="29"/>
      <c r="C18" s="30"/>
      <c r="D18" s="30">
        <f>SUM(D15:D17)</f>
        <v>89.718400000000003</v>
      </c>
      <c r="E18" s="77"/>
      <c r="F18" s="30"/>
      <c r="G18" s="30">
        <f>SUM(G15:G17)</f>
        <v>89.718400000000003</v>
      </c>
      <c r="H18" s="31">
        <f t="shared" si="1"/>
        <v>0</v>
      </c>
      <c r="I18" s="32">
        <f t="shared" si="0"/>
        <v>0</v>
      </c>
      <c r="J18" s="33">
        <f t="shared" ref="J18:J26" si="4">G18/$G$46</f>
        <v>0.48132675429497818</v>
      </c>
      <c r="K18" s="62">
        <f t="shared" si="3"/>
        <v>0.47969066237170832</v>
      </c>
    </row>
    <row r="19" spans="1:11" x14ac:dyDescent="0.2">
      <c r="A19" s="107" t="s">
        <v>38</v>
      </c>
      <c r="B19" s="73">
        <v>1</v>
      </c>
      <c r="C19" s="78">
        <f>VLOOKUP($B$3,'Data for Bill Impacts'!$A$3:$Y$15,7,0)</f>
        <v>42.19</v>
      </c>
      <c r="D19" s="22">
        <f t="shared" ref="D19:D24" si="5">B19*C19</f>
        <v>42.19</v>
      </c>
      <c r="E19" s="73">
        <f t="shared" ref="E19:E41" si="6">B19</f>
        <v>1</v>
      </c>
      <c r="F19" s="121">
        <f>VLOOKUP($B$3,'Data for Bill Impacts'!$A$3:$Y$15,17,0)</f>
        <v>47.06</v>
      </c>
      <c r="G19" s="22">
        <f t="shared" ref="G19:G24" si="7">E19*F19</f>
        <v>47.06</v>
      </c>
      <c r="H19" s="22">
        <f t="shared" si="1"/>
        <v>4.8700000000000045</v>
      </c>
      <c r="I19" s="23">
        <f>IF(ISERROR(H19/ABS(D19)),"N/A",(H19/ABS(D19)))</f>
        <v>0.11543019672908283</v>
      </c>
      <c r="J19" s="23">
        <f t="shared" si="4"/>
        <v>0.25247036346080259</v>
      </c>
      <c r="K19" s="108">
        <f t="shared" si="3"/>
        <v>0.25161218402482205</v>
      </c>
    </row>
    <row r="20" spans="1:11" hidden="1" x14ac:dyDescent="0.2">
      <c r="A20" s="107" t="s">
        <v>83</v>
      </c>
      <c r="B20" s="73">
        <v>1</v>
      </c>
      <c r="C20" s="78">
        <f>VLOOKUP($B$3,'Data for Bill Impacts'!$A$3:$Y$15,8,0)</f>
        <v>0</v>
      </c>
      <c r="D20" s="22">
        <f t="shared" si="5"/>
        <v>0</v>
      </c>
      <c r="E20" s="73">
        <f t="shared" si="6"/>
        <v>1</v>
      </c>
      <c r="F20" s="78">
        <v>0</v>
      </c>
      <c r="G20" s="22">
        <f t="shared" si="7"/>
        <v>0</v>
      </c>
      <c r="H20" s="22">
        <f t="shared" si="1"/>
        <v>0</v>
      </c>
      <c r="I20" s="23">
        <f>IF(ISERROR(H20/D20),0,(H20/D20))</f>
        <v>0</v>
      </c>
      <c r="J20" s="23">
        <f t="shared" si="4"/>
        <v>0</v>
      </c>
      <c r="K20" s="108">
        <f t="shared" si="3"/>
        <v>0</v>
      </c>
    </row>
    <row r="21" spans="1:11" hidden="1" x14ac:dyDescent="0.2">
      <c r="A21" s="107" t="s">
        <v>109</v>
      </c>
      <c r="B21" s="73">
        <v>1</v>
      </c>
      <c r="C21" s="78">
        <f>VLOOKUP($B$3,'Data for Bill Impacts'!$A$3:$Y$15,11,0)</f>
        <v>0</v>
      </c>
      <c r="D21" s="22">
        <f t="shared" si="5"/>
        <v>0</v>
      </c>
      <c r="E21" s="73">
        <f t="shared" si="6"/>
        <v>1</v>
      </c>
      <c r="F21" s="121">
        <f>VLOOKUP($B$3,'Data for Bill Impacts'!$A$3:$Y$15,12,0)</f>
        <v>0</v>
      </c>
      <c r="G21" s="22">
        <f t="shared" si="7"/>
        <v>0</v>
      </c>
      <c r="H21" s="22">
        <f t="shared" si="1"/>
        <v>0</v>
      </c>
      <c r="I21" s="23">
        <f>IF(ISERROR(H21/D21),0,(H21/D21))</f>
        <v>0</v>
      </c>
      <c r="J21" s="23">
        <f t="shared" si="4"/>
        <v>0</v>
      </c>
      <c r="K21" s="108">
        <f t="shared" si="3"/>
        <v>0</v>
      </c>
    </row>
    <row r="22" spans="1:11" x14ac:dyDescent="0.2">
      <c r="A22" s="107" t="s">
        <v>85</v>
      </c>
      <c r="B22" s="73">
        <v>1</v>
      </c>
      <c r="C22" s="121">
        <f>VLOOKUP($B$3,'Data for Bill Impacts'!$A$3:$Y$15,13,0)</f>
        <v>4.0000000000000001E-3</v>
      </c>
      <c r="D22" s="22">
        <f t="shared" si="5"/>
        <v>4.0000000000000001E-3</v>
      </c>
      <c r="E22" s="73">
        <f t="shared" si="6"/>
        <v>1</v>
      </c>
      <c r="F22" s="121">
        <f>VLOOKUP($B$3,'Data for Bill Impacts'!$A$3:$Y$15,22,0)</f>
        <v>4.0000000000000001E-3</v>
      </c>
      <c r="G22" s="22">
        <f t="shared" si="7"/>
        <v>4.0000000000000001E-3</v>
      </c>
      <c r="H22" s="22">
        <f t="shared" si="1"/>
        <v>0</v>
      </c>
      <c r="I22" s="23">
        <f t="shared" ref="I22:I51" si="8">IF(ISERROR(H22/ABS(D22)),"N/A",(H22/ABS(D22)))</f>
        <v>0</v>
      </c>
      <c r="J22" s="23">
        <f t="shared" si="4"/>
        <v>2.1459444408058021E-5</v>
      </c>
      <c r="K22" s="108">
        <f t="shared" si="3"/>
        <v>2.1386500979585383E-5</v>
      </c>
    </row>
    <row r="23" spans="1:11" x14ac:dyDescent="0.2">
      <c r="A23" s="107" t="s">
        <v>39</v>
      </c>
      <c r="B23" s="73">
        <f>IF($B$9="kWh",$B$4,$B$5)</f>
        <v>920</v>
      </c>
      <c r="C23" s="78">
        <f>VLOOKUP($B$3,'Data for Bill Impacts'!$A$3:$Y$15,10,0)</f>
        <v>1.9300000000000001E-2</v>
      </c>
      <c r="D23" s="22">
        <f t="shared" si="5"/>
        <v>17.756</v>
      </c>
      <c r="E23" s="73">
        <f t="shared" si="6"/>
        <v>920</v>
      </c>
      <c r="F23" s="125">
        <f>VLOOKUP($B$3,'Data for Bill Impacts'!$A$3:$Y$15,19,0)</f>
        <v>1.6E-2</v>
      </c>
      <c r="G23" s="22">
        <f t="shared" si="7"/>
        <v>14.72</v>
      </c>
      <c r="H23" s="22">
        <f t="shared" si="1"/>
        <v>-3.0359999999999996</v>
      </c>
      <c r="I23" s="23">
        <f t="shared" si="8"/>
        <v>-0.17098445595854919</v>
      </c>
      <c r="J23" s="23">
        <f t="shared" si="4"/>
        <v>7.8970755421653521E-2</v>
      </c>
      <c r="K23" s="108">
        <f t="shared" si="3"/>
        <v>7.8702323604874211E-2</v>
      </c>
    </row>
    <row r="24" spans="1:11" x14ac:dyDescent="0.2">
      <c r="A24" s="107" t="s">
        <v>121</v>
      </c>
      <c r="B24" s="73">
        <f>IF($B$9="kWh",$B$4,$B$5)</f>
        <v>920</v>
      </c>
      <c r="C24" s="125">
        <f>VLOOKUP($B$3,'Data for Bill Impacts'!$A$3:$Y$15,14,0)</f>
        <v>2.0000000000000002E-5</v>
      </c>
      <c r="D24" s="22">
        <f t="shared" si="5"/>
        <v>1.8400000000000003E-2</v>
      </c>
      <c r="E24" s="73">
        <f>B24</f>
        <v>920</v>
      </c>
      <c r="F24" s="125">
        <f>VLOOKUP($B$3,'Data for Bill Impacts'!$A$3:$Y$15,23,0)</f>
        <v>2.0000000000000002E-5</v>
      </c>
      <c r="G24" s="22">
        <f t="shared" si="7"/>
        <v>1.8400000000000003E-2</v>
      </c>
      <c r="H24" s="22">
        <f>G24-D24</f>
        <v>0</v>
      </c>
      <c r="I24" s="23">
        <f t="shared" si="8"/>
        <v>0</v>
      </c>
      <c r="J24" s="23">
        <f t="shared" si="4"/>
        <v>9.8713444277066906E-5</v>
      </c>
      <c r="K24" s="108">
        <f t="shared" si="3"/>
        <v>9.8377904506092784E-5</v>
      </c>
    </row>
    <row r="25" spans="1:11" s="1" customFormat="1" x14ac:dyDescent="0.2">
      <c r="A25" s="110" t="s">
        <v>72</v>
      </c>
      <c r="B25" s="74"/>
      <c r="C25" s="35"/>
      <c r="D25" s="35">
        <f>SUM(D19:D24)</f>
        <v>59.968399999999995</v>
      </c>
      <c r="E25" s="73"/>
      <c r="F25" s="35"/>
      <c r="G25" s="35">
        <f>SUM(G19:G24)</f>
        <v>61.802399999999999</v>
      </c>
      <c r="H25" s="35">
        <f t="shared" si="1"/>
        <v>1.8340000000000032</v>
      </c>
      <c r="I25" s="36">
        <f t="shared" si="8"/>
        <v>3.0582773594092946E-2</v>
      </c>
      <c r="J25" s="36">
        <f t="shared" si="4"/>
        <v>0.33156129177114124</v>
      </c>
      <c r="K25" s="111">
        <f t="shared" si="3"/>
        <v>0.33043427203518194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 t="shared" si="8"/>
        <v>0</v>
      </c>
      <c r="J26" s="23">
        <f t="shared" si="4"/>
        <v>4.2382402705914589E-3</v>
      </c>
      <c r="K26" s="108">
        <f t="shared" si="3"/>
        <v>4.2238339434681133E-3</v>
      </c>
    </row>
    <row r="27" spans="1:11" s="1" customFormat="1" x14ac:dyDescent="0.2">
      <c r="A27" s="119" t="s">
        <v>75</v>
      </c>
      <c r="B27" s="120">
        <f>B8-B4</f>
        <v>69.920000000000073</v>
      </c>
      <c r="C27" s="172">
        <f>IF(B4&gt;B7,C13,C12)</f>
        <v>0.106</v>
      </c>
      <c r="D27" s="22">
        <f>B27*C27</f>
        <v>7.4115200000000074</v>
      </c>
      <c r="E27" s="73">
        <f>B27</f>
        <v>69.920000000000073</v>
      </c>
      <c r="F27" s="172">
        <f>C27</f>
        <v>0.106</v>
      </c>
      <c r="G27" s="22">
        <f>E27*F27</f>
        <v>7.4115200000000074</v>
      </c>
      <c r="H27" s="22">
        <f t="shared" si="1"/>
        <v>0</v>
      </c>
      <c r="I27" s="23">
        <f t="shared" si="8"/>
        <v>0</v>
      </c>
      <c r="J27" s="23">
        <f t="shared" ref="J27:J46" si="9">G27/$G$46</f>
        <v>3.9761775354802582E-2</v>
      </c>
      <c r="K27" s="108">
        <f t="shared" ref="K27:K41" si="10">G27/$G$51</f>
        <v>3.9626619935054203E-2</v>
      </c>
    </row>
    <row r="28" spans="1:11" s="1" customFormat="1" x14ac:dyDescent="0.2">
      <c r="A28" s="119" t="s">
        <v>74</v>
      </c>
      <c r="B28" s="120">
        <f>B8-B4</f>
        <v>69.920000000000073</v>
      </c>
      <c r="C28" s="172">
        <f>0.65*C15+0.17*C16+0.18*C17</f>
        <v>9.7519999999999996E-2</v>
      </c>
      <c r="D28" s="22">
        <f>B28*C28</f>
        <v>6.8185984000000071</v>
      </c>
      <c r="E28" s="73">
        <f>B28</f>
        <v>69.920000000000073</v>
      </c>
      <c r="F28" s="172">
        <f>C28</f>
        <v>9.7519999999999996E-2</v>
      </c>
      <c r="G28" s="22">
        <f>E28*F28</f>
        <v>6.8185984000000071</v>
      </c>
      <c r="H28" s="22">
        <f t="shared" si="1"/>
        <v>0</v>
      </c>
      <c r="I28" s="23">
        <f t="shared" si="8"/>
        <v>0</v>
      </c>
      <c r="J28" s="23">
        <f t="shared" si="9"/>
        <v>3.6580833326418379E-2</v>
      </c>
      <c r="K28" s="108">
        <f t="shared" si="10"/>
        <v>3.6456490340249871E-2</v>
      </c>
    </row>
    <row r="29" spans="1:11" s="1" customFormat="1" x14ac:dyDescent="0.2">
      <c r="A29" s="110" t="s">
        <v>78</v>
      </c>
      <c r="B29" s="74"/>
      <c r="C29" s="35"/>
      <c r="D29" s="35">
        <f>SUM(D25,D26:D27)</f>
        <v>68.169920000000005</v>
      </c>
      <c r="E29" s="73"/>
      <c r="F29" s="35"/>
      <c r="G29" s="35">
        <f>SUM(G25,G26:G27)</f>
        <v>70.003920000000008</v>
      </c>
      <c r="H29" s="35">
        <f t="shared" si="1"/>
        <v>1.8340000000000032</v>
      </c>
      <c r="I29" s="36">
        <f t="shared" si="8"/>
        <v>2.6903361482601168E-2</v>
      </c>
      <c r="J29" s="36">
        <f t="shared" si="9"/>
        <v>0.37556130739653532</v>
      </c>
      <c r="K29" s="111">
        <f t="shared" si="10"/>
        <v>0.37428472591370426</v>
      </c>
    </row>
    <row r="30" spans="1:11" s="1" customFormat="1" x14ac:dyDescent="0.2">
      <c r="A30" s="110" t="s">
        <v>77</v>
      </c>
      <c r="B30" s="74"/>
      <c r="C30" s="35"/>
      <c r="D30" s="35">
        <f>SUM(D25,D26,D28)</f>
        <v>67.576998400000008</v>
      </c>
      <c r="E30" s="73"/>
      <c r="F30" s="35"/>
      <c r="G30" s="35">
        <f>SUM(G25,G26,G28)</f>
        <v>69.410998400000011</v>
      </c>
      <c r="H30" s="35">
        <f t="shared" si="1"/>
        <v>1.8340000000000032</v>
      </c>
      <c r="I30" s="36">
        <f t="shared" si="8"/>
        <v>2.7139411980748807E-2</v>
      </c>
      <c r="J30" s="36">
        <f t="shared" si="9"/>
        <v>0.37238036536815111</v>
      </c>
      <c r="K30" s="111">
        <f t="shared" si="10"/>
        <v>0.37111459631889993</v>
      </c>
    </row>
    <row r="31" spans="1:11" x14ac:dyDescent="0.2">
      <c r="A31" s="107" t="s">
        <v>40</v>
      </c>
      <c r="B31" s="73">
        <f>B8</f>
        <v>989.92000000000007</v>
      </c>
      <c r="C31" s="125">
        <f>VLOOKUP($B$3,'Data for Bill Impacts'!$A$3:$Y$15,15,0)</f>
        <v>7.2069999999999999E-3</v>
      </c>
      <c r="D31" s="22">
        <f>B31*C31</f>
        <v>7.1343534400000008</v>
      </c>
      <c r="E31" s="73">
        <f t="shared" si="6"/>
        <v>989.92000000000007</v>
      </c>
      <c r="F31" s="125">
        <f>VLOOKUP($B$3,'Data for Bill Impacts'!$A$3:$Y$15,24,0)</f>
        <v>7.2069999999999999E-3</v>
      </c>
      <c r="G31" s="22">
        <f>E31*F31</f>
        <v>7.1343534400000008</v>
      </c>
      <c r="H31" s="22">
        <f t="shared" si="1"/>
        <v>0</v>
      </c>
      <c r="I31" s="23">
        <f t="shared" si="8"/>
        <v>0</v>
      </c>
      <c r="J31" s="23">
        <f t="shared" si="9"/>
        <v>3.8274815258279381E-2</v>
      </c>
      <c r="K31" s="108">
        <f t="shared" si="10"/>
        <v>3.8144714208317089E-2</v>
      </c>
    </row>
    <row r="32" spans="1:11" x14ac:dyDescent="0.2">
      <c r="A32" s="107" t="s">
        <v>41</v>
      </c>
      <c r="B32" s="73">
        <f>B8</f>
        <v>989.92000000000007</v>
      </c>
      <c r="C32" s="125">
        <f>VLOOKUP($B$3,'Data for Bill Impacts'!$A$3:$Y$15,16,0)</f>
        <v>6.0319999999999992E-3</v>
      </c>
      <c r="D32" s="22">
        <f>B32*C32</f>
        <v>5.9711974399999992</v>
      </c>
      <c r="E32" s="73">
        <f t="shared" si="6"/>
        <v>989.92000000000007</v>
      </c>
      <c r="F32" s="125">
        <f>VLOOKUP($B$3,'Data for Bill Impacts'!$A$3:$Y$15,25,0)</f>
        <v>6.0319999999999992E-3</v>
      </c>
      <c r="G32" s="22">
        <f>E32*F32</f>
        <v>5.9711974399999992</v>
      </c>
      <c r="H32" s="22">
        <f t="shared" si="1"/>
        <v>0</v>
      </c>
      <c r="I32" s="23">
        <f t="shared" si="8"/>
        <v>0</v>
      </c>
      <c r="J32" s="23">
        <f t="shared" si="9"/>
        <v>3.203464487830459E-2</v>
      </c>
      <c r="K32" s="108">
        <f t="shared" si="10"/>
        <v>3.1925754974964429E-2</v>
      </c>
    </row>
    <row r="33" spans="1:11" s="1" customFormat="1" x14ac:dyDescent="0.2">
      <c r="A33" s="110" t="s">
        <v>76</v>
      </c>
      <c r="B33" s="74"/>
      <c r="C33" s="35"/>
      <c r="D33" s="35">
        <f>SUM(D31:D32)</f>
        <v>13.105550879999999</v>
      </c>
      <c r="E33" s="73"/>
      <c r="F33" s="35"/>
      <c r="G33" s="35">
        <f>SUM(G31:G32)</f>
        <v>13.105550879999999</v>
      </c>
      <c r="H33" s="35">
        <f t="shared" si="1"/>
        <v>0</v>
      </c>
      <c r="I33" s="36">
        <f t="shared" si="8"/>
        <v>0</v>
      </c>
      <c r="J33" s="36">
        <f t="shared" si="9"/>
        <v>7.0309460136583957E-2</v>
      </c>
      <c r="K33" s="111">
        <f t="shared" si="10"/>
        <v>7.0070469183281511E-2</v>
      </c>
    </row>
    <row r="34" spans="1:11" s="1" customFormat="1" x14ac:dyDescent="0.2">
      <c r="A34" s="110" t="s">
        <v>91</v>
      </c>
      <c r="B34" s="74"/>
      <c r="C34" s="35"/>
      <c r="D34" s="35">
        <f>D29+D33</f>
        <v>81.27547088</v>
      </c>
      <c r="E34" s="73"/>
      <c r="F34" s="35"/>
      <c r="G34" s="35">
        <f>G29+G33</f>
        <v>83.109470880000003</v>
      </c>
      <c r="H34" s="35">
        <f t="shared" si="1"/>
        <v>1.8340000000000032</v>
      </c>
      <c r="I34" s="36">
        <f t="shared" si="8"/>
        <v>2.2565233767858833E-2</v>
      </c>
      <c r="J34" s="36">
        <f t="shared" si="9"/>
        <v>0.44587076753311922</v>
      </c>
      <c r="K34" s="111">
        <f t="shared" si="10"/>
        <v>0.44435519509698573</v>
      </c>
    </row>
    <row r="35" spans="1:11" s="1" customFormat="1" x14ac:dyDescent="0.2">
      <c r="A35" s="110" t="s">
        <v>92</v>
      </c>
      <c r="B35" s="74"/>
      <c r="C35" s="35"/>
      <c r="D35" s="35">
        <f>D30+D33</f>
        <v>80.682549280000003</v>
      </c>
      <c r="E35" s="73"/>
      <c r="F35" s="35"/>
      <c r="G35" s="35">
        <f>G30+G33</f>
        <v>82.516549280000007</v>
      </c>
      <c r="H35" s="35">
        <f t="shared" si="1"/>
        <v>1.8340000000000032</v>
      </c>
      <c r="I35" s="36">
        <f t="shared" si="8"/>
        <v>2.2731061628150914E-2</v>
      </c>
      <c r="J35" s="36">
        <f t="shared" si="9"/>
        <v>0.44268982550473507</v>
      </c>
      <c r="K35" s="111">
        <f t="shared" si="10"/>
        <v>0.44118506550218145</v>
      </c>
    </row>
    <row r="36" spans="1:11" x14ac:dyDescent="0.2">
      <c r="A36" s="107" t="s">
        <v>42</v>
      </c>
      <c r="B36" s="73">
        <f>B8</f>
        <v>989.92000000000007</v>
      </c>
      <c r="C36" s="34">
        <v>3.5999999999999999E-3</v>
      </c>
      <c r="D36" s="22">
        <f>B36*C36</f>
        <v>3.5637120000000002</v>
      </c>
      <c r="E36" s="73">
        <f t="shared" si="6"/>
        <v>989.92000000000007</v>
      </c>
      <c r="F36" s="34">
        <v>3.5999999999999999E-3</v>
      </c>
      <c r="G36" s="22">
        <f>E36*F36</f>
        <v>3.5637120000000002</v>
      </c>
      <c r="H36" s="22">
        <f t="shared" si="1"/>
        <v>0</v>
      </c>
      <c r="I36" s="23">
        <f t="shared" si="8"/>
        <v>0</v>
      </c>
      <c r="J36" s="23">
        <f t="shared" si="9"/>
        <v>1.9118819887582315E-2</v>
      </c>
      <c r="K36" s="108">
        <f t="shared" si="10"/>
        <v>1.9053832544740048E-2</v>
      </c>
    </row>
    <row r="37" spans="1:11" x14ac:dyDescent="0.2">
      <c r="A37" s="107" t="s">
        <v>43</v>
      </c>
      <c r="B37" s="73">
        <f>B8</f>
        <v>989.92000000000007</v>
      </c>
      <c r="C37" s="34">
        <v>2.0999999999999999E-3</v>
      </c>
      <c r="D37" s="22">
        <f>B37*C37</f>
        <v>2.0788320000000002</v>
      </c>
      <c r="E37" s="73">
        <f t="shared" si="6"/>
        <v>989.92000000000007</v>
      </c>
      <c r="F37" s="34">
        <v>2.0999999999999999E-3</v>
      </c>
      <c r="G37" s="22">
        <f>E37*F37</f>
        <v>2.0788320000000002</v>
      </c>
      <c r="H37" s="22">
        <f>G37-D37</f>
        <v>0</v>
      </c>
      <c r="I37" s="23">
        <f t="shared" si="8"/>
        <v>0</v>
      </c>
      <c r="J37" s="23">
        <f t="shared" si="9"/>
        <v>1.115264493442302E-2</v>
      </c>
      <c r="K37" s="108">
        <f t="shared" si="10"/>
        <v>1.1114735651098362E-2</v>
      </c>
    </row>
    <row r="38" spans="1:11" x14ac:dyDescent="0.2">
      <c r="A38" s="107" t="s">
        <v>96</v>
      </c>
      <c r="B38" s="73">
        <f>B8</f>
        <v>989.92000000000007</v>
      </c>
      <c r="C38" s="34">
        <v>0</v>
      </c>
      <c r="D38" s="22">
        <f>B38*C38</f>
        <v>0</v>
      </c>
      <c r="E38" s="73">
        <f t="shared" si="6"/>
        <v>989.92000000000007</v>
      </c>
      <c r="F38" s="34">
        <v>0</v>
      </c>
      <c r="G38" s="22">
        <f>E38*F38</f>
        <v>0</v>
      </c>
      <c r="H38" s="22">
        <f>G38-D38</f>
        <v>0</v>
      </c>
      <c r="I38" s="23" t="str">
        <f t="shared" si="8"/>
        <v>N/A</v>
      </c>
      <c r="J38" s="23">
        <f t="shared" si="9"/>
        <v>0</v>
      </c>
      <c r="K38" s="108">
        <f t="shared" si="10"/>
        <v>0</v>
      </c>
    </row>
    <row r="39" spans="1:11" x14ac:dyDescent="0.2">
      <c r="A39" s="107" t="s">
        <v>44</v>
      </c>
      <c r="B39" s="73">
        <v>1</v>
      </c>
      <c r="C39" s="22">
        <v>0.25</v>
      </c>
      <c r="D39" s="22">
        <f>B39*C39</f>
        <v>0.25</v>
      </c>
      <c r="E39" s="73">
        <f t="shared" si="6"/>
        <v>1</v>
      </c>
      <c r="F39" s="22">
        <f>C39</f>
        <v>0.25</v>
      </c>
      <c r="G39" s="22">
        <f>E39*F39</f>
        <v>0.25</v>
      </c>
      <c r="H39" s="22">
        <f t="shared" si="1"/>
        <v>0</v>
      </c>
      <c r="I39" s="23">
        <f t="shared" si="8"/>
        <v>0</v>
      </c>
      <c r="J39" s="23">
        <f t="shared" si="9"/>
        <v>1.3412152755036262E-3</v>
      </c>
      <c r="K39" s="108">
        <f t="shared" si="10"/>
        <v>1.3366563112240865E-3</v>
      </c>
    </row>
    <row r="40" spans="1:11" s="1" customFormat="1" x14ac:dyDescent="0.2">
      <c r="A40" s="110" t="s">
        <v>45</v>
      </c>
      <c r="B40" s="74"/>
      <c r="C40" s="35"/>
      <c r="D40" s="35">
        <f>SUM(D36:D39)</f>
        <v>5.8925440000000009</v>
      </c>
      <c r="E40" s="73"/>
      <c r="F40" s="35"/>
      <c r="G40" s="35">
        <f>SUM(G36:G39)</f>
        <v>5.8925440000000009</v>
      </c>
      <c r="H40" s="35">
        <f t="shared" si="1"/>
        <v>0</v>
      </c>
      <c r="I40" s="36">
        <f t="shared" si="8"/>
        <v>0</v>
      </c>
      <c r="J40" s="36">
        <f t="shared" si="9"/>
        <v>3.1612680097508963E-2</v>
      </c>
      <c r="K40" s="111">
        <f t="shared" si="10"/>
        <v>3.1505224507062501E-2</v>
      </c>
    </row>
    <row r="41" spans="1:11" s="1" customFormat="1" ht="13.5" thickBot="1" x14ac:dyDescent="0.25">
      <c r="A41" s="112" t="s">
        <v>46</v>
      </c>
      <c r="B41" s="113">
        <f>B4</f>
        <v>920</v>
      </c>
      <c r="C41" s="114">
        <v>0</v>
      </c>
      <c r="D41" s="115">
        <f>B41*C41</f>
        <v>0</v>
      </c>
      <c r="E41" s="116">
        <f t="shared" si="6"/>
        <v>920</v>
      </c>
      <c r="F41" s="114">
        <f>C41</f>
        <v>0</v>
      </c>
      <c r="G41" s="115">
        <f>E41*F41</f>
        <v>0</v>
      </c>
      <c r="H41" s="115">
        <f t="shared" si="1"/>
        <v>0</v>
      </c>
      <c r="I41" s="117" t="str">
        <f t="shared" si="8"/>
        <v>N/A</v>
      </c>
      <c r="J41" s="117">
        <f t="shared" si="9"/>
        <v>0</v>
      </c>
      <c r="K41" s="118">
        <f t="shared" si="10"/>
        <v>0</v>
      </c>
    </row>
    <row r="42" spans="1:11" s="1" customFormat="1" x14ac:dyDescent="0.2">
      <c r="A42" s="37" t="s">
        <v>101</v>
      </c>
      <c r="B42" s="38"/>
      <c r="C42" s="39"/>
      <c r="D42" s="39">
        <f>SUM(D14,D25,D26,D27,D33,D40,D41)</f>
        <v>175.68801488000003</v>
      </c>
      <c r="E42" s="38"/>
      <c r="F42" s="39"/>
      <c r="G42" s="39">
        <f>SUM(G14,G25,G26,G27,G33,G40,G41)</f>
        <v>177.52201488000003</v>
      </c>
      <c r="H42" s="39">
        <f t="shared" si="1"/>
        <v>1.8340000000000032</v>
      </c>
      <c r="I42" s="40">
        <f t="shared" si="8"/>
        <v>1.0438959090366398E-2</v>
      </c>
      <c r="J42" s="40">
        <f t="shared" si="9"/>
        <v>0.95238095238095233</v>
      </c>
      <c r="K42" s="41"/>
    </row>
    <row r="43" spans="1:11" x14ac:dyDescent="0.2">
      <c r="A43" s="153" t="s">
        <v>102</v>
      </c>
      <c r="B43" s="43"/>
      <c r="C43" s="26">
        <v>0.13</v>
      </c>
      <c r="D43" s="26">
        <f>D42*C43</f>
        <v>22.839441934400003</v>
      </c>
      <c r="E43" s="26"/>
      <c r="F43" s="26">
        <f>C43</f>
        <v>0.13</v>
      </c>
      <c r="G43" s="26">
        <f>G42*F43</f>
        <v>23.077861934400005</v>
      </c>
      <c r="H43" s="26">
        <f t="shared" si="1"/>
        <v>0.23842000000000141</v>
      </c>
      <c r="I43" s="44">
        <f t="shared" si="8"/>
        <v>1.0438959090366441E-2</v>
      </c>
      <c r="J43" s="44">
        <f t="shared" si="9"/>
        <v>0.12380952380952381</v>
      </c>
      <c r="K43" s="45"/>
    </row>
    <row r="44" spans="1:11" s="1" customFormat="1" x14ac:dyDescent="0.2">
      <c r="A44" s="46" t="s">
        <v>103</v>
      </c>
      <c r="B44" s="24"/>
      <c r="C44" s="25"/>
      <c r="D44" s="25">
        <f>SUM(D42:D43)</f>
        <v>198.52745681440004</v>
      </c>
      <c r="E44" s="25"/>
      <c r="F44" s="25"/>
      <c r="G44" s="25">
        <f>SUM(G42:G43)</f>
        <v>200.59987681440003</v>
      </c>
      <c r="H44" s="25">
        <f t="shared" si="1"/>
        <v>2.0724199999999939</v>
      </c>
      <c r="I44" s="27">
        <f t="shared" si="8"/>
        <v>1.0438959090366347E-2</v>
      </c>
      <c r="J44" s="27">
        <f t="shared" si="9"/>
        <v>1.0761904761904761</v>
      </c>
      <c r="K44" s="47"/>
    </row>
    <row r="45" spans="1:11" x14ac:dyDescent="0.2">
      <c r="A45" s="42" t="s">
        <v>104</v>
      </c>
      <c r="B45" s="43"/>
      <c r="C45" s="26">
        <v>-0.08</v>
      </c>
      <c r="D45" s="26">
        <f>D42*C45</f>
        <v>-14.055041190400003</v>
      </c>
      <c r="E45" s="26"/>
      <c r="F45" s="26">
        <f>C45</f>
        <v>-0.08</v>
      </c>
      <c r="G45" s="26">
        <f>G42*F45</f>
        <v>-14.201761190400003</v>
      </c>
      <c r="H45" s="26">
        <f t="shared" si="1"/>
        <v>-0.14672000000000018</v>
      </c>
      <c r="I45" s="44">
        <f t="shared" si="8"/>
        <v>-1.0438959090366393E-2</v>
      </c>
      <c r="J45" s="44">
        <f t="shared" si="9"/>
        <v>-7.6190476190476183E-2</v>
      </c>
      <c r="K45" s="45"/>
    </row>
    <row r="46" spans="1:11" s="1" customFormat="1" ht="13.5" thickBot="1" x14ac:dyDescent="0.25">
      <c r="A46" s="48" t="s">
        <v>105</v>
      </c>
      <c r="B46" s="49"/>
      <c r="C46" s="50"/>
      <c r="D46" s="50">
        <f>SUM(D44:D45)</f>
        <v>184.47241562400004</v>
      </c>
      <c r="E46" s="50"/>
      <c r="F46" s="50"/>
      <c r="G46" s="50">
        <f>SUM(G44:G45)</f>
        <v>186.39811562400004</v>
      </c>
      <c r="H46" s="50">
        <f t="shared" si="1"/>
        <v>1.9257000000000062</v>
      </c>
      <c r="I46" s="51">
        <f t="shared" si="8"/>
        <v>1.0438959090366412E-2</v>
      </c>
      <c r="J46" s="51">
        <f t="shared" si="9"/>
        <v>1</v>
      </c>
      <c r="K46" s="52"/>
    </row>
    <row r="47" spans="1:11" x14ac:dyDescent="0.2">
      <c r="A47" s="53" t="s">
        <v>106</v>
      </c>
      <c r="B47" s="54"/>
      <c r="C47" s="55"/>
      <c r="D47" s="55">
        <f>SUM(D18,D25,D26,D28,D33,D40,D41)</f>
        <v>176.29349328000001</v>
      </c>
      <c r="E47" s="55"/>
      <c r="F47" s="55"/>
      <c r="G47" s="55">
        <f>SUM(G18,G25,G26,G28,G33,G40,G41)</f>
        <v>178.12749328000001</v>
      </c>
      <c r="H47" s="55">
        <f>G47-D47</f>
        <v>1.8340000000000032</v>
      </c>
      <c r="I47" s="56">
        <f t="shared" si="8"/>
        <v>1.0403106580270284E-2</v>
      </c>
      <c r="J47" s="56"/>
      <c r="K47" s="57">
        <f>G47/$G$51</f>
        <v>0.95238095238095222</v>
      </c>
    </row>
    <row r="48" spans="1:11" x14ac:dyDescent="0.2">
      <c r="A48" s="58" t="s">
        <v>102</v>
      </c>
      <c r="B48" s="59"/>
      <c r="C48" s="31">
        <v>0.13</v>
      </c>
      <c r="D48" s="31">
        <f>D47*C48</f>
        <v>22.918154126400001</v>
      </c>
      <c r="E48" s="31"/>
      <c r="F48" s="31">
        <f>C48</f>
        <v>0.13</v>
      </c>
      <c r="G48" s="31">
        <f>G47*F48</f>
        <v>23.156574126400002</v>
      </c>
      <c r="H48" s="31">
        <f>G48-D48</f>
        <v>0.23842000000000141</v>
      </c>
      <c r="I48" s="32">
        <f t="shared" si="8"/>
        <v>1.0403106580270327E-2</v>
      </c>
      <c r="J48" s="32"/>
      <c r="K48" s="60">
        <f>G48/$G$51</f>
        <v>0.1238095238095238</v>
      </c>
    </row>
    <row r="49" spans="1:11" x14ac:dyDescent="0.2">
      <c r="A49" s="61" t="s">
        <v>107</v>
      </c>
      <c r="B49" s="29"/>
      <c r="C49" s="30"/>
      <c r="D49" s="30">
        <f>SUM(D47:D48)</f>
        <v>199.2116474064</v>
      </c>
      <c r="E49" s="30"/>
      <c r="F49" s="30"/>
      <c r="G49" s="30">
        <f>SUM(G47:G48)</f>
        <v>201.28406740640003</v>
      </c>
      <c r="H49" s="30">
        <f>G49-D49</f>
        <v>2.0724200000000224</v>
      </c>
      <c r="I49" s="33">
        <f t="shared" si="8"/>
        <v>1.0403106580270379E-2</v>
      </c>
      <c r="J49" s="33"/>
      <c r="K49" s="62">
        <f>G49/$G$51</f>
        <v>1.0761904761904761</v>
      </c>
    </row>
    <row r="50" spans="1:11" x14ac:dyDescent="0.2">
      <c r="A50" s="58" t="s">
        <v>104</v>
      </c>
      <c r="B50" s="59"/>
      <c r="C50" s="31">
        <v>-0.08</v>
      </c>
      <c r="D50" s="31">
        <f>D47*C50</f>
        <v>-14.103479462400001</v>
      </c>
      <c r="E50" s="31"/>
      <c r="F50" s="31">
        <f>C50</f>
        <v>-0.08</v>
      </c>
      <c r="G50" s="31">
        <f>G47*F50</f>
        <v>-14.250199462400001</v>
      </c>
      <c r="H50" s="31">
        <f>G50-D50</f>
        <v>-0.14672000000000018</v>
      </c>
      <c r="I50" s="32">
        <f t="shared" si="8"/>
        <v>-1.0403106580270279E-2</v>
      </c>
      <c r="J50" s="32"/>
      <c r="K50" s="60">
        <f>G50/$G$51</f>
        <v>-7.6190476190476183E-2</v>
      </c>
    </row>
    <row r="51" spans="1:11" ht="13.5" thickBot="1" x14ac:dyDescent="0.25">
      <c r="A51" s="63" t="s">
        <v>116</v>
      </c>
      <c r="B51" s="64"/>
      <c r="C51" s="65"/>
      <c r="D51" s="65">
        <f>SUM(D49:D50)</f>
        <v>185.108167944</v>
      </c>
      <c r="E51" s="65"/>
      <c r="F51" s="65"/>
      <c r="G51" s="65">
        <f>SUM(G49:G50)</f>
        <v>187.03386794400004</v>
      </c>
      <c r="H51" s="65">
        <f>G51-D51</f>
        <v>1.9257000000000346</v>
      </c>
      <c r="I51" s="66">
        <f t="shared" si="8"/>
        <v>1.0403106580270454E-2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1.05" footer="0.3"/>
  <pageSetup scale="70" orientation="landscape" r:id="rId1"/>
  <headerFooter>
    <oddHeader>&amp;RUpdated: 2017-06-07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chedule xmlns="c177ebce-ba5d-4f17-87d0-6a1c56acc62b">1</Schedule>
    <Dir_Approved xmlns="9fda2e78-8e3f-49d4-9e97-25a6337a81ff">true</Dir_Approved>
    <Shell_Created xmlns="9fda2e78-8e3f-49d4-9e97-25a6337a81ff">false</Shell_Created>
    <Tab xmlns="c177ebce-ba5d-4f17-87d0-6a1c56acc62b">4</Tab>
    <Primary_Author xmlns="9fda2e78-8e3f-49d4-9e97-25a6337a81ff">
      <UserInfo>
        <DisplayName/>
        <AccountId xsi:nil="true"/>
        <AccountType/>
      </UserInfo>
    </Primary_Author>
    <Case_x0020_Number_x002f_Docket_x0020_Number xmlns="f9175001-c430-4d57-adde-c1c10539e919">EB-2017-0049</Case_x0020_Number_x002f_Docket_x0020_Number>
    <Exhibit xmlns="c177ebce-ba5d-4f17-87d0-6a1c56acc62b">H1</Exhibit>
    <BP_x0020_Update xmlns="6cd78a55-9298-4f12-88a0-08be2e2ac8f0">Yes</BP_x0020_Update>
    <Filing_x0020_Status xmlns="ea909525-6dd5-47d7-9eed-71e77e5cedc6">Blue Page Ready</Filing_x0020_Status>
    <Witness xmlns="6cd78a55-9298-4f12-88a0-08be2e2ac8f0" xsi:nil="true"/>
    <Issue_x0020_Date xmlns="f9175001-c430-4d57-adde-c1c10539e919">2017-06-07T04:00:00+00:00</Issue_x0020_Date>
    <RA_x0020_Contact xmlns="31a38067-a042-4e0e-9037-517587b10700">Stephen Vetsis</RA_x0020_Contact>
    <Additional_Reviewers xmlns="9fda2e78-8e3f-49d4-9e97-25a6337a81ff">
      <UserInfo>
        <DisplayName/>
        <AccountId xsi:nil="true"/>
        <AccountType/>
      </UserInfo>
    </Additional_Reviewers>
    <Dir_Contact xmlns="9fda2e78-8e3f-49d4-9e97-25a6337a81ff">Karen Taylor</Dir_Contact>
    <Hydro_x0020_One_x0020_Data_x0020_Classification xmlns="f0af1d65-dfd0-4b99-b523-def3a954563f">Internal Use (Only Internal information is not for release to the public)</Hydro_x0020_One_x0020_Data_x0020_Classification>
    <Legal xmlns="6cd78a55-9298-4f12-88a0-08be2e2ac8f0">false</Legal>
    <SR_Approved xmlns="9fda2e78-8e3f-49d4-9e97-25a6337a81ff">false</SR_Approved>
    <Strategic_x003f_ xmlns="9fda2e78-8e3f-49d4-9e97-25a6337a81ff">false</Strategic_x003f_>
    <RA_Approved xmlns="9fda2e78-8e3f-49d4-9e97-25a6337a81ff">true</RA_Approved>
    <Draft_Ready xmlns="9fda2e78-8e3f-49d4-9e97-25a6337a81ff">false</Draft_Read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https://teams.hydroone.com/sites/ra/ra/b2mlp/EB2015002/Forms/Document/c7d368c570245b4acustomXsn.xsn</xsnLocation>
  <cached>True</cached>
  <openByDefault>True</openByDefault>
  <xsnScope>https://teams.hydroone.com/sites/ra/ra/b2mlp/EB2015002</xsnScope>
</customXsn>
</file>

<file path=customXml/item4.xml><?xml version="1.0" encoding="utf-8"?>
<ct:contentTypeSchema xmlns:ct="http://schemas.microsoft.com/office/2006/metadata/contentType" xmlns:ma="http://schemas.microsoft.com/office/2006/metadata/properties/metaAttributes" ct:_="" ma:_="" ma:contentTypeName="Evidence_Exhibit" ma:contentTypeID="0x0101006C4D7F394B56A844BBAB815FF7A6EFB5" ma:contentTypeVersion="90" ma:contentTypeDescription="Create a new evidence Exhibit using the Template Master." ma:contentTypeScope="" ma:versionID="6034fbc6a2fdf02dea1dc0f2da1ea152">
  <xsd:schema xmlns:xsd="http://www.w3.org/2001/XMLSchema" xmlns:xs="http://www.w3.org/2001/XMLSchema" xmlns:p="http://schemas.microsoft.com/office/2006/metadata/properties" xmlns:ns2="f0af1d65-dfd0-4b99-b523-def3a954563f" xmlns:ns3="f9175001-c430-4d57-adde-c1c10539e919" xmlns:ns4="c177ebce-ba5d-4f17-87d0-6a1c56acc62b" xmlns:ns5="9fda2e78-8e3f-49d4-9e97-25a6337a81ff" xmlns:ns6="ea909525-6dd5-47d7-9eed-71e77e5cedc6" xmlns:ns7="6cd78a55-9298-4f12-88a0-08be2e2ac8f0" xmlns:ns8="31a38067-a042-4e0e-9037-517587b10700" targetNamespace="http://schemas.microsoft.com/office/2006/metadata/properties" ma:root="true" ma:fieldsID="cc0bbb9d2d6e8568e330d71548e5fce2" ns2:_="" ns3:_="" ns4:_="" ns5:_="" ns6:_="" ns7:_="" ns8:_="">
    <xsd:import namespace="f0af1d65-dfd0-4b99-b523-def3a954563f"/>
    <xsd:import namespace="f9175001-c430-4d57-adde-c1c10539e919"/>
    <xsd:import namespace="c177ebce-ba5d-4f17-87d0-6a1c56acc62b"/>
    <xsd:import namespace="9fda2e78-8e3f-49d4-9e97-25a6337a81ff"/>
    <xsd:import namespace="ea909525-6dd5-47d7-9eed-71e77e5cedc6"/>
    <xsd:import namespace="6cd78a55-9298-4f12-88a0-08be2e2ac8f0"/>
    <xsd:import namespace="31a38067-a042-4e0e-9037-517587b10700"/>
    <xsd:element name="properties">
      <xsd:complexType>
        <xsd:sequence>
          <xsd:element name="documentManagement">
            <xsd:complexType>
              <xsd:all>
                <xsd:element ref="ns2:Hydro_x0020_One_x0020_Data_x0020_Classification"/>
                <xsd:element ref="ns3:Issue_x0020_Date"/>
                <xsd:element ref="ns3:Case_x0020_Number_x002f_Docket_x0020_Number" minOccurs="0"/>
                <xsd:element ref="ns4:Exhibit"/>
                <xsd:element ref="ns4:Tab"/>
                <xsd:element ref="ns4:Schedule"/>
                <xsd:element ref="ns5:Shell_Created" minOccurs="0"/>
                <xsd:element ref="ns6:Filing_x0020_Status" minOccurs="0"/>
                <xsd:element ref="ns5:Primary_Author" minOccurs="0"/>
                <xsd:element ref="ns5:Additional_Reviewers" minOccurs="0"/>
                <xsd:element ref="ns7:Witness" minOccurs="0"/>
                <xsd:element ref="ns8:RA_x0020_Contact" minOccurs="0"/>
                <xsd:element ref="ns5:Dir_Contact" minOccurs="0"/>
                <xsd:element ref="ns5:Draft_Ready" minOccurs="0"/>
                <xsd:element ref="ns5:RA_Approved" minOccurs="0"/>
                <xsd:element ref="ns5:Dir_Approved" minOccurs="0"/>
                <xsd:element ref="ns5:SR_Approved" minOccurs="0"/>
                <xsd:element ref="ns5:Strategic_x003f_" minOccurs="0"/>
                <xsd:element ref="ns7:Legal" minOccurs="0"/>
                <xsd:element ref="ns7:BP_x0020_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2"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Issue_x0020_Date" ma:index="3" ma:displayName="Issue Date" ma:description="Date the document was issued." ma:format="DateOnly" ma:internalName="Issue_x0020_Date">
      <xsd:simpleType>
        <xsd:restriction base="dms:DateTime"/>
      </xsd:simpleType>
    </xsd:element>
    <xsd:element name="Case_x0020_Number_x002f_Docket_x0020_Number" ma:index="4"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5" ma:displayName="Exhibit" ma:internalName="Exhibit" ma:readOnly="false">
      <xsd:simpleType>
        <xsd:restriction base="dms:Text">
          <xsd:maxLength value="8"/>
        </xsd:restriction>
      </xsd:simpleType>
    </xsd:element>
    <xsd:element name="Tab" ma:index="6" ma:displayName="Tab" ma:internalName="Tab" ma:readOnly="false">
      <xsd:simpleType>
        <xsd:restriction base="dms:Text">
          <xsd:maxLength value="8"/>
        </xsd:restriction>
      </xsd:simpleType>
    </xsd:element>
    <xsd:element name="Schedule" ma:index="7" ma:displayName="Schedule" ma:decimals="0" ma:internalName="Schedule" ma:readOnly="false" ma:percentage="FALSE">
      <xsd:simpleType>
        <xsd:restriction base="dms:Number">
          <xsd:maxInclusive value="999"/>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Shell_Created" ma:index="8" nillable="true" ma:displayName="Shell_Created" ma:default="0" ma:description="Has RRA created the shell file for this item?" ma:internalName="Shell_Created">
      <xsd:simpleType>
        <xsd:restriction base="dms:Boolean"/>
      </xsd:simpleType>
    </xsd:element>
    <xsd:element name="Primary_Author" ma:index="10" nillable="true" ma:displayName="Primary_Author" ma:description="The person primarily in charge of authoring the item." ma:list="UserInfo" ma:SharePointGroup="0" ma:internalName="Primary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ditional_Reviewers" ma:index="11"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Contact" ma:index="14" nillable="true" ma:displayName="Dir_Contact" ma:default="Karen Taylor" ma:format="Dropdown" ma:internalName="Dir_Contact" ma:readOnly="false">
      <xsd:simpleType>
        <xsd:union memberTypes="dms:Text">
          <xsd:simpleType>
            <xsd:restriction base="dms:Choice">
              <xsd:enumeration value="Allan Cowan"/>
              <xsd:enumeration value="Oded Hubert"/>
              <xsd:enumeration value="Ian Malpass"/>
              <xsd:enumeration value="Joanne Richardson"/>
              <xsd:enumeration value="Jeffrey Smith"/>
              <xsd:enumeration value="Karen Taylor"/>
            </xsd:restriction>
          </xsd:simpleType>
        </xsd:union>
      </xsd:simpleType>
    </xsd:element>
    <xsd:element name="Draft_Ready" ma:index="15" nillable="true" ma:displayName="Draft_Ready" ma:default="0" ma:description="This denotes whether there is a draft ready for Regulatory review." ma:internalName="Draft_Ready">
      <xsd:simpleType>
        <xsd:restriction base="dms:Boolean"/>
      </xsd:simpleType>
    </xsd:element>
    <xsd:element name="RA_Approved" ma:index="16" nillable="true" ma:displayName="RA_Approved" ma:default="0" ma:description="Denotes Approval by Regulatory Advisor to proceed to Director Review stage." ma:internalName="RA_Approved">
      <xsd:simpleType>
        <xsd:restriction base="dms:Boolean"/>
      </xsd:simpleType>
    </xsd:element>
    <xsd:element name="Dir_Approved" ma:index="17" nillable="true" ma:displayName="Dir_Approved" ma:default="0" ma:description="Denotes approval by Director to either go to Sr Mgmt review (if strategic) or to go to final formatting." ma:internalName="Dir_Approved">
      <xsd:simpleType>
        <xsd:restriction base="dms:Boolean"/>
      </xsd:simpleType>
    </xsd:element>
    <xsd:element name="SR_Approved" ma:index="18" nillable="true" ma:displayName="SR_Approved" ma:default="0" ma:description="Check if Sr Mgmt has approved the item.  Only applies if marked strategic." ma:internalName="SR_Approved">
      <xsd:simpleType>
        <xsd:restriction base="dms:Boolean"/>
      </xsd:simpleType>
    </xsd:element>
    <xsd:element name="Strategic_x003f_" ma:index="19"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Filing_x0020_Status" ma:index="9" nillable="true" ma:displayName="Filing Status" ma:default="Initial_Stage" ma:format="RadioButtons" ma:internalName="Filing_x0020_Status">
      <xsd:simpleType>
        <xsd:restriction base="dms:Choice">
          <xsd:enumeration value="Initial_Stage"/>
          <xsd:enumeration value="RA_Review_Complete"/>
          <xsd:enumeration value="CopyWriter_Complete"/>
          <xsd:enumeration value="Legal_Complete"/>
          <xsd:enumeration value="Blue Page Ready"/>
          <xsd:enumeration value="Blue Page Complete"/>
          <xsd:enumeration value="Blue Page Formatting Complete"/>
          <xsd:enumeration value="Blue Page Megafile Ready"/>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Witness" ma:index="12" nillable="true" ma:displayName="Witness" ma:internalName="Witness">
      <xsd:simpleType>
        <xsd:restriction base="dms:Text">
          <xsd:maxLength value="64"/>
        </xsd:restriction>
      </xsd:simpleType>
    </xsd:element>
    <xsd:element name="Legal" ma:index="28" nillable="true" ma:displayName="Legal" ma:default="0" ma:description="Legal review required" ma:internalName="Legal">
      <xsd:simpleType>
        <xsd:restriction base="dms:Boolean"/>
      </xsd:simpleType>
    </xsd:element>
    <xsd:element name="BP_x0020_Update" ma:index="29" nillable="true" ma:displayName="BP Update" ma:default="No" ma:format="Dropdown" ma:internalName="BP_x0020_Updat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3" nillable="true" ma:displayName="RA Contact" ma:default="Nicole Taylor" ma:format="Dropdown" ma:internalName="RA_x0020_Contact">
      <xsd:simpleType>
        <xsd:union memberTypes="dms:Text">
          <xsd:simpleType>
            <xsd:restriction base="dms:Choice">
              <xsd:enumeration value="Nicole Taylor"/>
              <xsd:enumeration value="Maxine Cooper"/>
              <xsd:enumeration value="Jody McEachran"/>
              <xsd:enumeration value="Lisa Lee"/>
              <xsd:enumeration value="Uri Akselrud"/>
              <xsd:enumeration value="Oren Ben-Shlomo"/>
              <xsd:enumeration value="Stephen Vetsi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334F97-342B-4980-90AD-0285869CD48D}">
  <ds:schemaRefs>
    <ds:schemaRef ds:uri="http://schemas.microsoft.com/office/infopath/2007/PartnerControls"/>
    <ds:schemaRef ds:uri="http://purl.org/dc/elements/1.1/"/>
    <ds:schemaRef ds:uri="http://schemas.openxmlformats.org/package/2006/metadata/core-properties"/>
    <ds:schemaRef ds:uri="31a38067-a042-4e0e-9037-517587b10700"/>
    <ds:schemaRef ds:uri="6cd78a55-9298-4f12-88a0-08be2e2ac8f0"/>
    <ds:schemaRef ds:uri="f9175001-c430-4d57-adde-c1c10539e919"/>
    <ds:schemaRef ds:uri="http://schemas.microsoft.com/office/2006/documentManagement/types"/>
    <ds:schemaRef ds:uri="http://schemas.microsoft.com/office/2006/metadata/properties"/>
    <ds:schemaRef ds:uri="ea909525-6dd5-47d7-9eed-71e77e5cedc6"/>
    <ds:schemaRef ds:uri="http://purl.org/dc/terms/"/>
    <ds:schemaRef ds:uri="c177ebce-ba5d-4f17-87d0-6a1c56acc62b"/>
    <ds:schemaRef ds:uri="http://www.w3.org/XML/1998/namespace"/>
    <ds:schemaRef ds:uri="9fda2e78-8e3f-49d4-9e97-25a6337a81ff"/>
    <ds:schemaRef ds:uri="f0af1d65-dfd0-4b99-b523-def3a954563f"/>
    <ds:schemaRef ds:uri="http://purl.org/dc/dcmitype/"/>
  </ds:schemaRefs>
</ds:datastoreItem>
</file>

<file path=customXml/itemProps2.xml><?xml version="1.0" encoding="utf-8"?>
<ds:datastoreItem xmlns:ds="http://schemas.openxmlformats.org/officeDocument/2006/customXml" ds:itemID="{254C2D21-0E70-4C42-97BC-F4009C655258}">
  <ds:schemaRefs>
    <ds:schemaRef ds:uri="http://schemas.microsoft.com/sharepoint/v3/contenttype/forms"/>
  </ds:schemaRefs>
</ds:datastoreItem>
</file>

<file path=customXml/itemProps3.xml><?xml version="1.0" encoding="utf-8"?>
<ds:datastoreItem xmlns:ds="http://schemas.openxmlformats.org/officeDocument/2006/customXml" ds:itemID="{FB741BC8-814D-4FB3-95F7-476419AEF882}">
  <ds:schemaRefs>
    <ds:schemaRef ds:uri="http://schemas.microsoft.com/office/2006/metadata/customXsn"/>
  </ds:schemaRefs>
</ds:datastoreItem>
</file>

<file path=customXml/itemProps4.xml><?xml version="1.0" encoding="utf-8"?>
<ds:datastoreItem xmlns:ds="http://schemas.openxmlformats.org/officeDocument/2006/customXml" ds:itemID="{047F0FF8-777F-4537-843A-EC73C646D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f9175001-c430-4d57-adde-c1c10539e919"/>
    <ds:schemaRef ds:uri="c177ebce-ba5d-4f17-87d0-6a1c56acc62b"/>
    <ds:schemaRef ds:uri="9fda2e78-8e3f-49d4-9e97-25a6337a81ff"/>
    <ds:schemaRef ds:uri="ea909525-6dd5-47d7-9eed-71e77e5cedc6"/>
    <ds:schemaRef ds:uri="6cd78a55-9298-4f12-88a0-08be2e2ac8f0"/>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2</vt:i4>
      </vt:variant>
    </vt:vector>
  </HeadingPairs>
  <TitlesOfParts>
    <vt:vector size="48" baseType="lpstr">
      <vt:lpstr>Data for Bill Impacts</vt:lpstr>
      <vt:lpstr>Bill Impact Summary</vt:lpstr>
      <vt:lpstr>BI_UR_Low</vt:lpstr>
      <vt:lpstr>BI_UR_Typical</vt:lpstr>
      <vt:lpstr>BI_UR_Avg</vt:lpstr>
      <vt:lpstr>BI_UR_High</vt:lpstr>
      <vt:lpstr>BI_R1_Low</vt:lpstr>
      <vt:lpstr>BI_R1_Typical</vt:lpstr>
      <vt:lpstr>BI_R1_Avg</vt:lpstr>
      <vt:lpstr>BI_R1_High</vt:lpstr>
      <vt:lpstr>BI_R2_Low</vt:lpstr>
      <vt:lpstr>BI_R2_Typical</vt:lpstr>
      <vt:lpstr>BI_R2_Avg</vt:lpstr>
      <vt:lpstr>BI_R2_High</vt:lpstr>
      <vt:lpstr>BI_Seas_Low</vt:lpstr>
      <vt:lpstr>BI_Seas_Avg</vt:lpstr>
      <vt:lpstr>BI_Seas_High</vt:lpstr>
      <vt:lpstr>BI_UGe_Low</vt:lpstr>
      <vt:lpstr>BI_UGe_Typical</vt:lpstr>
      <vt:lpstr>BI_UGe_Avg</vt:lpstr>
      <vt:lpstr>BI_UGe_High</vt:lpstr>
      <vt:lpstr>BI_GSe_Low</vt:lpstr>
      <vt:lpstr>BI_GSe_Typical</vt:lpstr>
      <vt:lpstr>BI_GSe_Avg</vt:lpstr>
      <vt:lpstr>BI_GSe_High</vt:lpstr>
      <vt:lpstr>BI_UGd_Low</vt:lpstr>
      <vt:lpstr>BI_UGd_Avg</vt:lpstr>
      <vt:lpstr>BI_UGd_High</vt:lpstr>
      <vt:lpstr>BI_GSd_Low</vt:lpstr>
      <vt:lpstr>BI_GSd_Avg</vt:lpstr>
      <vt:lpstr>BI_GSd_High</vt:lpstr>
      <vt:lpstr>BI_DGen_Low</vt:lpstr>
      <vt:lpstr>BI_DGen_Avg</vt:lpstr>
      <vt:lpstr>BI_DGen_High</vt:lpstr>
      <vt:lpstr>BI_ST_Low</vt:lpstr>
      <vt:lpstr>BI_ST_Avg</vt:lpstr>
      <vt:lpstr>BI_ST_High</vt:lpstr>
      <vt:lpstr>BI_USL_Low</vt:lpstr>
      <vt:lpstr>BI_USL_Avg</vt:lpstr>
      <vt:lpstr>BI_USL_High</vt:lpstr>
      <vt:lpstr>BI_SenLgt_Low</vt:lpstr>
      <vt:lpstr>BI_SenLgt_Avg</vt:lpstr>
      <vt:lpstr>BI_SenLgt_High</vt:lpstr>
      <vt:lpstr>BI_StLgt_Low</vt:lpstr>
      <vt:lpstr>BI_StLgt_Avg</vt:lpstr>
      <vt:lpstr>BI_StLgt_High</vt:lpstr>
      <vt:lpstr>BI_DGen_Avg!Print_Area</vt:lpstr>
      <vt:lpstr>'Bill Impact Summary'!Print_Area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3 Bill Impacts 2020</dc:title>
  <dc:creator>SHETH Nikita</dc:creator>
  <cp:lastModifiedBy>DENNENY Kelly</cp:lastModifiedBy>
  <cp:lastPrinted>2017-06-06T15:48:55Z</cp:lastPrinted>
  <dcterms:created xsi:type="dcterms:W3CDTF">2013-09-20T18:49:19Z</dcterms:created>
  <dcterms:modified xsi:type="dcterms:W3CDTF">2017-06-06T15:49:18Z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D_Category">
    <vt:lpwstr>Other</vt:lpwstr>
  </property>
  <property fmtid="{D5CDD505-2E9C-101B-9397-08002B2CF9AE}" pid="3" name="RA2_Approved">
    <vt:bool>false</vt:bool>
  </property>
  <property fmtid="{D5CDD505-2E9C-101B-9397-08002B2CF9AE}" pid="4" name="ContentTypeId">
    <vt:lpwstr>0x0101006C4D7F394B56A844BBAB815FF7A6EFB5</vt:lpwstr>
  </property>
  <property fmtid="{D5CDD505-2E9C-101B-9397-08002B2CF9AE}" pid="5" name="AM_Approved">
    <vt:bool>false</vt:bool>
  </property>
  <property fmtid="{D5CDD505-2E9C-101B-9397-08002B2CF9AE}" pid="6" name="Document Type">
    <vt:lpwstr>Prefiled evidence</vt:lpwstr>
  </property>
  <property fmtid="{D5CDD505-2E9C-101B-9397-08002B2CF9AE}" pid="7" name="Comments">
    <vt:lpwstr/>
  </property>
</Properties>
</file>